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 tabRatio="854" activeTab="1"/>
  </bookViews>
  <sheets>
    <sheet name="总产出" sheetId="6" r:id="rId1"/>
    <sheet name="VIP" sheetId="4" r:id="rId2"/>
    <sheet name="mission" sheetId="7" r:id="rId3"/>
    <sheet name="chest" sheetId="12" r:id="rId4"/>
    <sheet name="achievement" sheetId="16" r:id="rId5"/>
    <sheet name="top-up" sheetId="17" r:id="rId6"/>
    <sheet name="recharge" sheetId="19" r:id="rId7"/>
    <sheet name="advertisement" sheetId="22" r:id="rId8"/>
    <sheet name="每日任务产出" sheetId="5" r:id="rId9"/>
    <sheet name="每周任务产出" sheetId="8" r:id="rId10"/>
    <sheet name="每日活跃度宝箱产出" sheetId="11" r:id="rId11"/>
    <sheet name="每周活跃度宝箱产出" sheetId="13" r:id="rId12"/>
    <sheet name="成就产出" sheetId="14" r:id="rId13"/>
    <sheet name="充值回馈活动产出" sheetId="18" r:id="rId14"/>
    <sheet name="商城充值产出" sheetId="20" r:id="rId15"/>
    <sheet name="广告产出" sheetId="21" r:id="rId16"/>
  </sheets>
  <definedNames>
    <definedName name="_xlnm._FilterDatabase" localSheetId="1" hidden="1">VIP!$A$1:$V$12</definedName>
    <definedName name="_xlnm._FilterDatabase" localSheetId="2" hidden="1">mission!$A$1:$L$38</definedName>
    <definedName name="_xlnm._FilterDatabase" localSheetId="3" hidden="1">chest!$A$1:$J$18</definedName>
    <definedName name="_xlnm._FilterDatabase" localSheetId="4" hidden="1">achievement!$A$1:$M$89</definedName>
    <definedName name="_xlnm._FilterDatabase" localSheetId="5" hidden="1">'top-up'!$A$1:$V$6</definedName>
    <definedName name="_xlnm._FilterDatabase" localSheetId="6" hidden="1">recharge!$A$1:$Q$103</definedName>
    <definedName name="_xlnm._FilterDatabase" localSheetId="7" hidden="1">advertisement!$A$1:$V$6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充值金额：VIP点数
注释：
充值金额单位根据实际货币的种类来定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若金额为人民币则用符号“¥”
若金额为其他外汇币则用各自对应的货币符号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达到一定VIP等级时会获得两个VIP专属头像（一男一女）
TRUE：有专属头像
FALSE：无专属头像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达到不同VIP等级时会获得不同的VIP专属头像框
输入规则：
0：默认无专属头像框
1：VIP1专属头像框
2：VIP2专属头像框
3：VIP3专属头像框
4：VIP4专属头像框
5：VIP5专属头像框
6：VIP6专属头像框
7：VIP7专属头像框
8：VIP8专属头像框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达到一定VIP等级时，每一个周期（7天）都会免费获得一定数量的补签券，通过邮件进行发放（每周一0点发放）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达到一定VIP等级时进行每日签到会获得奖励翻倍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达到一定VIP等级时进行中午和晚上的定时登录会获得奖励加成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达到一定VIP等级时进行商城常规充值会获得一定加成</t>
        </r>
      </text>
    </commen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达到一定VIP等级时在开启任务活跃度宝箱时会获得一定加成</t>
        </r>
      </text>
    </comment>
    <comment ref="M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达到一定VIP等级时进行小票兑换金币会获得一定加成
输入规则：
小票数量：金币数量</t>
        </r>
      </text>
    </comment>
    <comment ref="N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达到一定VIP等级时进行广告低保金会获得一定加成
输入规则：
数字：广告低保金基础值的倍数</t>
        </r>
      </text>
    </comment>
    <comment ref="O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达到一定VIP等级时会解锁只有VIP能进入的机台
0.默认无VIP机台
1.VIP1及以上进入
2.VIP5及以上进入
3.VIP8才能进入
输入规则：
当某个VIP等级能进入多种VIP机台时用“，”隔开</t>
        </r>
      </text>
    </comment>
    <comment ref="P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达到一定VIP等级时，离开座位后，此座位会成为专属座位，在一定时间内其他人无法进入此座位，只有VIP本人能再次进入，单位为秒</t>
        </r>
      </text>
    </comment>
    <comment ref="Q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达到一定VIP等级时存钱罐每次储存金币会获得一定加成</t>
        </r>
      </text>
    </comment>
    <comment ref="R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达到一定VIP等级时存钱罐每次领取金币会获得一定加成</t>
        </r>
      </text>
    </comment>
    <comment ref="S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达到一定VIP等级时存钱罐容量上限会获得增加</t>
        </r>
      </text>
    </comment>
    <comment ref="T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达到一定VIP等级时会获得领取任意容量存钱罐金额的次数
输入规则：
0：默认无领取任意容量存钱罐金额的次数
-1：默认可以无限次领取任意容量存钱罐金额
其他数字：有限次领取任意容量存钱罐金额</t>
        </r>
      </text>
    </comment>
    <comment ref="U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当玩家间隔一段时间未进行任何充值，VIP点数会进行扣减，称为衰减时间，单位为天
（期间进行任意充值将会重置到充值后VIP等级的衰减时间。因此需要能够读取玩家最后一次充值的日期，该日期会根据玩家是否继续充值实时更新）</t>
        </r>
      </text>
    </comment>
    <comment ref="V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当玩家间隔一段时间未进行任何充值，VIP点数会进行扣减
具体衰减公式为：-X点VIP点数/day
输入规则：
0：默认不会扣减
其他数字：上方公式中的X</t>
        </r>
      </text>
    </comment>
  </commentList>
</comments>
</file>

<file path=xl/comments2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1.每日任务
2.每周任务
3.签到任务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1.下注N次
2.下注N个金币
3.获得N张小票
4.在同一个游戏中累计下注N次
5.累积在N个不同的游戏中下过至少一次注
6.在排行榜中点赞N次
7.给N个好友赠送过金币
8.领取过N个好友的金币
9.成功分享过N次照片
10.签到N天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TRUE：默认显示
FALSE：默认隐藏，需要完成前置任务才会显示，会由FALSE→TRUE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如果是相同描述的任务，区别只在于数量不同，则触发后置任务时已累计的数量会保留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当任务未完成时，按钮显示为【前往按钮】，点击后跳转到相应的界面
输入规则：
0.无跳转位置
1.快速选择列表
2.排行榜界面
3.好友列表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任务期限到达后会刷新重置已累积的进度然后重新计数；还会重置任务完成次数
输入规则：
0：默认不会刷新
其他数字：刷新时间以天为单位，到北京时间0点为新的一天</t>
        </r>
      </text>
    </commen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-1：默认为开服日期
其他日期：根据活动开放日期，由运营来定</t>
        </r>
      </text>
    </comment>
    <comment ref="F4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每日任务所需的条件和单位：
1-3：次数/次
4-6：金币/个
7-9：小票/张
10-11：次数/次
12-15：时间/s</t>
        </r>
      </text>
    </comment>
    <comment ref="F6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每周任务所需的条件和单位：
1-5：次数/次
6-10：金币/个
11-15：小票/张</t>
        </r>
      </text>
    </comment>
  </commentList>
</comments>
</file>

<file path=xl/comments3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1.每日活跃度宝箱
2.每周活跃度宝箱
3.随机宝箱（暂时没有该功能需求，但是需要留一个配置接口）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1.获得N点每日活跃度
2.获得N点每周活跃度
3.花费N元购买（暂时没有该功能需求，但是需要留一个配置接口）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TRUE：默认显示
FALSE：默认隐藏，需要满足条件才会显示，会由FALSE→TRUE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如果是相同描述的宝箱，区别只在于所需要满足条件的数量不同，则已累计的数量会保留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
③weight：该道具在随机宝箱中所占的权重（计算占比用加权平均数）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宝箱期限到达后会刷新重置已累积的进度然后重新计数；还会重置宝箱领取次数
输入规则：
0：默认不会刷新
其他数字：刷新时间以天为单位，到北京时间0点为新的一天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-1：默认为开服日期
其他日期：根据活动开放日期，由运营来定</t>
        </r>
      </text>
    </comment>
  </commentList>
</comments>
</file>

<file path=xl/comments4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1.公开成就
2.隐藏成就
3.限定成就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1.下注N次
2.下注N个金币
3.获得N张小票
4.在同一个游戏中累计下注N次
5.累积在N个不同的游戏中下过至少一次注
6.在排行榜中点赞N次
7.给N个好友赠送过金币
8.领取过N个好友的金币
9.成功分享过N次照片
10.累积登录N天
11.在推币机中累积获得N个推币
12.在娃娃机中累积抓中N个娃娃
13.在捕鱼机中累积捕捉N条鱼类
14.在slot游戏中累积触发N条中奖线
15.游玩推币机N次
16.游玩娃娃机N次
17.游玩捕鱼机N次
18.游玩slot游戏N次
19.在推币机中连续N次没有获得推币
20.在娃娃机中连续N次没有抓中娃娃
21.在捕鱼机中连续N次没有捕捉鱼类
22.在slot游戏中连续N次没有触发中奖
23.在推币机中单次获得超过N个推币
24.在娃娃机中单次抓中超过N个娃娃
25.在捕鱼机中单次捕捉超过N分数的鱼
26.在slot游戏中单次旋转触发超过N分数的大奖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TRUE：默认显示
FALSE：默认隐藏
公开成就由FALSE→TRUE的条件：
①：完成前置成就
②：领取前置成就的奖励
隐藏成就由FALSE→TRUE的条件：
①：完成该隐藏成就
②：完成前置成就
③：领取前置成就的奖励
特别说明：如果有前置成就，需要完成条件①②③，否则只需要完成条件①
限定成就由FALSE→TRUE的条件：
①：完成前置成就
②：领取前置成就的奖励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0：隐藏成就专有，默认隐藏，当完成隐藏成就时，会变成已完成且未领取状态
-1：限定成就专有，默认置顶
其他数字：1-9从上往下依次排列
补充规则：①-⑤从上到下依次排列
①：已完成且未领取的成就
②：未完成且进度不为0且比例高的成就
③：未完成且进度不为0且比例低的成就
④：未完成且进度为0的成就
⑤：已完成且已领取的成就
排序规则优先级判定：
-1&gt;0&gt;①-⑤&gt;其他数字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如果是相同描述的同一种条件的成就，区别只在于数量不同，则触发后置成就时已累计的数量会保留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当成就未完成时，按钮显示为【前往按钮】，点击后跳转到相应的界面
输入规则：
0.默认不会跳转，即点击按钮没有反应
1.快速开始默认界面
2.排行榜默认界面
3.好友默认界面
4.推币机大厅默认界面
5.娃娃机大厅默认界面
6.捕鱼机大厅默认界面
7.slot游戏大厅默认界面</t>
        </r>
      </text>
    </commen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限定成就到达期限后会直接消失，未领取的奖励在消失前自动领取
输入规则
0：没有时间限制，只能完成一次，完成并领取奖励后消失
其他数字：
①：消失时间以天为单位（到服务器上北京时间0点为新的一天），如果未完成成就则到达期限后会消失
②：只能完成一次，完成并领取奖励后直接消失</t>
        </r>
      </text>
    </comment>
    <comment ref="M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-1：默认为玩家注册日期
其他日期：如开服日期、活动开放日期等，格式如：2025/5/22</t>
        </r>
      </text>
    </comment>
  </commentList>
</comments>
</file>

<file path=xl/comments5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1.刮刮卡游戏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M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P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S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V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</commentList>
</comments>
</file>

<file path=xl/comments6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1.特惠连充
2.常规充值
3.周卡月卡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1.开服特惠礼包
2.额外赠送礼包
3.金币充值
4.周卡
5.月卡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0：默认直接解锁，没有天数限制
其他数字：需要累积N天才能解锁，单位为天（和后面的生效日期结合使用，例如开服累积2天解锁，意思就是开服第3天才能解锁）
不填：满足其他条件自动解锁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需要和前面A列的id相关联
补充说明：
所属id的意思是同一所属id的三个礼包其实相当于一个礼包组合。例如花6元购买id为10001的礼包，可以免费领取id为10002和10003的两个礼包，以此类推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TRUE：默认解锁
FALSE：默认锁住，需要购买前置礼包才会解锁，会由FALSE→TRUE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1-30，一共有30笔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若金额为人民币则用符号“¥”
若金额为其他外汇币则用各自对应的货币符号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K1" authorId="0">
      <text>
        <r>
          <rPr>
            <b/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常规充值才会有该奖励，第一次充值按此条发放奖励，后续充值按照前面发放一般奖励，除非首充重置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单位为天</t>
        </r>
      </text>
    </comment>
    <comment ref="M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周卡月卡礼包才会有该奖励，购买后直接发放该奖励和1次持续奖励，后续6天/29天内每天自动发放一次持续奖励，直到周卡月卡失效
输入规则：
①单个物品：{“item”：数字id,“num”：数量}
②多个物品：[{“item”：数字id,“num”：数量}，{“item”：数字id,“num”：数量}]
注释：
①数字id：需要读取道具配置表id
②数量：该道具对应的数量
</t>
        </r>
      </text>
    </comment>
    <comment ref="N1" authorId="0">
      <text>
        <r>
          <rPr>
            <b/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周卡月卡礼包才会有该奖励，在持续时间内每天领取一次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O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单位为天
如果是礼包则为特惠礼包的存在时间，到期后礼包会消失
如果是周卡月卡则为持续生效时间，到期后周卡月卡会失效，在持续生效时间内不能重复购买</t>
        </r>
      </text>
    </comment>
    <comment ref="P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0：购买周卡月卡日期
-1：默认为玩家注册日期
其他日期：如开服日期、活动开放日期等，格式如：2025/5/22</t>
        </r>
      </text>
    </comment>
    <comment ref="Q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0：周卡月卡购买1次后在持续生效时间内不能继续购买，在周卡月卡失效后才能重新购买
-1：无限次数
其他数字：对应购买次数</t>
        </r>
      </text>
    </comment>
    <comment ref="F1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特惠连充：充值购买后立即获得的金币
常规充值：首充金币
周卡月卡：充值购买后立即获得的金币</t>
        </r>
      </text>
    </comment>
    <comment ref="G1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特惠连充：充值购买后免费获得的金币，需手动领取
常规充值：无首充的金币
周卡月卡：充值购买后每天自动发放的金币</t>
        </r>
      </text>
    </comment>
    <comment ref="H1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充值购买后立即获得</t>
        </r>
      </text>
    </comment>
    <comment ref="I11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无首充时购买获得</t>
        </r>
      </text>
    </comment>
  </commentList>
</comments>
</file>

<file path=xl/comments7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1.刮刮卡游戏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M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P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S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V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输入规则：
①单个物品：{“item”：数字id,“num”：数量}
②多个物品：[{“item”：数字id,“num”：数量}，{“item”：数字id,“num”：数量}]
注释：
①数字id：需要读取道具配置表ID
②数量：该道具对应的数量</t>
        </r>
      </text>
    </comment>
    <comment ref="E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当玩家账户里小票数和金币数加起来小于10，自动发放
这里暂时以押注金币数量为X进行条件判断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<sst xmlns="http://schemas.openxmlformats.org/spreadsheetml/2006/main" count="1554" uniqueCount="628">
  <si>
    <t>所有机台参数</t>
  </si>
  <si>
    <t>公共参数</t>
  </si>
  <si>
    <t>宝箱参数</t>
  </si>
  <si>
    <t>VIP参数</t>
  </si>
  <si>
    <t>广告参数</t>
  </si>
  <si>
    <t>各系统产出比例参数</t>
  </si>
  <si>
    <t>RTP</t>
  </si>
  <si>
    <t>VIP等级</t>
  </si>
  <si>
    <t>VIP8</t>
  </si>
  <si>
    <t>活跃度宝箱金币=基础金币*（1+VIP加成）</t>
  </si>
  <si>
    <t>活跃度宝箱加成</t>
  </si>
  <si>
    <t>观看时长/s</t>
  </si>
  <si>
    <t>可观看次数</t>
  </si>
  <si>
    <t>每日任务</t>
  </si>
  <si>
    <t>消耗比</t>
  </si>
  <si>
    <t>在线时长/min</t>
  </si>
  <si>
    <t>小票兑换比例</t>
  </si>
  <si>
    <t>刷新时间/min</t>
  </si>
  <si>
    <t>所需时间/s</t>
  </si>
  <si>
    <t>每周任务</t>
  </si>
  <si>
    <t>押注</t>
  </si>
  <si>
    <t>游玩天数/d</t>
  </si>
  <si>
    <t>常规充值加成</t>
  </si>
  <si>
    <t>观看次数上限</t>
  </si>
  <si>
    <t>可获得金币</t>
  </si>
  <si>
    <t>每日活跃度宝箱</t>
  </si>
  <si>
    <t>每局时间/s</t>
  </si>
  <si>
    <t>广告低保金加成</t>
  </si>
  <si>
    <t>每周活跃度宝箱</t>
  </si>
  <si>
    <t>当日总押注</t>
  </si>
  <si>
    <t>成就</t>
  </si>
  <si>
    <t>充值回馈活动</t>
  </si>
  <si>
    <t>RMB：金币</t>
  </si>
  <si>
    <t>1：100</t>
  </si>
  <si>
    <t>广告低保金</t>
  </si>
  <si>
    <t>广告</t>
  </si>
  <si>
    <t>机台类型</t>
  </si>
  <si>
    <t>游玩占比</t>
  </si>
  <si>
    <t>存钱罐</t>
  </si>
  <si>
    <t>推币机</t>
  </si>
  <si>
    <t>转盘</t>
  </si>
  <si>
    <t>娃娃机</t>
  </si>
  <si>
    <t>每日签到</t>
  </si>
  <si>
    <t>捕鱼机</t>
  </si>
  <si>
    <t>定时登录</t>
  </si>
  <si>
    <t>slot游戏</t>
  </si>
  <si>
    <t>排行榜</t>
  </si>
  <si>
    <t>邀请</t>
  </si>
  <si>
    <t>充值类型</t>
  </si>
  <si>
    <t>充值金额</t>
  </si>
  <si>
    <t>平均金币</t>
  </si>
  <si>
    <t>平均抽奖券</t>
  </si>
  <si>
    <t>特惠连充</t>
  </si>
  <si>
    <t>商城充值</t>
  </si>
  <si>
    <t>只用于对比</t>
  </si>
  <si>
    <t>常规充值</t>
  </si>
  <si>
    <t>好友</t>
  </si>
  <si>
    <t>暂时不考虑</t>
  </si>
  <si>
    <t>周卡畅玩卡</t>
  </si>
  <si>
    <t>运营活动</t>
  </si>
  <si>
    <t>等运营决定？</t>
  </si>
  <si>
    <t>周卡高级卡</t>
  </si>
  <si>
    <t>月卡畅玩卡</t>
  </si>
  <si>
    <t>月卡豪华卡</t>
  </si>
  <si>
    <t>总和</t>
  </si>
  <si>
    <t>天数</t>
  </si>
  <si>
    <t>单日总押注</t>
  </si>
  <si>
    <t>每日累积押注</t>
  </si>
  <si>
    <t>单日总损耗金币</t>
  </si>
  <si>
    <t>每日累积损耗金币</t>
  </si>
  <si>
    <t>单日总产出金币</t>
  </si>
  <si>
    <t>每日累积产出金币</t>
  </si>
  <si>
    <t>ID</t>
  </si>
  <si>
    <t>升级所需VIP点数</t>
  </si>
  <si>
    <t>VIP点数充值比例</t>
  </si>
  <si>
    <t>所需充值金额</t>
  </si>
  <si>
    <t>是否有专属头像</t>
  </si>
  <si>
    <t>专属头像框</t>
  </si>
  <si>
    <t>补签券获得</t>
  </si>
  <si>
    <t>签到奖励加成</t>
  </si>
  <si>
    <t>定时登录加成</t>
  </si>
  <si>
    <t>商城充值加成</t>
  </si>
  <si>
    <t>宝箱加成</t>
  </si>
  <si>
    <t>兑换加成</t>
  </si>
  <si>
    <t>低保翻倍加成</t>
  </si>
  <si>
    <t>VIP机台</t>
  </si>
  <si>
    <t>机台锁位时长</t>
  </si>
  <si>
    <t>存钱罐储存加成</t>
  </si>
  <si>
    <t>存钱罐领取加成</t>
  </si>
  <si>
    <t>存钱罐容量加成</t>
  </si>
  <si>
    <t>存钱罐领取次数</t>
  </si>
  <si>
    <t>衰减时间</t>
  </si>
  <si>
    <t>VIP点数衰减</t>
  </si>
  <si>
    <t>id</t>
  </si>
  <si>
    <t>vipLevel</t>
  </si>
  <si>
    <t>vipPoints</t>
  </si>
  <si>
    <t>rechargeProp</t>
  </si>
  <si>
    <t>rechargeAmou</t>
  </si>
  <si>
    <t>avatar</t>
  </si>
  <si>
    <t>avatarFrame</t>
  </si>
  <si>
    <t>ticketGet</t>
  </si>
  <si>
    <t>attrewardAdd</t>
  </si>
  <si>
    <t>schloginAdd</t>
  </si>
  <si>
    <t>rechargeAdd</t>
  </si>
  <si>
    <t>chestAdd</t>
  </si>
  <si>
    <t>convertAdd</t>
  </si>
  <si>
    <t>minicoinAdd</t>
  </si>
  <si>
    <t>vipMachine</t>
  </si>
  <si>
    <t>lockSecond</t>
  </si>
  <si>
    <t>saveAdd</t>
  </si>
  <si>
    <t>collectAdd</t>
  </si>
  <si>
    <t>capAdd</t>
  </si>
  <si>
    <t>withdrawalAtt</t>
  </si>
  <si>
    <t>decayTime</t>
  </si>
  <si>
    <t>vipSub</t>
  </si>
  <si>
    <t>int</t>
  </si>
  <si>
    <t>string</t>
  </si>
  <si>
    <t>decimal</t>
  </si>
  <si>
    <t>boolean</t>
  </si>
  <si>
    <t>float</t>
  </si>
  <si>
    <t>110:100</t>
  </si>
  <si>
    <t>110:101</t>
  </si>
  <si>
    <t>110:102</t>
  </si>
  <si>
    <t>110:103</t>
  </si>
  <si>
    <t>110:104</t>
  </si>
  <si>
    <t>110:105</t>
  </si>
  <si>
    <t>1，2</t>
  </si>
  <si>
    <t>110:106</t>
  </si>
  <si>
    <t>110:107</t>
  </si>
  <si>
    <t>110:109</t>
  </si>
  <si>
    <t>1，2，3</t>
  </si>
  <si>
    <t>VIP0</t>
  </si>
  <si>
    <t>VIP1</t>
  </si>
  <si>
    <t>VIP2</t>
  </si>
  <si>
    <t>VIP3</t>
  </si>
  <si>
    <t>VIP4</t>
  </si>
  <si>
    <t>VIP5</t>
  </si>
  <si>
    <t>VIP6</t>
  </si>
  <si>
    <t>VIP7</t>
  </si>
  <si>
    <t>任务类型</t>
  </si>
  <si>
    <t>任务条件</t>
  </si>
  <si>
    <t>任务描述</t>
  </si>
  <si>
    <t>前置任务ID</t>
  </si>
  <si>
    <t>是否显示</t>
  </si>
  <si>
    <t>达成需求数量</t>
  </si>
  <si>
    <t>奖励物品</t>
  </si>
  <si>
    <t>跳转位置</t>
  </si>
  <si>
    <t>完成次数上限</t>
  </si>
  <si>
    <t>刷新时间</t>
  </si>
  <si>
    <t>生效日期</t>
  </si>
  <si>
    <t>kind</t>
  </si>
  <si>
    <t>require</t>
  </si>
  <si>
    <t>missionDesc</t>
  </si>
  <si>
    <t>preconditionId</t>
  </si>
  <si>
    <t>open</t>
  </si>
  <si>
    <t>finishNum</t>
  </si>
  <si>
    <t>rewards</t>
  </si>
  <si>
    <t>jumpPosition</t>
  </si>
  <si>
    <t>dailyCap</t>
  </si>
  <si>
    <t>refreshTime</t>
  </si>
  <si>
    <t>effectiveDate</t>
  </si>
  <si>
    <t>datetime</t>
  </si>
  <si>
    <t>下注{0}次</t>
  </si>
  <si>
    <t>[{"item":10001,"num":20},{"item":70001,"num":10}]</t>
  </si>
  <si>
    <t>下注{0}金币</t>
  </si>
  <si>
    <t>获得{0}小票</t>
  </si>
  <si>
    <t>在同一个游戏中累积下注{0}次</t>
  </si>
  <si>
    <t>[{"item":10001,"num":60},{"item":70001,"num":30}]</t>
  </si>
  <si>
    <t>累积在{0}个不同的游戏中下过注</t>
  </si>
  <si>
    <t>[{"item":10001,"num":100},{"item":70001,"num":50}]</t>
  </si>
  <si>
    <t>在排行榜中点赞{0}次</t>
  </si>
  <si>
    <t>给{0}个好友赠送过金币</t>
  </si>
  <si>
    <t>领取过{0}个好友的金币</t>
  </si>
  <si>
    <t>[{"item":10001,"num":40},{"item":70001,"num":20}]</t>
  </si>
  <si>
    <t>成功分享过{0}次照片</t>
  </si>
  <si>
    <t>累积下注{0}次</t>
  </si>
  <si>
    <t>[{"item":10001,"num":400},{"item":70002,"num":40}]</t>
  </si>
  <si>
    <t>累积下注{0}金币</t>
  </si>
  <si>
    <t>累积获得{0}小票</t>
  </si>
  <si>
    <t>累积签到{0}天</t>
  </si>
  <si>
    <t>[{"item":10001,"num":100},{"item":60001,"num":1},{"item":60003,"num":1}]</t>
  </si>
  <si>
    <t>[{"item":10001,"num":200},{"item":60001,"num":2},{"item":60003,"num":2}]</t>
  </si>
  <si>
    <t>[{"item":10001,"num":300},{"item":60001,"num":3},{"item":60003,"num":3}]</t>
  </si>
  <si>
    <t>[{"item":10001,"num":400},{"item":60001,"num":4},{"item":60003,"num":4}]</t>
  </si>
  <si>
    <t>[{"item":10001,"num":500},{"item":60001,"num":5},{"item":60003,"num":5}]</t>
  </si>
  <si>
    <t>金币</t>
  </si>
  <si>
    <t>所需条件</t>
  </si>
  <si>
    <t>活跃度</t>
  </si>
  <si>
    <t>活跃度判断</t>
  </si>
  <si>
    <t>每日任务1奖励</t>
  </si>
  <si>
    <t>每日任务2奖励</t>
  </si>
  <si>
    <t>每日任务3奖励</t>
  </si>
  <si>
    <t>每日任务4奖励</t>
  </si>
  <si>
    <t>每日任务5奖励</t>
  </si>
  <si>
    <t>每日任务6奖励</t>
  </si>
  <si>
    <t>每日任务7奖励</t>
  </si>
  <si>
    <t>每日任务8奖励</t>
  </si>
  <si>
    <t>每日任务9奖励</t>
  </si>
  <si>
    <t>每日任务10奖励</t>
  </si>
  <si>
    <t>每日任务11奖励</t>
  </si>
  <si>
    <t>每日任务12奖励</t>
  </si>
  <si>
    <t>每日任务13奖励</t>
  </si>
  <si>
    <t>每日任务14奖励</t>
  </si>
  <si>
    <t>每日任务15奖励</t>
  </si>
  <si>
    <t>每周任务金币产出</t>
  </si>
  <si>
    <t>每周任务1奖励</t>
  </si>
  <si>
    <t>每周任务2奖励</t>
  </si>
  <si>
    <t>每周任务3奖励</t>
  </si>
  <si>
    <t>每周任务4奖励</t>
  </si>
  <si>
    <t>每周任务5奖励</t>
  </si>
  <si>
    <t>每周任务6奖励</t>
  </si>
  <si>
    <t>每周任务7奖励</t>
  </si>
  <si>
    <t>每周任务8奖励</t>
  </si>
  <si>
    <t>每周任务9奖励</t>
  </si>
  <si>
    <t>每周任务10奖励</t>
  </si>
  <si>
    <t>每周任务11奖励</t>
  </si>
  <si>
    <t>每周任务12奖励</t>
  </si>
  <si>
    <t>每周任务13奖励</t>
  </si>
  <si>
    <t>每周任务14奖励</t>
  </si>
  <si>
    <t>每周任务15奖励</t>
  </si>
  <si>
    <t>宝箱类型</t>
  </si>
  <si>
    <t>宝箱条件</t>
  </si>
  <si>
    <t>宝箱描述</t>
  </si>
  <si>
    <t>领取次数上限</t>
  </si>
  <si>
    <t>chestDesc</t>
  </si>
  <si>
    <t>获得{0}活跃度来领取每日活跃度宝箱1</t>
  </si>
  <si>
    <t>{"item":10001,"num":40}</t>
  </si>
  <si>
    <t>获得{0}活跃度来领取每日活跃度宝箱2</t>
  </si>
  <si>
    <t>获得{0}活跃度来领取每日活跃度宝箱3</t>
  </si>
  <si>
    <t>获得{0}活跃度来领取每日活跃度宝箱4</t>
  </si>
  <si>
    <t>获得{0}活跃度来领取每日活跃度宝箱5</t>
  </si>
  <si>
    <t>[{"item":10001,"num":80},{"item":60001,"num":1}]</t>
  </si>
  <si>
    <t>获得{0}活跃度来领取每周活跃度宝箱1</t>
  </si>
  <si>
    <t>[{"item":10001,"num":500},{"item":60001,"num":1}]</t>
  </si>
  <si>
    <t>获得{0}活跃度来领取每周活跃度宝箱2</t>
  </si>
  <si>
    <t>获得{0}活跃度来领取每周活跃度宝箱3</t>
  </si>
  <si>
    <t>获得{0}活跃度来领取每周活跃度宝箱4</t>
  </si>
  <si>
    <t>获得{0}活跃度来领取每周活跃度宝箱5</t>
  </si>
  <si>
    <t>[{"item":10001,"num":1000},{"item":60001,"num":2}]</t>
  </si>
  <si>
    <t>在商城（暂定）花费{0}元购买随机宝箱1</t>
  </si>
  <si>
    <t>[{"item":10001,"num":300,"weight":300},{"item":60002,"num":3,"weight":200},{"item":60003,"num":1,"weight":100}]</t>
  </si>
  <si>
    <t>在商城（暂定）花费{0}元购买随机宝箱2</t>
  </si>
  <si>
    <t>[{"item":10001,"num":600,"weight":300},{"item":60002,"num":6,"weight":200},{"item":60003,"num":2,"weight":100}]</t>
  </si>
  <si>
    <t>在商城（暂定）花费{0}元购买随机宝箱3</t>
  </si>
  <si>
    <t>[{"item":10001,"num":900,"weight":300},{"item":60002,"num":9,"weight":200},{"item":60003,"num":3,"weight":100}]</t>
  </si>
  <si>
    <t>在商城（暂定）花费{0}元购买随机宝箱4</t>
  </si>
  <si>
    <t>[{"item":10001,"num":1200,"weight":300},{"item":60002,"num":12,"weight":200},{"item":60003,"num":4,"weight":100}]</t>
  </si>
  <si>
    <t>在商城（暂定）花费{0}元购买随机宝箱5</t>
  </si>
  <si>
    <t>[{"item":10001,"num":1500,"weight":300},{"item":60002,"num":15,"weight":200},{"item":60003,"num":5,"weight":100}]</t>
  </si>
  <si>
    <t>活跃度需求</t>
  </si>
  <si>
    <t>每日宝箱1奖励</t>
  </si>
  <si>
    <t>每日宝箱2奖励</t>
  </si>
  <si>
    <t>每日宝箱3奖励</t>
  </si>
  <si>
    <t>每日宝箱4奖励</t>
  </si>
  <si>
    <t>每日宝箱5奖励</t>
  </si>
  <si>
    <t>每周宝箱1奖励</t>
  </si>
  <si>
    <t>每周宝箱2奖励</t>
  </si>
  <si>
    <t>每周宝箱3奖励</t>
  </si>
  <si>
    <t>每周宝箱4奖励</t>
  </si>
  <si>
    <t>每周宝箱5奖励</t>
  </si>
  <si>
    <t>成就类型</t>
  </si>
  <si>
    <t>成就条件</t>
  </si>
  <si>
    <t>成就名称</t>
  </si>
  <si>
    <t>成就描述</t>
  </si>
  <si>
    <t>前置成就ID</t>
  </si>
  <si>
    <t>排序方式</t>
  </si>
  <si>
    <t>消失时间</t>
  </si>
  <si>
    <t>name</t>
  </si>
  <si>
    <t>achieveDesc</t>
  </si>
  <si>
    <t>sort</t>
  </si>
  <si>
    <t>duration</t>
  </si>
  <si>
    <t>登录达人</t>
  </si>
  <si>
    <t>累积登录{0}天</t>
  </si>
  <si>
    <t>{"item":10001,"num":2}</t>
  </si>
  <si>
    <t>{"item":10001,"num":6}</t>
  </si>
  <si>
    <t>{"item":10001,"num":14}</t>
  </si>
  <si>
    <t>[{"item":10001,"num":60},{"item":60001,"num":1}]</t>
  </si>
  <si>
    <t>[{"item":10001,"num":180},{"item":60001,"num":3}]</t>
  </si>
  <si>
    <t>[{"item":10001,"num":360},{"item":60001,"num":6}]</t>
  </si>
  <si>
    <t>[{"item":10001,"num":720},{"item":60001,"num":12}]</t>
  </si>
  <si>
    <t>推币永动机</t>
  </si>
  <si>
    <t>在推币机中累积获得{0}个推币</t>
  </si>
  <si>
    <t>{"item":10001,"num":1}</t>
  </si>
  <si>
    <t>{"item":10001,"num":10}</t>
  </si>
  <si>
    <t>[{"item":10001,"num":100},{"item":60001,"num":1}]</t>
  </si>
  <si>
    <t>[{"item":10001,"num":1000},{"item":60001,"num":10}]</t>
  </si>
  <si>
    <t>[{"item":10001,"num":10000},{"item":60001,"num":100}]</t>
  </si>
  <si>
    <t>抓取大宗师</t>
  </si>
  <si>
    <t>在娃娃机中累积抓中{0}个娃娃</t>
  </si>
  <si>
    <t>弹幕艺术家</t>
  </si>
  <si>
    <t>在捕鱼机中累积捕捉{0}条鱼类</t>
  </si>
  <si>
    <t>连线拓扑师</t>
  </si>
  <si>
    <t>在slot游戏中累积触发{0}条中奖线</t>
  </si>
  <si>
    <t>推币分型机</t>
  </si>
  <si>
    <t>游玩推币机{0}次</t>
  </si>
  <si>
    <t>抓取相对论</t>
  </si>
  <si>
    <t>游玩娃娃机{0}次</t>
  </si>
  <si>
    <t>弹幕编年史</t>
  </si>
  <si>
    <t>游玩捕鱼机{0}次</t>
  </si>
  <si>
    <t>连线占卜师</t>
  </si>
  <si>
    <t>游玩slot游戏{0}次</t>
  </si>
  <si>
    <t>推币空气动力学</t>
  </si>
  <si>
    <t>在推币机中连续{0}次没有获得推币</t>
  </si>
  <si>
    <t>抓取空气动力学</t>
  </si>
  <si>
    <t>在娃娃机中连续{0}次没有抓中娃娃</t>
  </si>
  <si>
    <t>弹幕空气动力学</t>
  </si>
  <si>
    <t>在捕鱼机中连续{0}次没有捕捉鱼类</t>
  </si>
  <si>
    <t>连线空气动力学</t>
  </si>
  <si>
    <t>在slot游戏中连续{0}次没有触发中奖</t>
  </si>
  <si>
    <t>推币大惊喜</t>
  </si>
  <si>
    <t>在推币机中单次获得超过{0}个推币</t>
  </si>
  <si>
    <t>抓取大惊喜</t>
  </si>
  <si>
    <t>在娃娃机中单次抓中超过{0}个娃娃</t>
  </si>
  <si>
    <t>弹幕大惊喜</t>
  </si>
  <si>
    <t>在捕鱼机中单次捕捉超过{0}分数的鱼</t>
  </si>
  <si>
    <t>连线大惊喜</t>
  </si>
  <si>
    <t>在slot游戏中单次旋转触发超过{0}分数的大奖</t>
  </si>
  <si>
    <t>[{"item":10001,"num":100000},{"item":60001,"num":1000}]</t>
  </si>
  <si>
    <t>小票极速传说</t>
  </si>
  <si>
    <t>一天之内通过下注赢得{0}小票</t>
  </si>
  <si>
    <t>{"item":10001,"num":100}</t>
  </si>
  <si>
    <t>{"item":10001,"num":200}</t>
  </si>
  <si>
    <t>{"item":10001,"num":300}</t>
  </si>
  <si>
    <t>{"item":10001,"num":400}</t>
  </si>
  <si>
    <t>小票高速传说</t>
  </si>
  <si>
    <t>三天之内通过下注赢得{0}小票</t>
  </si>
  <si>
    <t>{"item":10001,"num":600}</t>
  </si>
  <si>
    <t>{"item":10001,"num":800}</t>
  </si>
  <si>
    <t>{"item":10001,"num":1000}</t>
  </si>
  <si>
    <t>{"item":10001,"num":1200}</t>
  </si>
  <si>
    <t>[{"item":10001,"num":1400},{"item":60001,"num":3}]</t>
  </si>
  <si>
    <t>小票慢速传说</t>
  </si>
  <si>
    <t>七天之内通过下注赢得{0}小票</t>
  </si>
  <si>
    <t>{"item":10001,"num":1600}</t>
  </si>
  <si>
    <t>{"item":10001,"num":1900}</t>
  </si>
  <si>
    <t>{"item":10001,"num":2200}</t>
  </si>
  <si>
    <t>{"item":10001,"num":2500}</t>
  </si>
  <si>
    <t>[{"item":10001,"num":2800},{"item":60001,"num":7}]</t>
  </si>
  <si>
    <t>成就ID</t>
  </si>
  <si>
    <t>公开成就1</t>
  </si>
  <si>
    <t>公开成就2</t>
  </si>
  <si>
    <t>公开成就3</t>
  </si>
  <si>
    <t>公开成就4</t>
  </si>
  <si>
    <t>公开成就5</t>
  </si>
  <si>
    <t>公开成就6</t>
  </si>
  <si>
    <t>公开成就7</t>
  </si>
  <si>
    <t>公开成就8</t>
  </si>
  <si>
    <t>公开成就9</t>
  </si>
  <si>
    <t>公开成就10</t>
  </si>
  <si>
    <t>公开成就11</t>
  </si>
  <si>
    <t>公开成就12</t>
  </si>
  <si>
    <t>公开成就13</t>
  </si>
  <si>
    <t>公开成就14</t>
  </si>
  <si>
    <t>公开成就15</t>
  </si>
  <si>
    <t>公开成就16</t>
  </si>
  <si>
    <t>公开成就17</t>
  </si>
  <si>
    <t>公开成就18</t>
  </si>
  <si>
    <t>公开成就19</t>
  </si>
  <si>
    <t>公开成就20</t>
  </si>
  <si>
    <t>隐藏成就1</t>
  </si>
  <si>
    <t>隐藏成就2</t>
  </si>
  <si>
    <t>隐藏成就3</t>
  </si>
  <si>
    <t>隐藏成就4</t>
  </si>
  <si>
    <t>隐藏成就5</t>
  </si>
  <si>
    <t>隐藏成就6</t>
  </si>
  <si>
    <t>隐藏成就7</t>
  </si>
  <si>
    <t>隐藏成就8</t>
  </si>
  <si>
    <t>隐藏成就9</t>
  </si>
  <si>
    <t>隐藏成就10</t>
  </si>
  <si>
    <t>隐藏成就11</t>
  </si>
  <si>
    <t>隐藏成就12</t>
  </si>
  <si>
    <t>隐藏成就13</t>
  </si>
  <si>
    <t>隐藏成就14</t>
  </si>
  <si>
    <t>隐藏成就15</t>
  </si>
  <si>
    <t>隐藏成就16</t>
  </si>
  <si>
    <t>隐藏成就17</t>
  </si>
  <si>
    <t>隐藏成就18</t>
  </si>
  <si>
    <t>隐藏成就19</t>
  </si>
  <si>
    <t>隐藏成就20</t>
  </si>
  <si>
    <t>限定成就1</t>
  </si>
  <si>
    <t>限定成就2</t>
  </si>
  <si>
    <t>限定成就3</t>
  </si>
  <si>
    <t>限定成就4</t>
  </si>
  <si>
    <t>限定成就5</t>
  </si>
  <si>
    <t>限定成就6</t>
  </si>
  <si>
    <t>限定成就7</t>
  </si>
  <si>
    <t>限定成就8</t>
  </si>
  <si>
    <t>限定成就9</t>
  </si>
  <si>
    <t>限定成就10</t>
  </si>
  <si>
    <t>限定成就11</t>
  </si>
  <si>
    <t>限定成就12</t>
  </si>
  <si>
    <t>限定成就13</t>
  </si>
  <si>
    <t>限定成就14</t>
  </si>
  <si>
    <t>限定成就15</t>
  </si>
  <si>
    <t>条件</t>
  </si>
  <si>
    <t>奖励金币</t>
  </si>
  <si>
    <t>游戏类型</t>
  </si>
  <si>
    <t>游戏描述</t>
  </si>
  <si>
    <t>消耗抽奖券</t>
  </si>
  <si>
    <t>一等奖条件</t>
  </si>
  <si>
    <t>一等奖概率</t>
  </si>
  <si>
    <t>一等奖奖励物品</t>
  </si>
  <si>
    <t>二等奖条件</t>
  </si>
  <si>
    <t>二等奖概率</t>
  </si>
  <si>
    <t>二等奖奖励物品</t>
  </si>
  <si>
    <t>三等奖条件</t>
  </si>
  <si>
    <t>三等奖概率</t>
  </si>
  <si>
    <t>三等奖奖励物品</t>
  </si>
  <si>
    <t>四等奖条件</t>
  </si>
  <si>
    <t>四等奖概率</t>
  </si>
  <si>
    <t>四等奖奖励物品</t>
  </si>
  <si>
    <t>五等奖条件</t>
  </si>
  <si>
    <t>五等奖概率</t>
  </si>
  <si>
    <t>五等奖奖励物品</t>
  </si>
  <si>
    <t>参与奖条件</t>
  </si>
  <si>
    <t>参与奖概率</t>
  </si>
  <si>
    <t>参与奖奖励物品</t>
  </si>
  <si>
    <t>gameDesc</t>
  </si>
  <si>
    <t>ticket</t>
  </si>
  <si>
    <t>firstCond</t>
  </si>
  <si>
    <t>firstProb</t>
  </si>
  <si>
    <t>firstRewards</t>
  </si>
  <si>
    <t>secondCond</t>
  </si>
  <si>
    <t>secondProb</t>
  </si>
  <si>
    <t>secondRewards</t>
  </si>
  <si>
    <t>thirdCond</t>
  </si>
  <si>
    <t>thirdProb</t>
  </si>
  <si>
    <t>thirdRewards</t>
  </si>
  <si>
    <t>fourthCond</t>
  </si>
  <si>
    <t>fourthProb</t>
  </si>
  <si>
    <t>fourthRewards</t>
  </si>
  <si>
    <t>fifthCond</t>
  </si>
  <si>
    <t>fifthProb</t>
  </si>
  <si>
    <t>fifthRewards</t>
  </si>
  <si>
    <t>participationCond</t>
  </si>
  <si>
    <t>participationProb</t>
  </si>
  <si>
    <t>participationRewards</t>
  </si>
  <si>
    <t>幸运数字刮刮卡</t>
  </si>
  <si>
    <t>{"item":60002,"num":1}</t>
  </si>
  <si>
    <t>3个数字全部相同且为幸运数字</t>
  </si>
  <si>
    <t>3个数字全部相同且不是幸运数字</t>
  </si>
  <si>
    <t>{"item":10001,"num":500}</t>
  </si>
  <si>
    <t>只有2个数字相同且有2个幸运数字</t>
  </si>
  <si>
    <t>只有2个数字相同且有1个幸运数字</t>
  </si>
  <si>
    <t>只有2个数字相同且没有幸运数字</t>
  </si>
  <si>
    <t>剩余情况</t>
  </si>
  <si>
    <t>幸运积分刮刮卡</t>
  </si>
  <si>
    <t>{"item":60002,"num":2}</t>
  </si>
  <si>
    <t>总积分大于等于40</t>
  </si>
  <si>
    <t>总积分在35-39之间</t>
  </si>
  <si>
    <t>总积分在30-34之间</t>
  </si>
  <si>
    <t>总积分在25-29之间</t>
  </si>
  <si>
    <t>总积分在20-24之间</t>
  </si>
  <si>
    <t>幸运图案刮刮卡</t>
  </si>
  <si>
    <t>{"item":60002,"num":3}</t>
  </si>
  <si>
    <t>刮出的图案是【777】</t>
  </si>
  <si>
    <t>刮出的图案是【7】</t>
  </si>
  <si>
    <t>刮出的图案是【BAR】</t>
  </si>
  <si>
    <t>刮出的图案是【星星】</t>
  </si>
  <si>
    <t>刮出的图案是【铃铛】</t>
  </si>
  <si>
    <t>充值回馈活动之刮刮卡玩法</t>
  </si>
  <si>
    <t>抽奖券</t>
  </si>
  <si>
    <t>期望</t>
  </si>
  <si>
    <t>奖励1</t>
  </si>
  <si>
    <t>概率1</t>
  </si>
  <si>
    <t>奖励2</t>
  </si>
  <si>
    <t>概率2</t>
  </si>
  <si>
    <t>奖励3</t>
  </si>
  <si>
    <t>概率3</t>
  </si>
  <si>
    <t>奖励4</t>
  </si>
  <si>
    <t>概率4</t>
  </si>
  <si>
    <t>奖励5</t>
  </si>
  <si>
    <t>概率5</t>
  </si>
  <si>
    <t>奖励6</t>
  </si>
  <si>
    <t>概率6</t>
  </si>
  <si>
    <t>充值回馈1</t>
  </si>
  <si>
    <t>充值回馈2</t>
  </si>
  <si>
    <t>充值回馈3</t>
  </si>
  <si>
    <t>充值名称</t>
  </si>
  <si>
    <t>充值描述</t>
  </si>
  <si>
    <t>解锁时间</t>
  </si>
  <si>
    <t>所属ID</t>
  </si>
  <si>
    <t>是否解锁</t>
  </si>
  <si>
    <t>购买笔数</t>
  </si>
  <si>
    <t>充值价格</t>
  </si>
  <si>
    <t>一般奖励物品</t>
  </si>
  <si>
    <t>首充奖励物品</t>
  </si>
  <si>
    <t>首充刷新时间</t>
  </si>
  <si>
    <t>周卡月卡立即奖励物品</t>
  </si>
  <si>
    <t>周卡月卡持续奖励物品</t>
  </si>
  <si>
    <t>持续时间</t>
  </si>
  <si>
    <t>购买次数</t>
  </si>
  <si>
    <t>rechargeDesc</t>
  </si>
  <si>
    <t>lockTime</t>
  </si>
  <si>
    <t>belongtoId</t>
  </si>
  <si>
    <t>bundleNum</t>
  </si>
  <si>
    <t>rechargePrice</t>
  </si>
  <si>
    <t>normalRewards</t>
  </si>
  <si>
    <t>instantRewards</t>
  </si>
  <si>
    <t>effectivetRewards</t>
  </si>
  <si>
    <t>buyFrequency</t>
  </si>
  <si>
    <t>第{0}笔可购买</t>
  </si>
  <si>
    <t>第{0}笔额外赠送金币</t>
  </si>
  <si>
    <t>{"item":10001,"num":50}</t>
  </si>
  <si>
    <t>第{0}笔额外赠送抽奖券</t>
  </si>
  <si>
    <t>6元金币充值</t>
  </si>
  <si>
    <t>[{"item":10001,"num":90},{"item":60002,"num":1}]</t>
  </si>
  <si>
    <t>[{"item":10001,"num":120},{"item":60002,"num":2}]</t>
  </si>
  <si>
    <t>30元金币充值</t>
  </si>
  <si>
    <t>[{"item":10001,"num":450},{"item":60002,"num":2}]</t>
  </si>
  <si>
    <t>[{"item":10001,"num":600},{"item":60002,"num":3}]</t>
  </si>
  <si>
    <t>98元金币充值</t>
  </si>
  <si>
    <t>[{"item":10001,"num":1470},{"item":60002,"num":5}]</t>
  </si>
  <si>
    <t>[{"item":10001,"num":1960},{"item":60002,"num":10}]</t>
  </si>
  <si>
    <t>198元金币充值</t>
  </si>
  <si>
    <t>[{"item":10001,"num":2970},{"item":60002,"num":10}]</t>
  </si>
  <si>
    <t>[{"item":10001,"num":3960},{"item":60002,"num":20}]</t>
  </si>
  <si>
    <t>328元金币充值</t>
  </si>
  <si>
    <t>[{"item":10001,"num":4920},{"item":60002,"num":15}]</t>
  </si>
  <si>
    <t>[{"item":10001,"num":6560},{"item":60002,"num":33}]</t>
  </si>
  <si>
    <t>648元金币充值</t>
  </si>
  <si>
    <t>[{"item":10001,"num":9720},{"item":60002,"num":30}]</t>
  </si>
  <si>
    <t>[{"item":10001,"num":12960},{"item":60002,"num":65}]</t>
  </si>
  <si>
    <t>[{"item":10001,"num":100},{"item":60002,"num":1}]</t>
  </si>
  <si>
    <t>[{"item":10001,"num":10},{"item":60002,"num":1}]</t>
  </si>
  <si>
    <t>[{"item":10001,"num":200},{"item":60002,"num":2}]</t>
  </si>
  <si>
    <t>[{"item":10001,"num":20},{"item":60002,"num":2}]</t>
  </si>
  <si>
    <t>[{"item":10001,"num":300},{"item":60002,"num":3}]</t>
  </si>
  <si>
    <t>[{"item":10001,"num":30},{"item":60002,"num":3}]</t>
  </si>
  <si>
    <t>[{"item":10001,"num":600},{"item":60002,"num":6}]</t>
  </si>
  <si>
    <t>[{"item":10001,"num":60},{"item":60002,"num":6}]</t>
  </si>
  <si>
    <t>商城充值与奖励</t>
  </si>
  <si>
    <t>价格</t>
  </si>
  <si>
    <t>金币1</t>
  </si>
  <si>
    <t>金币2</t>
  </si>
  <si>
    <t>抽奖券1</t>
  </si>
  <si>
    <t>抽奖券2</t>
  </si>
  <si>
    <t>观看次数</t>
  </si>
  <si>
    <t>每天第1次广告低保金获得金币</t>
  </si>
  <si>
    <t>每天第2次广告低保金获得金币</t>
  </si>
  <si>
    <t>每天第3次广告低保金获得金币</t>
  </si>
  <si>
    <t>累积押注</t>
  </si>
  <si>
    <t>单日损耗金币</t>
  </si>
  <si>
    <t>每日累积占比损耗</t>
  </si>
  <si>
    <t>每日任务总产出</t>
  </si>
  <si>
    <t>每日任务累积产出</t>
  </si>
  <si>
    <t>每周任务总产出</t>
  </si>
  <si>
    <t>每周任务累积产出</t>
  </si>
  <si>
    <t>周数</t>
  </si>
  <si>
    <t>每周累积损耗金币</t>
  </si>
  <si>
    <t>每日宝箱总产出</t>
  </si>
  <si>
    <t>每日宝箱累积产出</t>
  </si>
  <si>
    <t>每周宝箱总产出</t>
  </si>
  <si>
    <t>每周宝箱累积产出</t>
  </si>
  <si>
    <t>每日成就总产出</t>
  </si>
  <si>
    <t>每日成就累积产出</t>
  </si>
  <si>
    <t>公开成就1奖励</t>
  </si>
  <si>
    <t>公开成就2奖励</t>
  </si>
  <si>
    <t>公开成就3奖励</t>
  </si>
  <si>
    <t>公开成就4奖励</t>
  </si>
  <si>
    <t>公开成就5奖励</t>
  </si>
  <si>
    <t>公开成就6奖励</t>
  </si>
  <si>
    <t>公开成就7奖励</t>
  </si>
  <si>
    <t>公开成就8奖励</t>
  </si>
  <si>
    <t>公开成就9奖励</t>
  </si>
  <si>
    <t>公开成就10奖励</t>
  </si>
  <si>
    <t>公开成就11奖励</t>
  </si>
  <si>
    <t>公开成就12奖励</t>
  </si>
  <si>
    <t>公开成就13奖励</t>
  </si>
  <si>
    <t>公开成就14奖励</t>
  </si>
  <si>
    <t>公开成就15奖励</t>
  </si>
  <si>
    <t>公开成就16奖励</t>
  </si>
  <si>
    <t>公开成就17奖励</t>
  </si>
  <si>
    <t>公开成就18奖励</t>
  </si>
  <si>
    <t>公开成就19奖励</t>
  </si>
  <si>
    <t>公开成就20奖励</t>
  </si>
  <si>
    <t>隐藏成就1奖励</t>
  </si>
  <si>
    <t>隐藏成就2奖励</t>
  </si>
  <si>
    <t>隐藏成就3奖励</t>
  </si>
  <si>
    <t>隐藏成就4奖励</t>
  </si>
  <si>
    <t>隐藏成就5奖励</t>
  </si>
  <si>
    <t>隐藏成就6奖励</t>
  </si>
  <si>
    <t>隐藏成就7奖励</t>
  </si>
  <si>
    <t>隐藏成就8奖励</t>
  </si>
  <si>
    <t>隐藏成就9奖励</t>
  </si>
  <si>
    <t>隐藏成就10奖励</t>
  </si>
  <si>
    <t>隐藏成就11奖励</t>
  </si>
  <si>
    <t>隐藏成就12奖励</t>
  </si>
  <si>
    <t>隐藏成就13奖励</t>
  </si>
  <si>
    <t>隐藏成就14奖励</t>
  </si>
  <si>
    <t>隐藏成就15奖励</t>
  </si>
  <si>
    <t>隐藏成就16奖励</t>
  </si>
  <si>
    <t>隐藏成就17奖励</t>
  </si>
  <si>
    <t>隐藏成就18奖励</t>
  </si>
  <si>
    <t>隐藏成就19奖励</t>
  </si>
  <si>
    <t>隐藏成就20奖励</t>
  </si>
  <si>
    <t>限定成就1奖励</t>
  </si>
  <si>
    <t>限定成就2奖励</t>
  </si>
  <si>
    <t>限定成就3奖励</t>
  </si>
  <si>
    <t>限定成就4奖励</t>
  </si>
  <si>
    <t>限定成就5奖励</t>
  </si>
  <si>
    <t>限定成就6奖励</t>
  </si>
  <si>
    <t>限定成就7奖励</t>
  </si>
  <si>
    <t>限定成就8奖励</t>
  </si>
  <si>
    <t>限定成就9奖励</t>
  </si>
  <si>
    <t>限定成就10奖励</t>
  </si>
  <si>
    <t>限定成就11奖励</t>
  </si>
  <si>
    <t>限定成就12奖励</t>
  </si>
  <si>
    <t>限定成就13奖励</t>
  </si>
  <si>
    <t>限定成就14奖励</t>
  </si>
  <si>
    <t>限定成就15奖励</t>
  </si>
  <si>
    <t>每日充值回馈总产出</t>
  </si>
  <si>
    <t>每日充值回馈累积产出</t>
  </si>
  <si>
    <t>充值回馈1奖励</t>
  </si>
  <si>
    <t>充值回馈2奖励</t>
  </si>
  <si>
    <t>充值回馈3奖励</t>
  </si>
  <si>
    <t>每日充值总产出</t>
  </si>
  <si>
    <t>每日充值累积产出</t>
  </si>
  <si>
    <t>特惠连充奖励</t>
  </si>
  <si>
    <t>常规充值奖励</t>
  </si>
  <si>
    <t>周卡畅玩卡奖励</t>
  </si>
  <si>
    <t>周卡高级卡奖励</t>
  </si>
  <si>
    <t>月卡畅玩卡奖励</t>
  </si>
  <si>
    <t>月卡豪华卡奖励</t>
  </si>
  <si>
    <t>每日广告总产出</t>
  </si>
  <si>
    <t>每日广告累积产出</t>
  </si>
  <si>
    <t>广告奖励</t>
  </si>
  <si>
    <t>广告低保金奖励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</si>
</sst>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2"/>
      <color rgb="FF3F3F76"/>
      <name val="微软雅黑"/>
      <charset val="0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8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8" xfId="16" applyFill="1">
      <alignment vertical="center"/>
    </xf>
    <xf numFmtId="0" fontId="2" fillId="3" borderId="8" xfId="16" applyFill="1">
      <alignment vertical="center"/>
    </xf>
    <xf numFmtId="0" fontId="2" fillId="4" borderId="8" xfId="16" applyFill="1">
      <alignment vertical="center"/>
    </xf>
    <xf numFmtId="0" fontId="1" fillId="0" borderId="0" xfId="0" applyNumberFormat="1" applyFont="1" applyAlignment="1">
      <alignment horizontal="center" vertical="center"/>
    </xf>
    <xf numFmtId="0" fontId="3" fillId="2" borderId="8" xfId="16" applyFont="1" applyFill="1" applyAlignment="1">
      <alignment horizontal="center" vertical="center"/>
    </xf>
    <xf numFmtId="0" fontId="3" fillId="2" borderId="8" xfId="16" applyNumberFormat="1" applyFont="1" applyFill="1" applyAlignment="1">
      <alignment horizontal="center" vertical="center"/>
    </xf>
    <xf numFmtId="0" fontId="3" fillId="3" borderId="8" xfId="16" applyFont="1" applyFill="1" applyAlignment="1">
      <alignment horizontal="center" vertical="center"/>
    </xf>
    <xf numFmtId="0" fontId="3" fillId="3" borderId="8" xfId="16" applyNumberFormat="1" applyFont="1" applyFill="1" applyAlignment="1">
      <alignment horizontal="center" vertical="center"/>
    </xf>
    <xf numFmtId="0" fontId="3" fillId="4" borderId="8" xfId="16" applyFont="1" applyFill="1" applyAlignment="1">
      <alignment horizontal="center" vertical="center"/>
    </xf>
    <xf numFmtId="0" fontId="3" fillId="4" borderId="8" xfId="16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8" xfId="16" applyFill="1" applyAlignment="1">
      <alignment horizontal="center" vertical="center"/>
    </xf>
    <xf numFmtId="0" fontId="2" fillId="3" borderId="8" xfId="16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6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3" fillId="2" borderId="8" xfId="16" applyFont="1" applyFill="1">
      <alignment vertical="center"/>
    </xf>
    <xf numFmtId="0" fontId="3" fillId="3" borderId="8" xfId="16" applyFont="1" applyFill="1">
      <alignment vertical="center"/>
    </xf>
    <xf numFmtId="0" fontId="3" fillId="4" borderId="8" xfId="16" applyFont="1" applyFill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1" fillId="0" borderId="9" xfId="0" applyNumberFormat="1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www.wps.cn/officeDocument/2023/relationships/customStorage" Target="customStorage/customStorage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eetMetadata" Target="metadata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每日损耗与产出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总产出!$F$28</c:f>
              <c:strCache>
                <c:ptCount val="1"/>
                <c:pt idx="0">
                  <c:v>每日累积损耗金币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总产出!$F$29:$F$128</c:f>
              <c:numCache>
                <c:formatCode>General</c:formatCode>
                <c:ptCount val="100"/>
                <c:pt idx="0">
                  <c:v>88</c:v>
                </c:pt>
                <c:pt idx="1">
                  <c:v>176</c:v>
                </c:pt>
                <c:pt idx="2">
                  <c:v>264</c:v>
                </c:pt>
                <c:pt idx="3">
                  <c:v>352</c:v>
                </c:pt>
                <c:pt idx="4">
                  <c:v>440</c:v>
                </c:pt>
                <c:pt idx="5">
                  <c:v>528</c:v>
                </c:pt>
                <c:pt idx="6">
                  <c:v>616</c:v>
                </c:pt>
                <c:pt idx="7">
                  <c:v>704</c:v>
                </c:pt>
                <c:pt idx="8">
                  <c:v>792</c:v>
                </c:pt>
                <c:pt idx="9">
                  <c:v>880</c:v>
                </c:pt>
                <c:pt idx="10">
                  <c:v>968</c:v>
                </c:pt>
                <c:pt idx="11">
                  <c:v>1056</c:v>
                </c:pt>
                <c:pt idx="12">
                  <c:v>1144</c:v>
                </c:pt>
                <c:pt idx="13">
                  <c:v>1232</c:v>
                </c:pt>
                <c:pt idx="14">
                  <c:v>1320</c:v>
                </c:pt>
                <c:pt idx="15">
                  <c:v>1408</c:v>
                </c:pt>
                <c:pt idx="16">
                  <c:v>1496</c:v>
                </c:pt>
                <c:pt idx="17">
                  <c:v>1584</c:v>
                </c:pt>
                <c:pt idx="18">
                  <c:v>1672</c:v>
                </c:pt>
                <c:pt idx="19">
                  <c:v>1760</c:v>
                </c:pt>
                <c:pt idx="20">
                  <c:v>1848</c:v>
                </c:pt>
                <c:pt idx="21">
                  <c:v>1936</c:v>
                </c:pt>
                <c:pt idx="22">
                  <c:v>2024</c:v>
                </c:pt>
                <c:pt idx="23">
                  <c:v>2112</c:v>
                </c:pt>
                <c:pt idx="24">
                  <c:v>2200</c:v>
                </c:pt>
                <c:pt idx="25">
                  <c:v>2288</c:v>
                </c:pt>
                <c:pt idx="26">
                  <c:v>2376</c:v>
                </c:pt>
                <c:pt idx="27">
                  <c:v>2464</c:v>
                </c:pt>
                <c:pt idx="28">
                  <c:v>2552</c:v>
                </c:pt>
                <c:pt idx="29">
                  <c:v>2640</c:v>
                </c:pt>
                <c:pt idx="30">
                  <c:v>2728</c:v>
                </c:pt>
                <c:pt idx="31">
                  <c:v>2816</c:v>
                </c:pt>
                <c:pt idx="32">
                  <c:v>2904</c:v>
                </c:pt>
                <c:pt idx="33">
                  <c:v>2992</c:v>
                </c:pt>
                <c:pt idx="34">
                  <c:v>3080</c:v>
                </c:pt>
                <c:pt idx="35">
                  <c:v>3168</c:v>
                </c:pt>
                <c:pt idx="36">
                  <c:v>3256</c:v>
                </c:pt>
                <c:pt idx="37">
                  <c:v>3344</c:v>
                </c:pt>
                <c:pt idx="38">
                  <c:v>3432</c:v>
                </c:pt>
                <c:pt idx="39">
                  <c:v>3520</c:v>
                </c:pt>
                <c:pt idx="40">
                  <c:v>3608</c:v>
                </c:pt>
                <c:pt idx="41">
                  <c:v>3696</c:v>
                </c:pt>
                <c:pt idx="42">
                  <c:v>3784</c:v>
                </c:pt>
                <c:pt idx="43">
                  <c:v>3872</c:v>
                </c:pt>
                <c:pt idx="44">
                  <c:v>3960</c:v>
                </c:pt>
                <c:pt idx="45">
                  <c:v>4048</c:v>
                </c:pt>
                <c:pt idx="46">
                  <c:v>4136</c:v>
                </c:pt>
                <c:pt idx="47">
                  <c:v>4224</c:v>
                </c:pt>
                <c:pt idx="48">
                  <c:v>4312</c:v>
                </c:pt>
                <c:pt idx="49">
                  <c:v>4400</c:v>
                </c:pt>
                <c:pt idx="50">
                  <c:v>4488</c:v>
                </c:pt>
                <c:pt idx="51">
                  <c:v>4576</c:v>
                </c:pt>
                <c:pt idx="52">
                  <c:v>4664</c:v>
                </c:pt>
                <c:pt idx="53">
                  <c:v>4752</c:v>
                </c:pt>
                <c:pt idx="54">
                  <c:v>4840</c:v>
                </c:pt>
                <c:pt idx="55">
                  <c:v>4928</c:v>
                </c:pt>
                <c:pt idx="56">
                  <c:v>5016</c:v>
                </c:pt>
                <c:pt idx="57">
                  <c:v>5104</c:v>
                </c:pt>
                <c:pt idx="58">
                  <c:v>5192</c:v>
                </c:pt>
                <c:pt idx="59">
                  <c:v>5280</c:v>
                </c:pt>
                <c:pt idx="60">
                  <c:v>5368</c:v>
                </c:pt>
                <c:pt idx="61">
                  <c:v>5456</c:v>
                </c:pt>
                <c:pt idx="62">
                  <c:v>5544</c:v>
                </c:pt>
                <c:pt idx="63">
                  <c:v>5632</c:v>
                </c:pt>
                <c:pt idx="64">
                  <c:v>5720</c:v>
                </c:pt>
                <c:pt idx="65">
                  <c:v>5808</c:v>
                </c:pt>
                <c:pt idx="66">
                  <c:v>5896</c:v>
                </c:pt>
                <c:pt idx="67">
                  <c:v>5984</c:v>
                </c:pt>
                <c:pt idx="68">
                  <c:v>6072</c:v>
                </c:pt>
                <c:pt idx="69">
                  <c:v>6160</c:v>
                </c:pt>
                <c:pt idx="70">
                  <c:v>6248</c:v>
                </c:pt>
                <c:pt idx="71">
                  <c:v>6336</c:v>
                </c:pt>
                <c:pt idx="72">
                  <c:v>6424</c:v>
                </c:pt>
                <c:pt idx="73">
                  <c:v>6512</c:v>
                </c:pt>
                <c:pt idx="74">
                  <c:v>6600</c:v>
                </c:pt>
                <c:pt idx="75">
                  <c:v>6688</c:v>
                </c:pt>
                <c:pt idx="76">
                  <c:v>6776</c:v>
                </c:pt>
                <c:pt idx="77">
                  <c:v>6864</c:v>
                </c:pt>
                <c:pt idx="78">
                  <c:v>6952</c:v>
                </c:pt>
                <c:pt idx="79">
                  <c:v>7040</c:v>
                </c:pt>
                <c:pt idx="80">
                  <c:v>7128</c:v>
                </c:pt>
                <c:pt idx="81">
                  <c:v>7216</c:v>
                </c:pt>
                <c:pt idx="82">
                  <c:v>7304</c:v>
                </c:pt>
                <c:pt idx="83">
                  <c:v>7392</c:v>
                </c:pt>
                <c:pt idx="84">
                  <c:v>7480</c:v>
                </c:pt>
                <c:pt idx="85">
                  <c:v>7568</c:v>
                </c:pt>
                <c:pt idx="86">
                  <c:v>7656</c:v>
                </c:pt>
                <c:pt idx="87">
                  <c:v>7744</c:v>
                </c:pt>
                <c:pt idx="88">
                  <c:v>7832</c:v>
                </c:pt>
                <c:pt idx="89">
                  <c:v>7920</c:v>
                </c:pt>
                <c:pt idx="90">
                  <c:v>8008</c:v>
                </c:pt>
                <c:pt idx="91">
                  <c:v>8096</c:v>
                </c:pt>
                <c:pt idx="92">
                  <c:v>8184</c:v>
                </c:pt>
                <c:pt idx="93">
                  <c:v>8272</c:v>
                </c:pt>
                <c:pt idx="94">
                  <c:v>8360</c:v>
                </c:pt>
                <c:pt idx="95">
                  <c:v>8448</c:v>
                </c:pt>
                <c:pt idx="96">
                  <c:v>8536</c:v>
                </c:pt>
                <c:pt idx="97">
                  <c:v>8624</c:v>
                </c:pt>
                <c:pt idx="98">
                  <c:v>8712</c:v>
                </c:pt>
                <c:pt idx="99">
                  <c:v>8800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总产出!$H$28</c:f>
              <c:strCache>
                <c:ptCount val="1"/>
                <c:pt idx="0">
                  <c:v>每日累积产出金币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总产出!$H$29:$H$128</c:f>
              <c:numCache>
                <c:formatCode>General</c:formatCode>
                <c:ptCount val="100"/>
                <c:pt idx="0">
                  <c:v>98</c:v>
                </c:pt>
                <c:pt idx="1">
                  <c:v>243</c:v>
                </c:pt>
                <c:pt idx="2">
                  <c:v>785</c:v>
                </c:pt>
                <c:pt idx="3">
                  <c:v>834</c:v>
                </c:pt>
                <c:pt idx="4">
                  <c:v>1135</c:v>
                </c:pt>
                <c:pt idx="5">
                  <c:v>1573</c:v>
                </c:pt>
                <c:pt idx="6">
                  <c:v>1663</c:v>
                </c:pt>
                <c:pt idx="7">
                  <c:v>1720</c:v>
                </c:pt>
                <c:pt idx="8">
                  <c:v>1779</c:v>
                </c:pt>
                <c:pt idx="9">
                  <c:v>1970</c:v>
                </c:pt>
                <c:pt idx="10">
                  <c:v>2033</c:v>
                </c:pt>
                <c:pt idx="11">
                  <c:v>2098</c:v>
                </c:pt>
                <c:pt idx="12">
                  <c:v>2300</c:v>
                </c:pt>
                <c:pt idx="13">
                  <c:v>2369</c:v>
                </c:pt>
                <c:pt idx="14">
                  <c:v>2440</c:v>
                </c:pt>
                <c:pt idx="15">
                  <c:v>2513</c:v>
                </c:pt>
                <c:pt idx="16">
                  <c:v>2718</c:v>
                </c:pt>
                <c:pt idx="17">
                  <c:v>2795</c:v>
                </c:pt>
                <c:pt idx="18">
                  <c:v>2874</c:v>
                </c:pt>
                <c:pt idx="19">
                  <c:v>3090</c:v>
                </c:pt>
                <c:pt idx="20">
                  <c:v>3173</c:v>
                </c:pt>
                <c:pt idx="21">
                  <c:v>3258</c:v>
                </c:pt>
                <c:pt idx="22">
                  <c:v>3345</c:v>
                </c:pt>
                <c:pt idx="23">
                  <c:v>3564</c:v>
                </c:pt>
                <c:pt idx="24">
                  <c:v>3655</c:v>
                </c:pt>
                <c:pt idx="25">
                  <c:v>3748</c:v>
                </c:pt>
                <c:pt idx="26">
                  <c:v>3978</c:v>
                </c:pt>
                <c:pt idx="27">
                  <c:v>4075</c:v>
                </c:pt>
                <c:pt idx="28">
                  <c:v>4174</c:v>
                </c:pt>
                <c:pt idx="29">
                  <c:v>4425</c:v>
                </c:pt>
                <c:pt idx="30">
                  <c:v>4658</c:v>
                </c:pt>
                <c:pt idx="31">
                  <c:v>4763</c:v>
                </c:pt>
                <c:pt idx="32">
                  <c:v>4870</c:v>
                </c:pt>
                <c:pt idx="33">
                  <c:v>5046</c:v>
                </c:pt>
                <c:pt idx="34">
                  <c:v>5087</c:v>
                </c:pt>
                <c:pt idx="35">
                  <c:v>5128</c:v>
                </c:pt>
                <c:pt idx="36">
                  <c:v>5169</c:v>
                </c:pt>
                <c:pt idx="37">
                  <c:v>5340</c:v>
                </c:pt>
                <c:pt idx="38">
                  <c:v>5381</c:v>
                </c:pt>
                <c:pt idx="39">
                  <c:v>5422</c:v>
                </c:pt>
                <c:pt idx="40">
                  <c:v>5598</c:v>
                </c:pt>
                <c:pt idx="41">
                  <c:v>5639</c:v>
                </c:pt>
                <c:pt idx="42">
                  <c:v>5680</c:v>
                </c:pt>
                <c:pt idx="43">
                  <c:v>5721</c:v>
                </c:pt>
                <c:pt idx="44">
                  <c:v>5892</c:v>
                </c:pt>
                <c:pt idx="45">
                  <c:v>5933</c:v>
                </c:pt>
                <c:pt idx="46">
                  <c:v>5974</c:v>
                </c:pt>
                <c:pt idx="47">
                  <c:v>6150</c:v>
                </c:pt>
                <c:pt idx="48">
                  <c:v>6191</c:v>
                </c:pt>
                <c:pt idx="49">
                  <c:v>6232</c:v>
                </c:pt>
                <c:pt idx="50">
                  <c:v>6273</c:v>
                </c:pt>
                <c:pt idx="51">
                  <c:v>6444</c:v>
                </c:pt>
                <c:pt idx="52">
                  <c:v>6485</c:v>
                </c:pt>
                <c:pt idx="53">
                  <c:v>6526</c:v>
                </c:pt>
                <c:pt idx="54">
                  <c:v>6702</c:v>
                </c:pt>
                <c:pt idx="55">
                  <c:v>6743</c:v>
                </c:pt>
                <c:pt idx="56">
                  <c:v>6784</c:v>
                </c:pt>
                <c:pt idx="57">
                  <c:v>6825</c:v>
                </c:pt>
                <c:pt idx="58">
                  <c:v>6996</c:v>
                </c:pt>
                <c:pt idx="59">
                  <c:v>7037</c:v>
                </c:pt>
                <c:pt idx="60">
                  <c:v>7078</c:v>
                </c:pt>
                <c:pt idx="61">
                  <c:v>7254</c:v>
                </c:pt>
                <c:pt idx="62">
                  <c:v>7295</c:v>
                </c:pt>
                <c:pt idx="63">
                  <c:v>7336</c:v>
                </c:pt>
                <c:pt idx="64">
                  <c:v>7377</c:v>
                </c:pt>
                <c:pt idx="65">
                  <c:v>7548</c:v>
                </c:pt>
                <c:pt idx="66">
                  <c:v>7589</c:v>
                </c:pt>
                <c:pt idx="67">
                  <c:v>7630</c:v>
                </c:pt>
                <c:pt idx="68">
                  <c:v>7806</c:v>
                </c:pt>
                <c:pt idx="69">
                  <c:v>7847</c:v>
                </c:pt>
                <c:pt idx="70">
                  <c:v>7888</c:v>
                </c:pt>
                <c:pt idx="71">
                  <c:v>7929</c:v>
                </c:pt>
                <c:pt idx="72">
                  <c:v>8100</c:v>
                </c:pt>
                <c:pt idx="73">
                  <c:v>8141</c:v>
                </c:pt>
                <c:pt idx="74">
                  <c:v>8182</c:v>
                </c:pt>
                <c:pt idx="75">
                  <c:v>8358</c:v>
                </c:pt>
                <c:pt idx="76">
                  <c:v>8399</c:v>
                </c:pt>
                <c:pt idx="77">
                  <c:v>8440</c:v>
                </c:pt>
                <c:pt idx="78">
                  <c:v>8481</c:v>
                </c:pt>
                <c:pt idx="79">
                  <c:v>8652</c:v>
                </c:pt>
                <c:pt idx="80">
                  <c:v>8693</c:v>
                </c:pt>
                <c:pt idx="81">
                  <c:v>8734</c:v>
                </c:pt>
                <c:pt idx="82">
                  <c:v>8910</c:v>
                </c:pt>
                <c:pt idx="83">
                  <c:v>8951</c:v>
                </c:pt>
                <c:pt idx="84">
                  <c:v>8992</c:v>
                </c:pt>
                <c:pt idx="85">
                  <c:v>9033</c:v>
                </c:pt>
                <c:pt idx="86">
                  <c:v>9204</c:v>
                </c:pt>
                <c:pt idx="87">
                  <c:v>9245</c:v>
                </c:pt>
                <c:pt idx="88">
                  <c:v>9286</c:v>
                </c:pt>
                <c:pt idx="89">
                  <c:v>9912</c:v>
                </c:pt>
                <c:pt idx="90">
                  <c:v>9953</c:v>
                </c:pt>
                <c:pt idx="91">
                  <c:v>9994</c:v>
                </c:pt>
                <c:pt idx="92">
                  <c:v>10035</c:v>
                </c:pt>
                <c:pt idx="93">
                  <c:v>10206</c:v>
                </c:pt>
                <c:pt idx="94">
                  <c:v>10247</c:v>
                </c:pt>
                <c:pt idx="95">
                  <c:v>10288</c:v>
                </c:pt>
                <c:pt idx="96">
                  <c:v>10464</c:v>
                </c:pt>
                <c:pt idx="97">
                  <c:v>10505</c:v>
                </c:pt>
                <c:pt idx="98">
                  <c:v>10546</c:v>
                </c:pt>
                <c:pt idx="99">
                  <c:v>10587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7319158"/>
        <c:axId val="527470970"/>
      </c:lineChart>
      <c:catAx>
        <c:axId val="9073191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7470970"/>
        <c:crosses val="autoZero"/>
        <c:auto val="1"/>
        <c:lblAlgn val="ctr"/>
        <c:lblOffset val="100"/>
        <c:noMultiLvlLbl val="0"/>
      </c:catAx>
      <c:valAx>
        <c:axId val="5274709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3191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6d1ca08-a08b-4209-80bb-64c7ff83b89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总产出!$E$28</c:f>
              <c:strCache>
                <c:ptCount val="1"/>
                <c:pt idx="0">
                  <c:v>单日总损耗金币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总产出!$E$29:$E$128</c:f>
              <c:numCache>
                <c:formatCode>General</c:formatCode>
                <c:ptCount val="100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88</c:v>
                </c:pt>
                <c:pt idx="8">
                  <c:v>88</c:v>
                </c:pt>
                <c:pt idx="9">
                  <c:v>88</c:v>
                </c:pt>
                <c:pt idx="10">
                  <c:v>88</c:v>
                </c:pt>
                <c:pt idx="11">
                  <c:v>88</c:v>
                </c:pt>
                <c:pt idx="12">
                  <c:v>88</c:v>
                </c:pt>
                <c:pt idx="13">
                  <c:v>88</c:v>
                </c:pt>
                <c:pt idx="14">
                  <c:v>88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88</c:v>
                </c:pt>
                <c:pt idx="31">
                  <c:v>88</c:v>
                </c:pt>
                <c:pt idx="32">
                  <c:v>88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88</c:v>
                </c:pt>
                <c:pt idx="37">
                  <c:v>88</c:v>
                </c:pt>
                <c:pt idx="38">
                  <c:v>88</c:v>
                </c:pt>
                <c:pt idx="39">
                  <c:v>88</c:v>
                </c:pt>
                <c:pt idx="40">
                  <c:v>88</c:v>
                </c:pt>
                <c:pt idx="41">
                  <c:v>88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88</c:v>
                </c:pt>
                <c:pt idx="52">
                  <c:v>88</c:v>
                </c:pt>
                <c:pt idx="53">
                  <c:v>88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88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总产出!$G$28</c:f>
              <c:strCache>
                <c:ptCount val="1"/>
                <c:pt idx="0">
                  <c:v>单日总产出金币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总产出!$G$29:$G$128</c:f>
              <c:numCache>
                <c:formatCode>General</c:formatCode>
                <c:ptCount val="100"/>
                <c:pt idx="0">
                  <c:v>98</c:v>
                </c:pt>
                <c:pt idx="1">
                  <c:v>145</c:v>
                </c:pt>
                <c:pt idx="2">
                  <c:v>542</c:v>
                </c:pt>
                <c:pt idx="3">
                  <c:v>49</c:v>
                </c:pt>
                <c:pt idx="4">
                  <c:v>301</c:v>
                </c:pt>
                <c:pt idx="5">
                  <c:v>438</c:v>
                </c:pt>
                <c:pt idx="6">
                  <c:v>90</c:v>
                </c:pt>
                <c:pt idx="7">
                  <c:v>57</c:v>
                </c:pt>
                <c:pt idx="8">
                  <c:v>59</c:v>
                </c:pt>
                <c:pt idx="9">
                  <c:v>191</c:v>
                </c:pt>
                <c:pt idx="10">
                  <c:v>63</c:v>
                </c:pt>
                <c:pt idx="11">
                  <c:v>65</c:v>
                </c:pt>
                <c:pt idx="12">
                  <c:v>202</c:v>
                </c:pt>
                <c:pt idx="13">
                  <c:v>69</c:v>
                </c:pt>
                <c:pt idx="14">
                  <c:v>71</c:v>
                </c:pt>
                <c:pt idx="15">
                  <c:v>73</c:v>
                </c:pt>
                <c:pt idx="16">
                  <c:v>205</c:v>
                </c:pt>
                <c:pt idx="17">
                  <c:v>77</c:v>
                </c:pt>
                <c:pt idx="18">
                  <c:v>79</c:v>
                </c:pt>
                <c:pt idx="19">
                  <c:v>216</c:v>
                </c:pt>
                <c:pt idx="20">
                  <c:v>83</c:v>
                </c:pt>
                <c:pt idx="21">
                  <c:v>85</c:v>
                </c:pt>
                <c:pt idx="22">
                  <c:v>87</c:v>
                </c:pt>
                <c:pt idx="23">
                  <c:v>219</c:v>
                </c:pt>
                <c:pt idx="24">
                  <c:v>91</c:v>
                </c:pt>
                <c:pt idx="25">
                  <c:v>93</c:v>
                </c:pt>
                <c:pt idx="26">
                  <c:v>230</c:v>
                </c:pt>
                <c:pt idx="27">
                  <c:v>97</c:v>
                </c:pt>
                <c:pt idx="28">
                  <c:v>99</c:v>
                </c:pt>
                <c:pt idx="29">
                  <c:v>251</c:v>
                </c:pt>
                <c:pt idx="30">
                  <c:v>233</c:v>
                </c:pt>
                <c:pt idx="31">
                  <c:v>105</c:v>
                </c:pt>
                <c:pt idx="32">
                  <c:v>107</c:v>
                </c:pt>
                <c:pt idx="33">
                  <c:v>176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171</c:v>
                </c:pt>
                <c:pt idx="38">
                  <c:v>41</c:v>
                </c:pt>
                <c:pt idx="39">
                  <c:v>41</c:v>
                </c:pt>
                <c:pt idx="40">
                  <c:v>176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171</c:v>
                </c:pt>
                <c:pt idx="45">
                  <c:v>41</c:v>
                </c:pt>
                <c:pt idx="46">
                  <c:v>41</c:v>
                </c:pt>
                <c:pt idx="47">
                  <c:v>176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171</c:v>
                </c:pt>
                <c:pt idx="52">
                  <c:v>41</c:v>
                </c:pt>
                <c:pt idx="53">
                  <c:v>41</c:v>
                </c:pt>
                <c:pt idx="54">
                  <c:v>176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171</c:v>
                </c:pt>
                <c:pt idx="59">
                  <c:v>41</c:v>
                </c:pt>
                <c:pt idx="60">
                  <c:v>41</c:v>
                </c:pt>
                <c:pt idx="61">
                  <c:v>176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171</c:v>
                </c:pt>
                <c:pt idx="66">
                  <c:v>41</c:v>
                </c:pt>
                <c:pt idx="67">
                  <c:v>41</c:v>
                </c:pt>
                <c:pt idx="68">
                  <c:v>176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171</c:v>
                </c:pt>
                <c:pt idx="73">
                  <c:v>41</c:v>
                </c:pt>
                <c:pt idx="74">
                  <c:v>41</c:v>
                </c:pt>
                <c:pt idx="75">
                  <c:v>176</c:v>
                </c:pt>
                <c:pt idx="76">
                  <c:v>41</c:v>
                </c:pt>
                <c:pt idx="77">
                  <c:v>41</c:v>
                </c:pt>
                <c:pt idx="78">
                  <c:v>41</c:v>
                </c:pt>
                <c:pt idx="79">
                  <c:v>171</c:v>
                </c:pt>
                <c:pt idx="80">
                  <c:v>41</c:v>
                </c:pt>
                <c:pt idx="81">
                  <c:v>41</c:v>
                </c:pt>
                <c:pt idx="82">
                  <c:v>176</c:v>
                </c:pt>
                <c:pt idx="83">
                  <c:v>41</c:v>
                </c:pt>
                <c:pt idx="84">
                  <c:v>41</c:v>
                </c:pt>
                <c:pt idx="85">
                  <c:v>41</c:v>
                </c:pt>
                <c:pt idx="86">
                  <c:v>171</c:v>
                </c:pt>
                <c:pt idx="87">
                  <c:v>41</c:v>
                </c:pt>
                <c:pt idx="88">
                  <c:v>41</c:v>
                </c:pt>
                <c:pt idx="89">
                  <c:v>626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171</c:v>
                </c:pt>
                <c:pt idx="94">
                  <c:v>41</c:v>
                </c:pt>
                <c:pt idx="95">
                  <c:v>41</c:v>
                </c:pt>
                <c:pt idx="96">
                  <c:v>176</c:v>
                </c:pt>
                <c:pt idx="97">
                  <c:v>41</c:v>
                </c:pt>
                <c:pt idx="98">
                  <c:v>41</c:v>
                </c:pt>
                <c:pt idx="99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83221"/>
        <c:axId val="13707200"/>
      </c:lineChart>
      <c:catAx>
        <c:axId val="118832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07200"/>
        <c:crosses val="autoZero"/>
        <c:auto val="1"/>
        <c:lblAlgn val="ctr"/>
        <c:lblOffset val="100"/>
        <c:noMultiLvlLbl val="0"/>
      </c:catAx>
      <c:valAx>
        <c:axId val="137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832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3910bff-9bfb-4c99-9bde-f459930d8c1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每日任务损耗与产出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每日任务产出!$F$25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每日任务产出!$F$26:$F$125</c:f>
              <c:numCache>
                <c:formatCode>General</c:formatCode>
                <c:ptCount val="100"/>
                <c:pt idx="0">
                  <c:v>9</c:v>
                </c:pt>
                <c:pt idx="1">
                  <c:v>18</c:v>
                </c:pt>
                <c:pt idx="2">
                  <c:v>26</c:v>
                </c:pt>
                <c:pt idx="3">
                  <c:v>35</c:v>
                </c:pt>
                <c:pt idx="4">
                  <c:v>44</c:v>
                </c:pt>
                <c:pt idx="5">
                  <c:v>53</c:v>
                </c:pt>
                <c:pt idx="6">
                  <c:v>62</c:v>
                </c:pt>
                <c:pt idx="7">
                  <c:v>70</c:v>
                </c:pt>
                <c:pt idx="8">
                  <c:v>79</c:v>
                </c:pt>
                <c:pt idx="9">
                  <c:v>88</c:v>
                </c:pt>
                <c:pt idx="10">
                  <c:v>97</c:v>
                </c:pt>
                <c:pt idx="11">
                  <c:v>106</c:v>
                </c:pt>
                <c:pt idx="12">
                  <c:v>114</c:v>
                </c:pt>
                <c:pt idx="13">
                  <c:v>123</c:v>
                </c:pt>
                <c:pt idx="14">
                  <c:v>132</c:v>
                </c:pt>
                <c:pt idx="15">
                  <c:v>141</c:v>
                </c:pt>
                <c:pt idx="16">
                  <c:v>150</c:v>
                </c:pt>
                <c:pt idx="17">
                  <c:v>158</c:v>
                </c:pt>
                <c:pt idx="18">
                  <c:v>167</c:v>
                </c:pt>
                <c:pt idx="19">
                  <c:v>176</c:v>
                </c:pt>
                <c:pt idx="20">
                  <c:v>185</c:v>
                </c:pt>
                <c:pt idx="21">
                  <c:v>194</c:v>
                </c:pt>
                <c:pt idx="22">
                  <c:v>202</c:v>
                </c:pt>
                <c:pt idx="23">
                  <c:v>211</c:v>
                </c:pt>
                <c:pt idx="24">
                  <c:v>220</c:v>
                </c:pt>
                <c:pt idx="25">
                  <c:v>229</c:v>
                </c:pt>
                <c:pt idx="26">
                  <c:v>238</c:v>
                </c:pt>
                <c:pt idx="27">
                  <c:v>246</c:v>
                </c:pt>
                <c:pt idx="28">
                  <c:v>255</c:v>
                </c:pt>
                <c:pt idx="29">
                  <c:v>264</c:v>
                </c:pt>
                <c:pt idx="30">
                  <c:v>273</c:v>
                </c:pt>
                <c:pt idx="31">
                  <c:v>282</c:v>
                </c:pt>
                <c:pt idx="32">
                  <c:v>290</c:v>
                </c:pt>
                <c:pt idx="33">
                  <c:v>299</c:v>
                </c:pt>
                <c:pt idx="34">
                  <c:v>308</c:v>
                </c:pt>
                <c:pt idx="35">
                  <c:v>317</c:v>
                </c:pt>
                <c:pt idx="36">
                  <c:v>326</c:v>
                </c:pt>
                <c:pt idx="37">
                  <c:v>334</c:v>
                </c:pt>
                <c:pt idx="38">
                  <c:v>343</c:v>
                </c:pt>
                <c:pt idx="39">
                  <c:v>352</c:v>
                </c:pt>
                <c:pt idx="40">
                  <c:v>361</c:v>
                </c:pt>
                <c:pt idx="41">
                  <c:v>370</c:v>
                </c:pt>
                <c:pt idx="42">
                  <c:v>378</c:v>
                </c:pt>
                <c:pt idx="43">
                  <c:v>387</c:v>
                </c:pt>
                <c:pt idx="44">
                  <c:v>396</c:v>
                </c:pt>
                <c:pt idx="45">
                  <c:v>405</c:v>
                </c:pt>
                <c:pt idx="46">
                  <c:v>414</c:v>
                </c:pt>
                <c:pt idx="47">
                  <c:v>422</c:v>
                </c:pt>
                <c:pt idx="48">
                  <c:v>431</c:v>
                </c:pt>
                <c:pt idx="49">
                  <c:v>440</c:v>
                </c:pt>
                <c:pt idx="50">
                  <c:v>449</c:v>
                </c:pt>
                <c:pt idx="51">
                  <c:v>458</c:v>
                </c:pt>
                <c:pt idx="52">
                  <c:v>466</c:v>
                </c:pt>
                <c:pt idx="53">
                  <c:v>475</c:v>
                </c:pt>
                <c:pt idx="54">
                  <c:v>484</c:v>
                </c:pt>
                <c:pt idx="55">
                  <c:v>493</c:v>
                </c:pt>
                <c:pt idx="56">
                  <c:v>502</c:v>
                </c:pt>
                <c:pt idx="57">
                  <c:v>510</c:v>
                </c:pt>
                <c:pt idx="58">
                  <c:v>519</c:v>
                </c:pt>
                <c:pt idx="59">
                  <c:v>528</c:v>
                </c:pt>
                <c:pt idx="60">
                  <c:v>537</c:v>
                </c:pt>
                <c:pt idx="61">
                  <c:v>546</c:v>
                </c:pt>
                <c:pt idx="62">
                  <c:v>554</c:v>
                </c:pt>
                <c:pt idx="63">
                  <c:v>563</c:v>
                </c:pt>
                <c:pt idx="64">
                  <c:v>572</c:v>
                </c:pt>
                <c:pt idx="65">
                  <c:v>581</c:v>
                </c:pt>
                <c:pt idx="66">
                  <c:v>590</c:v>
                </c:pt>
                <c:pt idx="67">
                  <c:v>598</c:v>
                </c:pt>
                <c:pt idx="68">
                  <c:v>607</c:v>
                </c:pt>
                <c:pt idx="69">
                  <c:v>616</c:v>
                </c:pt>
                <c:pt idx="70">
                  <c:v>625</c:v>
                </c:pt>
                <c:pt idx="71">
                  <c:v>634</c:v>
                </c:pt>
                <c:pt idx="72">
                  <c:v>642</c:v>
                </c:pt>
                <c:pt idx="73">
                  <c:v>651</c:v>
                </c:pt>
                <c:pt idx="74">
                  <c:v>660</c:v>
                </c:pt>
                <c:pt idx="75">
                  <c:v>669</c:v>
                </c:pt>
                <c:pt idx="76">
                  <c:v>678</c:v>
                </c:pt>
                <c:pt idx="77">
                  <c:v>686</c:v>
                </c:pt>
                <c:pt idx="78">
                  <c:v>695</c:v>
                </c:pt>
                <c:pt idx="79">
                  <c:v>704</c:v>
                </c:pt>
                <c:pt idx="80">
                  <c:v>713</c:v>
                </c:pt>
                <c:pt idx="81">
                  <c:v>722</c:v>
                </c:pt>
                <c:pt idx="82">
                  <c:v>730</c:v>
                </c:pt>
                <c:pt idx="83">
                  <c:v>739</c:v>
                </c:pt>
                <c:pt idx="84">
                  <c:v>748</c:v>
                </c:pt>
                <c:pt idx="85">
                  <c:v>757</c:v>
                </c:pt>
                <c:pt idx="86">
                  <c:v>766</c:v>
                </c:pt>
                <c:pt idx="87">
                  <c:v>774</c:v>
                </c:pt>
                <c:pt idx="88">
                  <c:v>783</c:v>
                </c:pt>
                <c:pt idx="89">
                  <c:v>792</c:v>
                </c:pt>
                <c:pt idx="90">
                  <c:v>801</c:v>
                </c:pt>
                <c:pt idx="91">
                  <c:v>810</c:v>
                </c:pt>
                <c:pt idx="92">
                  <c:v>818</c:v>
                </c:pt>
                <c:pt idx="93">
                  <c:v>827</c:v>
                </c:pt>
                <c:pt idx="94">
                  <c:v>836</c:v>
                </c:pt>
                <c:pt idx="95">
                  <c:v>845</c:v>
                </c:pt>
                <c:pt idx="96">
                  <c:v>854</c:v>
                </c:pt>
                <c:pt idx="97">
                  <c:v>862</c:v>
                </c:pt>
                <c:pt idx="98">
                  <c:v>871</c:v>
                </c:pt>
                <c:pt idx="99">
                  <c:v>880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每日任务产出!$H$25</c:f>
              <c:strCache>
                <c:ptCount val="1"/>
                <c:pt idx="0">
                  <c:v>每日任务累积产出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每日任务产出!$H$26:$H$125</c:f>
              <c:numCache>
                <c:formatCode>General</c:formatCode>
                <c:ptCount val="10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23a39d5-97bb-469e-a4c7-4e4fabd17b7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每周任务损耗与产出</a:t>
            </a:r>
            <a:r>
              <a:rPr lang="en-US" altLang="zh-CN"/>
              <a:t>2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每周任务产出!$F$25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每周任务产出!$F$26:$F$125</c:f>
              <c:numCache>
                <c:formatCode>General</c:formatCode>
                <c:ptCount val="100"/>
                <c:pt idx="0">
                  <c:v>18</c:v>
                </c:pt>
                <c:pt idx="1">
                  <c:v>35</c:v>
                </c:pt>
                <c:pt idx="2">
                  <c:v>53</c:v>
                </c:pt>
                <c:pt idx="3">
                  <c:v>70</c:v>
                </c:pt>
                <c:pt idx="4">
                  <c:v>88</c:v>
                </c:pt>
                <c:pt idx="5">
                  <c:v>106</c:v>
                </c:pt>
                <c:pt idx="6">
                  <c:v>123</c:v>
                </c:pt>
                <c:pt idx="7">
                  <c:v>141</c:v>
                </c:pt>
                <c:pt idx="8">
                  <c:v>158</c:v>
                </c:pt>
                <c:pt idx="9">
                  <c:v>176</c:v>
                </c:pt>
                <c:pt idx="10">
                  <c:v>194</c:v>
                </c:pt>
                <c:pt idx="11">
                  <c:v>211</c:v>
                </c:pt>
                <c:pt idx="12">
                  <c:v>229</c:v>
                </c:pt>
                <c:pt idx="13">
                  <c:v>246</c:v>
                </c:pt>
                <c:pt idx="14">
                  <c:v>264</c:v>
                </c:pt>
                <c:pt idx="15">
                  <c:v>282</c:v>
                </c:pt>
                <c:pt idx="16">
                  <c:v>299</c:v>
                </c:pt>
                <c:pt idx="17">
                  <c:v>317</c:v>
                </c:pt>
                <c:pt idx="18">
                  <c:v>334</c:v>
                </c:pt>
                <c:pt idx="19">
                  <c:v>352</c:v>
                </c:pt>
                <c:pt idx="20">
                  <c:v>370</c:v>
                </c:pt>
                <c:pt idx="21">
                  <c:v>387</c:v>
                </c:pt>
                <c:pt idx="22">
                  <c:v>405</c:v>
                </c:pt>
                <c:pt idx="23">
                  <c:v>422</c:v>
                </c:pt>
                <c:pt idx="24">
                  <c:v>440</c:v>
                </c:pt>
                <c:pt idx="25">
                  <c:v>458</c:v>
                </c:pt>
                <c:pt idx="26">
                  <c:v>475</c:v>
                </c:pt>
                <c:pt idx="27">
                  <c:v>493</c:v>
                </c:pt>
                <c:pt idx="28">
                  <c:v>510</c:v>
                </c:pt>
                <c:pt idx="29">
                  <c:v>528</c:v>
                </c:pt>
                <c:pt idx="30">
                  <c:v>546</c:v>
                </c:pt>
                <c:pt idx="31">
                  <c:v>563</c:v>
                </c:pt>
                <c:pt idx="32">
                  <c:v>581</c:v>
                </c:pt>
                <c:pt idx="33">
                  <c:v>598</c:v>
                </c:pt>
                <c:pt idx="34">
                  <c:v>616</c:v>
                </c:pt>
                <c:pt idx="35">
                  <c:v>634</c:v>
                </c:pt>
                <c:pt idx="36">
                  <c:v>651</c:v>
                </c:pt>
                <c:pt idx="37">
                  <c:v>669</c:v>
                </c:pt>
                <c:pt idx="38">
                  <c:v>686</c:v>
                </c:pt>
                <c:pt idx="39">
                  <c:v>704</c:v>
                </c:pt>
                <c:pt idx="40">
                  <c:v>722</c:v>
                </c:pt>
                <c:pt idx="41">
                  <c:v>739</c:v>
                </c:pt>
                <c:pt idx="42">
                  <c:v>757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827</c:v>
                </c:pt>
                <c:pt idx="47">
                  <c:v>845</c:v>
                </c:pt>
                <c:pt idx="48">
                  <c:v>862</c:v>
                </c:pt>
                <c:pt idx="49">
                  <c:v>880</c:v>
                </c:pt>
                <c:pt idx="50">
                  <c:v>898</c:v>
                </c:pt>
                <c:pt idx="51">
                  <c:v>915</c:v>
                </c:pt>
                <c:pt idx="52">
                  <c:v>933</c:v>
                </c:pt>
                <c:pt idx="53">
                  <c:v>950</c:v>
                </c:pt>
                <c:pt idx="54">
                  <c:v>968</c:v>
                </c:pt>
                <c:pt idx="55">
                  <c:v>986</c:v>
                </c:pt>
                <c:pt idx="56">
                  <c:v>1003</c:v>
                </c:pt>
                <c:pt idx="57">
                  <c:v>1021</c:v>
                </c:pt>
                <c:pt idx="58">
                  <c:v>1038</c:v>
                </c:pt>
                <c:pt idx="59">
                  <c:v>1056</c:v>
                </c:pt>
                <c:pt idx="60">
                  <c:v>1074</c:v>
                </c:pt>
                <c:pt idx="61">
                  <c:v>1091</c:v>
                </c:pt>
                <c:pt idx="62">
                  <c:v>1109</c:v>
                </c:pt>
                <c:pt idx="63">
                  <c:v>1126</c:v>
                </c:pt>
                <c:pt idx="64">
                  <c:v>1144</c:v>
                </c:pt>
                <c:pt idx="65">
                  <c:v>1162</c:v>
                </c:pt>
                <c:pt idx="66">
                  <c:v>1179</c:v>
                </c:pt>
                <c:pt idx="67">
                  <c:v>1197</c:v>
                </c:pt>
                <c:pt idx="68">
                  <c:v>1214</c:v>
                </c:pt>
                <c:pt idx="69">
                  <c:v>1232</c:v>
                </c:pt>
                <c:pt idx="70">
                  <c:v>1250</c:v>
                </c:pt>
                <c:pt idx="71">
                  <c:v>1267</c:v>
                </c:pt>
                <c:pt idx="72">
                  <c:v>1285</c:v>
                </c:pt>
                <c:pt idx="73">
                  <c:v>1302</c:v>
                </c:pt>
                <c:pt idx="74">
                  <c:v>1320</c:v>
                </c:pt>
                <c:pt idx="75">
                  <c:v>1338</c:v>
                </c:pt>
                <c:pt idx="76">
                  <c:v>1355</c:v>
                </c:pt>
                <c:pt idx="77">
                  <c:v>1373</c:v>
                </c:pt>
                <c:pt idx="78">
                  <c:v>1390</c:v>
                </c:pt>
                <c:pt idx="79">
                  <c:v>1408</c:v>
                </c:pt>
                <c:pt idx="80">
                  <c:v>1426</c:v>
                </c:pt>
                <c:pt idx="81">
                  <c:v>1443</c:v>
                </c:pt>
                <c:pt idx="82">
                  <c:v>1461</c:v>
                </c:pt>
                <c:pt idx="83">
                  <c:v>1478</c:v>
                </c:pt>
                <c:pt idx="84">
                  <c:v>1496</c:v>
                </c:pt>
                <c:pt idx="85">
                  <c:v>1514</c:v>
                </c:pt>
                <c:pt idx="86">
                  <c:v>1531</c:v>
                </c:pt>
                <c:pt idx="87">
                  <c:v>1549</c:v>
                </c:pt>
                <c:pt idx="88">
                  <c:v>1566</c:v>
                </c:pt>
                <c:pt idx="89">
                  <c:v>1584</c:v>
                </c:pt>
                <c:pt idx="90">
                  <c:v>1602</c:v>
                </c:pt>
                <c:pt idx="91">
                  <c:v>1619</c:v>
                </c:pt>
                <c:pt idx="92">
                  <c:v>1637</c:v>
                </c:pt>
                <c:pt idx="93">
                  <c:v>1654</c:v>
                </c:pt>
                <c:pt idx="94">
                  <c:v>1672</c:v>
                </c:pt>
                <c:pt idx="95">
                  <c:v>1690</c:v>
                </c:pt>
                <c:pt idx="96">
                  <c:v>1707</c:v>
                </c:pt>
                <c:pt idx="97">
                  <c:v>1725</c:v>
                </c:pt>
                <c:pt idx="98">
                  <c:v>1742</c:v>
                </c:pt>
                <c:pt idx="99">
                  <c:v>1760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每周任务产出!$H$25</c:f>
              <c:strCache>
                <c:ptCount val="1"/>
                <c:pt idx="0">
                  <c:v>每周任务累积产出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每周任务产出!$H$26:$H$125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700</c:v>
                </c:pt>
                <c:pt idx="24">
                  <c:v>700</c:v>
                </c:pt>
                <c:pt idx="25">
                  <c:v>700</c:v>
                </c:pt>
                <c:pt idx="26">
                  <c:v>800</c:v>
                </c:pt>
                <c:pt idx="27">
                  <c:v>800</c:v>
                </c:pt>
                <c:pt idx="28">
                  <c:v>800</c:v>
                </c:pt>
                <c:pt idx="29">
                  <c:v>800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1100</c:v>
                </c:pt>
                <c:pt idx="38">
                  <c:v>1100</c:v>
                </c:pt>
                <c:pt idx="39">
                  <c:v>1100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1300</c:v>
                </c:pt>
                <c:pt idx="45">
                  <c:v>1300</c:v>
                </c:pt>
                <c:pt idx="46">
                  <c:v>1300</c:v>
                </c:pt>
                <c:pt idx="47">
                  <c:v>1400</c:v>
                </c:pt>
                <c:pt idx="48">
                  <c:v>1400</c:v>
                </c:pt>
                <c:pt idx="49">
                  <c:v>1400</c:v>
                </c:pt>
                <c:pt idx="50">
                  <c:v>1400</c:v>
                </c:pt>
                <c:pt idx="51">
                  <c:v>1500</c:v>
                </c:pt>
                <c:pt idx="52">
                  <c:v>1500</c:v>
                </c:pt>
                <c:pt idx="53">
                  <c:v>1500</c:v>
                </c:pt>
                <c:pt idx="54">
                  <c:v>1600</c:v>
                </c:pt>
                <c:pt idx="55">
                  <c:v>1600</c:v>
                </c:pt>
                <c:pt idx="56">
                  <c:v>1600</c:v>
                </c:pt>
                <c:pt idx="57">
                  <c:v>1600</c:v>
                </c:pt>
                <c:pt idx="58">
                  <c:v>1700</c:v>
                </c:pt>
                <c:pt idx="59">
                  <c:v>1700</c:v>
                </c:pt>
                <c:pt idx="60">
                  <c:v>1700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1900</c:v>
                </c:pt>
                <c:pt idx="66">
                  <c:v>1900</c:v>
                </c:pt>
                <c:pt idx="67">
                  <c:v>1900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2100</c:v>
                </c:pt>
                <c:pt idx="73">
                  <c:v>2100</c:v>
                </c:pt>
                <c:pt idx="74">
                  <c:v>2100</c:v>
                </c:pt>
                <c:pt idx="75">
                  <c:v>2200</c:v>
                </c:pt>
                <c:pt idx="76">
                  <c:v>2200</c:v>
                </c:pt>
                <c:pt idx="77">
                  <c:v>2200</c:v>
                </c:pt>
                <c:pt idx="78">
                  <c:v>2200</c:v>
                </c:pt>
                <c:pt idx="79">
                  <c:v>2300</c:v>
                </c:pt>
                <c:pt idx="80">
                  <c:v>2300</c:v>
                </c:pt>
                <c:pt idx="81">
                  <c:v>2300</c:v>
                </c:pt>
                <c:pt idx="82">
                  <c:v>2400</c:v>
                </c:pt>
                <c:pt idx="83">
                  <c:v>2400</c:v>
                </c:pt>
                <c:pt idx="84">
                  <c:v>2400</c:v>
                </c:pt>
                <c:pt idx="85">
                  <c:v>2400</c:v>
                </c:pt>
                <c:pt idx="86">
                  <c:v>2500</c:v>
                </c:pt>
                <c:pt idx="87">
                  <c:v>2500</c:v>
                </c:pt>
                <c:pt idx="88">
                  <c:v>2500</c:v>
                </c:pt>
                <c:pt idx="89">
                  <c:v>2600</c:v>
                </c:pt>
                <c:pt idx="90">
                  <c:v>2600</c:v>
                </c:pt>
                <c:pt idx="91">
                  <c:v>2600</c:v>
                </c:pt>
                <c:pt idx="92">
                  <c:v>2600</c:v>
                </c:pt>
                <c:pt idx="93">
                  <c:v>2700</c:v>
                </c:pt>
                <c:pt idx="94">
                  <c:v>2700</c:v>
                </c:pt>
                <c:pt idx="95">
                  <c:v>2700</c:v>
                </c:pt>
                <c:pt idx="96">
                  <c:v>2800</c:v>
                </c:pt>
                <c:pt idx="97">
                  <c:v>2800</c:v>
                </c:pt>
                <c:pt idx="98">
                  <c:v>2800</c:v>
                </c:pt>
                <c:pt idx="99">
                  <c:v>2800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bb36ba2-5819-4b66-bc7a-76ac1d646e7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每周任务损耗与产出</a:t>
            </a:r>
            <a:r>
              <a:rPr lang="en-US" altLang="zh-CN"/>
              <a:t>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每周任务产出!$Y$25</c:f>
              <c:strCache>
                <c:ptCount val="1"/>
                <c:pt idx="0">
                  <c:v>每周累积损耗金币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每周任务产出!$Y$26:$Y$39</c:f>
              <c:numCache>
                <c:formatCode>General</c:formatCode>
                <c:ptCount val="14"/>
                <c:pt idx="0">
                  <c:v>123</c:v>
                </c:pt>
                <c:pt idx="1">
                  <c:v>246</c:v>
                </c:pt>
                <c:pt idx="2">
                  <c:v>369</c:v>
                </c:pt>
                <c:pt idx="3">
                  <c:v>492</c:v>
                </c:pt>
                <c:pt idx="4">
                  <c:v>615</c:v>
                </c:pt>
                <c:pt idx="5">
                  <c:v>738</c:v>
                </c:pt>
                <c:pt idx="6">
                  <c:v>861</c:v>
                </c:pt>
                <c:pt idx="7">
                  <c:v>984</c:v>
                </c:pt>
                <c:pt idx="8">
                  <c:v>1107</c:v>
                </c:pt>
                <c:pt idx="9">
                  <c:v>1230</c:v>
                </c:pt>
                <c:pt idx="10">
                  <c:v>1353</c:v>
                </c:pt>
                <c:pt idx="11">
                  <c:v>1476</c:v>
                </c:pt>
                <c:pt idx="12">
                  <c:v>1599</c:v>
                </c:pt>
                <c:pt idx="13">
                  <c:v>1722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每周任务产出!$Z$25</c:f>
              <c:strCache>
                <c:ptCount val="1"/>
                <c:pt idx="0">
                  <c:v>每周任务累积产出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每周任务产出!$Z$26:$Z$39</c:f>
              <c:numCache>
                <c:formatCode>General</c:formatCode>
                <c:ptCount val="1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301008"/>
        <c:axId val="524087769"/>
      </c:lineChart>
      <c:catAx>
        <c:axId val="7430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4087769"/>
        <c:crosses val="autoZero"/>
        <c:auto val="1"/>
        <c:lblAlgn val="ctr"/>
        <c:lblOffset val="100"/>
        <c:noMultiLvlLbl val="0"/>
      </c:catAx>
      <c:valAx>
        <c:axId val="5240877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30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b0cfac1-5b3c-49f9-a1dc-355324f4fb7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每日宝箱损耗与产出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每日活跃度宝箱产出!$F$25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每日活跃度宝箱产出!$F$26:$F$125</c:f>
              <c:numCache>
                <c:formatCode>General</c:formatCode>
                <c:ptCount val="100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18</c:v>
                </c:pt>
                <c:pt idx="4">
                  <c:v>22</c:v>
                </c:pt>
                <c:pt idx="5">
                  <c:v>26</c:v>
                </c:pt>
                <c:pt idx="6">
                  <c:v>31</c:v>
                </c:pt>
                <c:pt idx="7">
                  <c:v>35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53</c:v>
                </c:pt>
                <c:pt idx="12">
                  <c:v>57</c:v>
                </c:pt>
                <c:pt idx="13">
                  <c:v>62</c:v>
                </c:pt>
                <c:pt idx="14">
                  <c:v>66</c:v>
                </c:pt>
                <c:pt idx="15">
                  <c:v>70</c:v>
                </c:pt>
                <c:pt idx="16">
                  <c:v>75</c:v>
                </c:pt>
                <c:pt idx="17">
                  <c:v>79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97</c:v>
                </c:pt>
                <c:pt idx="22">
                  <c:v>101</c:v>
                </c:pt>
                <c:pt idx="23">
                  <c:v>106</c:v>
                </c:pt>
                <c:pt idx="24">
                  <c:v>110</c:v>
                </c:pt>
                <c:pt idx="25">
                  <c:v>114</c:v>
                </c:pt>
                <c:pt idx="26">
                  <c:v>119</c:v>
                </c:pt>
                <c:pt idx="27">
                  <c:v>123</c:v>
                </c:pt>
                <c:pt idx="28">
                  <c:v>128</c:v>
                </c:pt>
                <c:pt idx="29">
                  <c:v>132</c:v>
                </c:pt>
                <c:pt idx="30">
                  <c:v>136</c:v>
                </c:pt>
                <c:pt idx="31">
                  <c:v>141</c:v>
                </c:pt>
                <c:pt idx="32">
                  <c:v>145</c:v>
                </c:pt>
                <c:pt idx="33">
                  <c:v>150</c:v>
                </c:pt>
                <c:pt idx="34">
                  <c:v>154</c:v>
                </c:pt>
                <c:pt idx="35">
                  <c:v>158</c:v>
                </c:pt>
                <c:pt idx="36">
                  <c:v>163</c:v>
                </c:pt>
                <c:pt idx="37">
                  <c:v>167</c:v>
                </c:pt>
                <c:pt idx="38">
                  <c:v>172</c:v>
                </c:pt>
                <c:pt idx="39">
                  <c:v>176</c:v>
                </c:pt>
                <c:pt idx="40">
                  <c:v>180</c:v>
                </c:pt>
                <c:pt idx="41">
                  <c:v>185</c:v>
                </c:pt>
                <c:pt idx="42">
                  <c:v>189</c:v>
                </c:pt>
                <c:pt idx="43">
                  <c:v>194</c:v>
                </c:pt>
                <c:pt idx="44">
                  <c:v>198</c:v>
                </c:pt>
                <c:pt idx="45">
                  <c:v>202</c:v>
                </c:pt>
                <c:pt idx="46">
                  <c:v>207</c:v>
                </c:pt>
                <c:pt idx="47">
                  <c:v>211</c:v>
                </c:pt>
                <c:pt idx="48">
                  <c:v>216</c:v>
                </c:pt>
                <c:pt idx="49">
                  <c:v>220</c:v>
                </c:pt>
                <c:pt idx="50">
                  <c:v>224</c:v>
                </c:pt>
                <c:pt idx="51">
                  <c:v>229</c:v>
                </c:pt>
                <c:pt idx="52">
                  <c:v>233</c:v>
                </c:pt>
                <c:pt idx="53">
                  <c:v>238</c:v>
                </c:pt>
                <c:pt idx="54">
                  <c:v>242</c:v>
                </c:pt>
                <c:pt idx="55">
                  <c:v>246</c:v>
                </c:pt>
                <c:pt idx="56">
                  <c:v>251</c:v>
                </c:pt>
                <c:pt idx="57">
                  <c:v>255</c:v>
                </c:pt>
                <c:pt idx="58">
                  <c:v>260</c:v>
                </c:pt>
                <c:pt idx="59">
                  <c:v>264</c:v>
                </c:pt>
                <c:pt idx="60">
                  <c:v>268</c:v>
                </c:pt>
                <c:pt idx="61">
                  <c:v>273</c:v>
                </c:pt>
                <c:pt idx="62">
                  <c:v>277</c:v>
                </c:pt>
                <c:pt idx="63">
                  <c:v>282</c:v>
                </c:pt>
                <c:pt idx="64">
                  <c:v>286</c:v>
                </c:pt>
                <c:pt idx="65">
                  <c:v>290</c:v>
                </c:pt>
                <c:pt idx="66">
                  <c:v>295</c:v>
                </c:pt>
                <c:pt idx="67">
                  <c:v>299</c:v>
                </c:pt>
                <c:pt idx="68">
                  <c:v>304</c:v>
                </c:pt>
                <c:pt idx="69">
                  <c:v>308</c:v>
                </c:pt>
                <c:pt idx="70">
                  <c:v>312</c:v>
                </c:pt>
                <c:pt idx="71">
                  <c:v>317</c:v>
                </c:pt>
                <c:pt idx="72">
                  <c:v>321</c:v>
                </c:pt>
                <c:pt idx="73">
                  <c:v>326</c:v>
                </c:pt>
                <c:pt idx="74">
                  <c:v>330</c:v>
                </c:pt>
                <c:pt idx="75">
                  <c:v>334</c:v>
                </c:pt>
                <c:pt idx="76">
                  <c:v>339</c:v>
                </c:pt>
                <c:pt idx="77">
                  <c:v>343</c:v>
                </c:pt>
                <c:pt idx="78">
                  <c:v>348</c:v>
                </c:pt>
                <c:pt idx="79">
                  <c:v>352</c:v>
                </c:pt>
                <c:pt idx="80">
                  <c:v>356</c:v>
                </c:pt>
                <c:pt idx="81">
                  <c:v>361</c:v>
                </c:pt>
                <c:pt idx="82">
                  <c:v>365</c:v>
                </c:pt>
                <c:pt idx="83">
                  <c:v>370</c:v>
                </c:pt>
                <c:pt idx="84">
                  <c:v>374</c:v>
                </c:pt>
                <c:pt idx="85">
                  <c:v>378</c:v>
                </c:pt>
                <c:pt idx="86">
                  <c:v>383</c:v>
                </c:pt>
                <c:pt idx="87">
                  <c:v>387</c:v>
                </c:pt>
                <c:pt idx="88">
                  <c:v>392</c:v>
                </c:pt>
                <c:pt idx="89">
                  <c:v>396</c:v>
                </c:pt>
                <c:pt idx="90">
                  <c:v>400</c:v>
                </c:pt>
                <c:pt idx="91">
                  <c:v>405</c:v>
                </c:pt>
                <c:pt idx="92">
                  <c:v>409</c:v>
                </c:pt>
                <c:pt idx="93">
                  <c:v>414</c:v>
                </c:pt>
                <c:pt idx="94">
                  <c:v>418</c:v>
                </c:pt>
                <c:pt idx="95">
                  <c:v>422</c:v>
                </c:pt>
                <c:pt idx="96">
                  <c:v>427</c:v>
                </c:pt>
                <c:pt idx="97">
                  <c:v>431</c:v>
                </c:pt>
                <c:pt idx="98">
                  <c:v>436</c:v>
                </c:pt>
                <c:pt idx="99">
                  <c:v>440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每日活跃度宝箱产出!$H$25</c:f>
              <c:strCache>
                <c:ptCount val="1"/>
                <c:pt idx="0">
                  <c:v>每日宝箱累积产出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每日活跃度宝箱产出!$H$26:$H$125</c:f>
              <c:numCache>
                <c:formatCode>General</c:formatCode>
                <c:ptCount val="100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  <c:pt idx="6">
                  <c:v>42</c:v>
                </c:pt>
                <c:pt idx="7">
                  <c:v>48</c:v>
                </c:pt>
                <c:pt idx="8">
                  <c:v>54</c:v>
                </c:pt>
                <c:pt idx="9">
                  <c:v>60</c:v>
                </c:pt>
                <c:pt idx="10">
                  <c:v>66</c:v>
                </c:pt>
                <c:pt idx="11">
                  <c:v>72</c:v>
                </c:pt>
                <c:pt idx="12">
                  <c:v>78</c:v>
                </c:pt>
                <c:pt idx="13">
                  <c:v>84</c:v>
                </c:pt>
                <c:pt idx="14">
                  <c:v>90</c:v>
                </c:pt>
                <c:pt idx="15">
                  <c:v>96</c:v>
                </c:pt>
                <c:pt idx="16">
                  <c:v>102</c:v>
                </c:pt>
                <c:pt idx="17">
                  <c:v>108</c:v>
                </c:pt>
                <c:pt idx="18">
                  <c:v>114</c:v>
                </c:pt>
                <c:pt idx="19">
                  <c:v>120</c:v>
                </c:pt>
                <c:pt idx="20">
                  <c:v>126</c:v>
                </c:pt>
                <c:pt idx="21">
                  <c:v>132</c:v>
                </c:pt>
                <c:pt idx="22">
                  <c:v>138</c:v>
                </c:pt>
                <c:pt idx="23">
                  <c:v>144</c:v>
                </c:pt>
                <c:pt idx="24">
                  <c:v>150</c:v>
                </c:pt>
                <c:pt idx="25">
                  <c:v>156</c:v>
                </c:pt>
                <c:pt idx="26">
                  <c:v>162</c:v>
                </c:pt>
                <c:pt idx="27">
                  <c:v>168</c:v>
                </c:pt>
                <c:pt idx="28">
                  <c:v>174</c:v>
                </c:pt>
                <c:pt idx="29">
                  <c:v>180</c:v>
                </c:pt>
                <c:pt idx="30">
                  <c:v>186</c:v>
                </c:pt>
                <c:pt idx="31">
                  <c:v>192</c:v>
                </c:pt>
                <c:pt idx="32">
                  <c:v>198</c:v>
                </c:pt>
                <c:pt idx="33">
                  <c:v>204</c:v>
                </c:pt>
                <c:pt idx="34">
                  <c:v>210</c:v>
                </c:pt>
                <c:pt idx="35">
                  <c:v>216</c:v>
                </c:pt>
                <c:pt idx="36">
                  <c:v>222</c:v>
                </c:pt>
                <c:pt idx="37">
                  <c:v>228</c:v>
                </c:pt>
                <c:pt idx="38">
                  <c:v>234</c:v>
                </c:pt>
                <c:pt idx="39">
                  <c:v>240</c:v>
                </c:pt>
                <c:pt idx="40">
                  <c:v>246</c:v>
                </c:pt>
                <c:pt idx="41">
                  <c:v>252</c:v>
                </c:pt>
                <c:pt idx="42">
                  <c:v>258</c:v>
                </c:pt>
                <c:pt idx="43">
                  <c:v>264</c:v>
                </c:pt>
                <c:pt idx="44">
                  <c:v>270</c:v>
                </c:pt>
                <c:pt idx="45">
                  <c:v>276</c:v>
                </c:pt>
                <c:pt idx="46">
                  <c:v>282</c:v>
                </c:pt>
                <c:pt idx="47">
                  <c:v>288</c:v>
                </c:pt>
                <c:pt idx="48">
                  <c:v>294</c:v>
                </c:pt>
                <c:pt idx="49">
                  <c:v>300</c:v>
                </c:pt>
                <c:pt idx="50">
                  <c:v>306</c:v>
                </c:pt>
                <c:pt idx="51">
                  <c:v>312</c:v>
                </c:pt>
                <c:pt idx="52">
                  <c:v>318</c:v>
                </c:pt>
                <c:pt idx="53">
                  <c:v>324</c:v>
                </c:pt>
                <c:pt idx="54">
                  <c:v>330</c:v>
                </c:pt>
                <c:pt idx="55">
                  <c:v>336</c:v>
                </c:pt>
                <c:pt idx="56">
                  <c:v>342</c:v>
                </c:pt>
                <c:pt idx="57">
                  <c:v>348</c:v>
                </c:pt>
                <c:pt idx="58">
                  <c:v>354</c:v>
                </c:pt>
                <c:pt idx="59">
                  <c:v>360</c:v>
                </c:pt>
                <c:pt idx="60">
                  <c:v>366</c:v>
                </c:pt>
                <c:pt idx="61">
                  <c:v>372</c:v>
                </c:pt>
                <c:pt idx="62">
                  <c:v>378</c:v>
                </c:pt>
                <c:pt idx="63">
                  <c:v>384</c:v>
                </c:pt>
                <c:pt idx="64">
                  <c:v>390</c:v>
                </c:pt>
                <c:pt idx="65">
                  <c:v>396</c:v>
                </c:pt>
                <c:pt idx="66">
                  <c:v>402</c:v>
                </c:pt>
                <c:pt idx="67">
                  <c:v>408</c:v>
                </c:pt>
                <c:pt idx="68">
                  <c:v>414</c:v>
                </c:pt>
                <c:pt idx="69">
                  <c:v>420</c:v>
                </c:pt>
                <c:pt idx="70">
                  <c:v>426</c:v>
                </c:pt>
                <c:pt idx="71">
                  <c:v>432</c:v>
                </c:pt>
                <c:pt idx="72">
                  <c:v>438</c:v>
                </c:pt>
                <c:pt idx="73">
                  <c:v>444</c:v>
                </c:pt>
                <c:pt idx="74">
                  <c:v>450</c:v>
                </c:pt>
                <c:pt idx="75">
                  <c:v>456</c:v>
                </c:pt>
                <c:pt idx="76">
                  <c:v>462</c:v>
                </c:pt>
                <c:pt idx="77">
                  <c:v>468</c:v>
                </c:pt>
                <c:pt idx="78">
                  <c:v>474</c:v>
                </c:pt>
                <c:pt idx="79">
                  <c:v>480</c:v>
                </c:pt>
                <c:pt idx="80">
                  <c:v>486</c:v>
                </c:pt>
                <c:pt idx="81">
                  <c:v>492</c:v>
                </c:pt>
                <c:pt idx="82">
                  <c:v>498</c:v>
                </c:pt>
                <c:pt idx="83">
                  <c:v>504</c:v>
                </c:pt>
                <c:pt idx="84">
                  <c:v>510</c:v>
                </c:pt>
                <c:pt idx="85">
                  <c:v>516</c:v>
                </c:pt>
                <c:pt idx="86">
                  <c:v>522</c:v>
                </c:pt>
                <c:pt idx="87">
                  <c:v>528</c:v>
                </c:pt>
                <c:pt idx="88">
                  <c:v>534</c:v>
                </c:pt>
                <c:pt idx="89">
                  <c:v>540</c:v>
                </c:pt>
                <c:pt idx="90">
                  <c:v>546</c:v>
                </c:pt>
                <c:pt idx="91">
                  <c:v>552</c:v>
                </c:pt>
                <c:pt idx="92">
                  <c:v>558</c:v>
                </c:pt>
                <c:pt idx="93">
                  <c:v>564</c:v>
                </c:pt>
                <c:pt idx="94">
                  <c:v>570</c:v>
                </c:pt>
                <c:pt idx="95">
                  <c:v>576</c:v>
                </c:pt>
                <c:pt idx="96">
                  <c:v>582</c:v>
                </c:pt>
                <c:pt idx="97">
                  <c:v>588</c:v>
                </c:pt>
                <c:pt idx="98">
                  <c:v>594</c:v>
                </c:pt>
                <c:pt idx="99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b2e1d3d-07ef-4d26-96cf-82fe53f9414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每周宝箱损耗与产出</a:t>
            </a:r>
            <a:r>
              <a:rPr lang="en-US" altLang="zh-CN"/>
              <a:t>2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每周活跃度宝箱产出!$F$25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每周活跃度宝箱产出!$F$26:$F$125</c:f>
              <c:numCache>
                <c:formatCode>General</c:formatCode>
                <c:ptCount val="100"/>
                <c:pt idx="0">
                  <c:v>9</c:v>
                </c:pt>
                <c:pt idx="1">
                  <c:v>18</c:v>
                </c:pt>
                <c:pt idx="2">
                  <c:v>26</c:v>
                </c:pt>
                <c:pt idx="3">
                  <c:v>35</c:v>
                </c:pt>
                <c:pt idx="4">
                  <c:v>44</c:v>
                </c:pt>
                <c:pt idx="5">
                  <c:v>53</c:v>
                </c:pt>
                <c:pt idx="6">
                  <c:v>62</c:v>
                </c:pt>
                <c:pt idx="7">
                  <c:v>70</c:v>
                </c:pt>
                <c:pt idx="8">
                  <c:v>79</c:v>
                </c:pt>
                <c:pt idx="9">
                  <c:v>88</c:v>
                </c:pt>
                <c:pt idx="10">
                  <c:v>97</c:v>
                </c:pt>
                <c:pt idx="11">
                  <c:v>106</c:v>
                </c:pt>
                <c:pt idx="12">
                  <c:v>114</c:v>
                </c:pt>
                <c:pt idx="13">
                  <c:v>123</c:v>
                </c:pt>
                <c:pt idx="14">
                  <c:v>132</c:v>
                </c:pt>
                <c:pt idx="15">
                  <c:v>141</c:v>
                </c:pt>
                <c:pt idx="16">
                  <c:v>150</c:v>
                </c:pt>
                <c:pt idx="17">
                  <c:v>158</c:v>
                </c:pt>
                <c:pt idx="18">
                  <c:v>167</c:v>
                </c:pt>
                <c:pt idx="19">
                  <c:v>176</c:v>
                </c:pt>
                <c:pt idx="20">
                  <c:v>185</c:v>
                </c:pt>
                <c:pt idx="21">
                  <c:v>194</c:v>
                </c:pt>
                <c:pt idx="22">
                  <c:v>202</c:v>
                </c:pt>
                <c:pt idx="23">
                  <c:v>211</c:v>
                </c:pt>
                <c:pt idx="24">
                  <c:v>220</c:v>
                </c:pt>
                <c:pt idx="25">
                  <c:v>229</c:v>
                </c:pt>
                <c:pt idx="26">
                  <c:v>238</c:v>
                </c:pt>
                <c:pt idx="27">
                  <c:v>246</c:v>
                </c:pt>
                <c:pt idx="28">
                  <c:v>255</c:v>
                </c:pt>
                <c:pt idx="29">
                  <c:v>264</c:v>
                </c:pt>
                <c:pt idx="30">
                  <c:v>273</c:v>
                </c:pt>
                <c:pt idx="31">
                  <c:v>282</c:v>
                </c:pt>
                <c:pt idx="32">
                  <c:v>290</c:v>
                </c:pt>
                <c:pt idx="33">
                  <c:v>299</c:v>
                </c:pt>
                <c:pt idx="34">
                  <c:v>308</c:v>
                </c:pt>
                <c:pt idx="35">
                  <c:v>317</c:v>
                </c:pt>
                <c:pt idx="36">
                  <c:v>326</c:v>
                </c:pt>
                <c:pt idx="37">
                  <c:v>334</c:v>
                </c:pt>
                <c:pt idx="38">
                  <c:v>343</c:v>
                </c:pt>
                <c:pt idx="39">
                  <c:v>352</c:v>
                </c:pt>
                <c:pt idx="40">
                  <c:v>361</c:v>
                </c:pt>
                <c:pt idx="41">
                  <c:v>370</c:v>
                </c:pt>
                <c:pt idx="42">
                  <c:v>378</c:v>
                </c:pt>
                <c:pt idx="43">
                  <c:v>387</c:v>
                </c:pt>
                <c:pt idx="44">
                  <c:v>396</c:v>
                </c:pt>
                <c:pt idx="45">
                  <c:v>405</c:v>
                </c:pt>
                <c:pt idx="46">
                  <c:v>414</c:v>
                </c:pt>
                <c:pt idx="47">
                  <c:v>422</c:v>
                </c:pt>
                <c:pt idx="48">
                  <c:v>431</c:v>
                </c:pt>
                <c:pt idx="49">
                  <c:v>440</c:v>
                </c:pt>
                <c:pt idx="50">
                  <c:v>449</c:v>
                </c:pt>
                <c:pt idx="51">
                  <c:v>458</c:v>
                </c:pt>
                <c:pt idx="52">
                  <c:v>466</c:v>
                </c:pt>
                <c:pt idx="53">
                  <c:v>475</c:v>
                </c:pt>
                <c:pt idx="54">
                  <c:v>484</c:v>
                </c:pt>
                <c:pt idx="55">
                  <c:v>493</c:v>
                </c:pt>
                <c:pt idx="56">
                  <c:v>502</c:v>
                </c:pt>
                <c:pt idx="57">
                  <c:v>510</c:v>
                </c:pt>
                <c:pt idx="58">
                  <c:v>519</c:v>
                </c:pt>
                <c:pt idx="59">
                  <c:v>528</c:v>
                </c:pt>
                <c:pt idx="60">
                  <c:v>537</c:v>
                </c:pt>
                <c:pt idx="61">
                  <c:v>546</c:v>
                </c:pt>
                <c:pt idx="62">
                  <c:v>554</c:v>
                </c:pt>
                <c:pt idx="63">
                  <c:v>563</c:v>
                </c:pt>
                <c:pt idx="64">
                  <c:v>572</c:v>
                </c:pt>
                <c:pt idx="65">
                  <c:v>581</c:v>
                </c:pt>
                <c:pt idx="66">
                  <c:v>590</c:v>
                </c:pt>
                <c:pt idx="67">
                  <c:v>598</c:v>
                </c:pt>
                <c:pt idx="68">
                  <c:v>607</c:v>
                </c:pt>
                <c:pt idx="69">
                  <c:v>616</c:v>
                </c:pt>
                <c:pt idx="70">
                  <c:v>625</c:v>
                </c:pt>
                <c:pt idx="71">
                  <c:v>634</c:v>
                </c:pt>
                <c:pt idx="72">
                  <c:v>642</c:v>
                </c:pt>
                <c:pt idx="73">
                  <c:v>651</c:v>
                </c:pt>
                <c:pt idx="74">
                  <c:v>660</c:v>
                </c:pt>
                <c:pt idx="75">
                  <c:v>669</c:v>
                </c:pt>
                <c:pt idx="76">
                  <c:v>678</c:v>
                </c:pt>
                <c:pt idx="77">
                  <c:v>686</c:v>
                </c:pt>
                <c:pt idx="78">
                  <c:v>695</c:v>
                </c:pt>
                <c:pt idx="79">
                  <c:v>704</c:v>
                </c:pt>
                <c:pt idx="80">
                  <c:v>713</c:v>
                </c:pt>
                <c:pt idx="81">
                  <c:v>722</c:v>
                </c:pt>
                <c:pt idx="82">
                  <c:v>730</c:v>
                </c:pt>
                <c:pt idx="83">
                  <c:v>739</c:v>
                </c:pt>
                <c:pt idx="84">
                  <c:v>748</c:v>
                </c:pt>
                <c:pt idx="85">
                  <c:v>757</c:v>
                </c:pt>
                <c:pt idx="86">
                  <c:v>766</c:v>
                </c:pt>
                <c:pt idx="87">
                  <c:v>774</c:v>
                </c:pt>
                <c:pt idx="88">
                  <c:v>783</c:v>
                </c:pt>
                <c:pt idx="89">
                  <c:v>792</c:v>
                </c:pt>
                <c:pt idx="90">
                  <c:v>801</c:v>
                </c:pt>
                <c:pt idx="91">
                  <c:v>810</c:v>
                </c:pt>
                <c:pt idx="92">
                  <c:v>818</c:v>
                </c:pt>
                <c:pt idx="93">
                  <c:v>827</c:v>
                </c:pt>
                <c:pt idx="94">
                  <c:v>836</c:v>
                </c:pt>
                <c:pt idx="95">
                  <c:v>845</c:v>
                </c:pt>
                <c:pt idx="96">
                  <c:v>854</c:v>
                </c:pt>
                <c:pt idx="97">
                  <c:v>862</c:v>
                </c:pt>
                <c:pt idx="98">
                  <c:v>871</c:v>
                </c:pt>
                <c:pt idx="99">
                  <c:v>880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每周活跃度宝箱产出!$H$25</c:f>
              <c:strCache>
                <c:ptCount val="1"/>
                <c:pt idx="0">
                  <c:v>每周宝箱累积产出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每周活跃度宝箱产出!$H$26:$H$125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225</c:v>
                </c:pt>
                <c:pt idx="24">
                  <c:v>225</c:v>
                </c:pt>
                <c:pt idx="25">
                  <c:v>225</c:v>
                </c:pt>
                <c:pt idx="26">
                  <c:v>260</c:v>
                </c:pt>
                <c:pt idx="27">
                  <c:v>260</c:v>
                </c:pt>
                <c:pt idx="28">
                  <c:v>260</c:v>
                </c:pt>
                <c:pt idx="29">
                  <c:v>260</c:v>
                </c:pt>
                <c:pt idx="30">
                  <c:v>290</c:v>
                </c:pt>
                <c:pt idx="31">
                  <c:v>290</c:v>
                </c:pt>
                <c:pt idx="32">
                  <c:v>290</c:v>
                </c:pt>
                <c:pt idx="33">
                  <c:v>325</c:v>
                </c:pt>
                <c:pt idx="34">
                  <c:v>325</c:v>
                </c:pt>
                <c:pt idx="35">
                  <c:v>325</c:v>
                </c:pt>
                <c:pt idx="36">
                  <c:v>325</c:v>
                </c:pt>
                <c:pt idx="37">
                  <c:v>355</c:v>
                </c:pt>
                <c:pt idx="38">
                  <c:v>355</c:v>
                </c:pt>
                <c:pt idx="39">
                  <c:v>355</c:v>
                </c:pt>
                <c:pt idx="40">
                  <c:v>390</c:v>
                </c:pt>
                <c:pt idx="41">
                  <c:v>390</c:v>
                </c:pt>
                <c:pt idx="42">
                  <c:v>390</c:v>
                </c:pt>
                <c:pt idx="43">
                  <c:v>390</c:v>
                </c:pt>
                <c:pt idx="44">
                  <c:v>420</c:v>
                </c:pt>
                <c:pt idx="45">
                  <c:v>420</c:v>
                </c:pt>
                <c:pt idx="46">
                  <c:v>420</c:v>
                </c:pt>
                <c:pt idx="47">
                  <c:v>455</c:v>
                </c:pt>
                <c:pt idx="48">
                  <c:v>455</c:v>
                </c:pt>
                <c:pt idx="49">
                  <c:v>455</c:v>
                </c:pt>
                <c:pt idx="50">
                  <c:v>455</c:v>
                </c:pt>
                <c:pt idx="51">
                  <c:v>485</c:v>
                </c:pt>
                <c:pt idx="52">
                  <c:v>485</c:v>
                </c:pt>
                <c:pt idx="53">
                  <c:v>485</c:v>
                </c:pt>
                <c:pt idx="54">
                  <c:v>520</c:v>
                </c:pt>
                <c:pt idx="55">
                  <c:v>520</c:v>
                </c:pt>
                <c:pt idx="56">
                  <c:v>520</c:v>
                </c:pt>
                <c:pt idx="57">
                  <c:v>520</c:v>
                </c:pt>
                <c:pt idx="58">
                  <c:v>550</c:v>
                </c:pt>
                <c:pt idx="59">
                  <c:v>550</c:v>
                </c:pt>
                <c:pt idx="60">
                  <c:v>550</c:v>
                </c:pt>
                <c:pt idx="61">
                  <c:v>585</c:v>
                </c:pt>
                <c:pt idx="62">
                  <c:v>585</c:v>
                </c:pt>
                <c:pt idx="63">
                  <c:v>585</c:v>
                </c:pt>
                <c:pt idx="64">
                  <c:v>585</c:v>
                </c:pt>
                <c:pt idx="65">
                  <c:v>615</c:v>
                </c:pt>
                <c:pt idx="66">
                  <c:v>615</c:v>
                </c:pt>
                <c:pt idx="67">
                  <c:v>615</c:v>
                </c:pt>
                <c:pt idx="68">
                  <c:v>650</c:v>
                </c:pt>
                <c:pt idx="69">
                  <c:v>650</c:v>
                </c:pt>
                <c:pt idx="70">
                  <c:v>650</c:v>
                </c:pt>
                <c:pt idx="71">
                  <c:v>650</c:v>
                </c:pt>
                <c:pt idx="72">
                  <c:v>680</c:v>
                </c:pt>
                <c:pt idx="73">
                  <c:v>680</c:v>
                </c:pt>
                <c:pt idx="74">
                  <c:v>680</c:v>
                </c:pt>
                <c:pt idx="75">
                  <c:v>715</c:v>
                </c:pt>
                <c:pt idx="76">
                  <c:v>715</c:v>
                </c:pt>
                <c:pt idx="77">
                  <c:v>715</c:v>
                </c:pt>
                <c:pt idx="78">
                  <c:v>715</c:v>
                </c:pt>
                <c:pt idx="79">
                  <c:v>745</c:v>
                </c:pt>
                <c:pt idx="80">
                  <c:v>745</c:v>
                </c:pt>
                <c:pt idx="81">
                  <c:v>745</c:v>
                </c:pt>
                <c:pt idx="82">
                  <c:v>780</c:v>
                </c:pt>
                <c:pt idx="83">
                  <c:v>780</c:v>
                </c:pt>
                <c:pt idx="84">
                  <c:v>780</c:v>
                </c:pt>
                <c:pt idx="85">
                  <c:v>780</c:v>
                </c:pt>
                <c:pt idx="86">
                  <c:v>810</c:v>
                </c:pt>
                <c:pt idx="87">
                  <c:v>810</c:v>
                </c:pt>
                <c:pt idx="88">
                  <c:v>810</c:v>
                </c:pt>
                <c:pt idx="89">
                  <c:v>845</c:v>
                </c:pt>
                <c:pt idx="90">
                  <c:v>845</c:v>
                </c:pt>
                <c:pt idx="91">
                  <c:v>845</c:v>
                </c:pt>
                <c:pt idx="92">
                  <c:v>845</c:v>
                </c:pt>
                <c:pt idx="93">
                  <c:v>875</c:v>
                </c:pt>
                <c:pt idx="94">
                  <c:v>875</c:v>
                </c:pt>
                <c:pt idx="95">
                  <c:v>875</c:v>
                </c:pt>
                <c:pt idx="96">
                  <c:v>910</c:v>
                </c:pt>
                <c:pt idx="97">
                  <c:v>910</c:v>
                </c:pt>
                <c:pt idx="98">
                  <c:v>910</c:v>
                </c:pt>
                <c:pt idx="99">
                  <c:v>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b2e1d3d-07ef-4d26-96cf-82fe53f9414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每周宝箱损耗与产出</a:t>
            </a:r>
            <a:r>
              <a:rPr lang="en-US" altLang="zh-CN"/>
              <a:t>1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每周活跃度宝箱产出!$O$25</c:f>
              <c:strCache>
                <c:ptCount val="1"/>
                <c:pt idx="0">
                  <c:v>每周累积损耗金币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每周活跃度宝箱产出!$O$26:$O$39</c:f>
              <c:numCache>
                <c:formatCode>General</c:formatCode>
                <c:ptCount val="14"/>
                <c:pt idx="0">
                  <c:v>62</c:v>
                </c:pt>
                <c:pt idx="1">
                  <c:v>124</c:v>
                </c:pt>
                <c:pt idx="2">
                  <c:v>186</c:v>
                </c:pt>
                <c:pt idx="3">
                  <c:v>248</c:v>
                </c:pt>
                <c:pt idx="4">
                  <c:v>310</c:v>
                </c:pt>
                <c:pt idx="5">
                  <c:v>372</c:v>
                </c:pt>
                <c:pt idx="6">
                  <c:v>434</c:v>
                </c:pt>
                <c:pt idx="7">
                  <c:v>496</c:v>
                </c:pt>
                <c:pt idx="8">
                  <c:v>558</c:v>
                </c:pt>
                <c:pt idx="9">
                  <c:v>620</c:v>
                </c:pt>
                <c:pt idx="10">
                  <c:v>682</c:v>
                </c:pt>
                <c:pt idx="11">
                  <c:v>744</c:v>
                </c:pt>
                <c:pt idx="12">
                  <c:v>806</c:v>
                </c:pt>
                <c:pt idx="13">
                  <c:v>868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每周活跃度宝箱产出!$P$25</c:f>
              <c:strCache>
                <c:ptCount val="1"/>
                <c:pt idx="0">
                  <c:v>每周任务累积产出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每周活跃度宝箱产出!$P$26:$P$39</c:f>
              <c:numCache>
                <c:formatCode>General</c:formatCode>
                <c:ptCount val="14"/>
                <c:pt idx="0">
                  <c:v>65</c:v>
                </c:pt>
                <c:pt idx="1">
                  <c:v>130</c:v>
                </c:pt>
                <c:pt idx="2">
                  <c:v>195</c:v>
                </c:pt>
                <c:pt idx="3">
                  <c:v>260</c:v>
                </c:pt>
                <c:pt idx="4">
                  <c:v>325</c:v>
                </c:pt>
                <c:pt idx="5">
                  <c:v>390</c:v>
                </c:pt>
                <c:pt idx="6">
                  <c:v>455</c:v>
                </c:pt>
                <c:pt idx="7">
                  <c:v>520</c:v>
                </c:pt>
                <c:pt idx="8">
                  <c:v>585</c:v>
                </c:pt>
                <c:pt idx="9">
                  <c:v>650</c:v>
                </c:pt>
                <c:pt idx="10">
                  <c:v>715</c:v>
                </c:pt>
                <c:pt idx="11">
                  <c:v>780</c:v>
                </c:pt>
                <c:pt idx="12">
                  <c:v>845</c:v>
                </c:pt>
                <c:pt idx="13">
                  <c:v>910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4935625"/>
        <c:axId val="911570841"/>
      </c:lineChart>
      <c:catAx>
        <c:axId val="9449356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1570841"/>
        <c:crosses val="autoZero"/>
        <c:auto val="1"/>
        <c:lblAlgn val="ctr"/>
        <c:lblOffset val="100"/>
        <c:noMultiLvlLbl val="0"/>
      </c:catAx>
      <c:valAx>
        <c:axId val="9115708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9356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2adca26-12e9-409c-af9c-0b35f95e1f3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成就损耗与产出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成就产出!$F$25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成就产出!$F$26:$F$125</c:f>
              <c:numCache>
                <c:formatCode>General</c:formatCode>
                <c:ptCount val="100"/>
                <c:pt idx="0">
                  <c:v>9</c:v>
                </c:pt>
                <c:pt idx="1">
                  <c:v>18</c:v>
                </c:pt>
                <c:pt idx="2">
                  <c:v>26</c:v>
                </c:pt>
                <c:pt idx="3">
                  <c:v>35</c:v>
                </c:pt>
                <c:pt idx="4">
                  <c:v>44</c:v>
                </c:pt>
                <c:pt idx="5">
                  <c:v>53</c:v>
                </c:pt>
                <c:pt idx="6">
                  <c:v>62</c:v>
                </c:pt>
                <c:pt idx="7">
                  <c:v>70</c:v>
                </c:pt>
                <c:pt idx="8">
                  <c:v>79</c:v>
                </c:pt>
                <c:pt idx="9">
                  <c:v>88</c:v>
                </c:pt>
                <c:pt idx="10">
                  <c:v>97</c:v>
                </c:pt>
                <c:pt idx="11">
                  <c:v>106</c:v>
                </c:pt>
                <c:pt idx="12">
                  <c:v>114</c:v>
                </c:pt>
                <c:pt idx="13">
                  <c:v>123</c:v>
                </c:pt>
                <c:pt idx="14">
                  <c:v>132</c:v>
                </c:pt>
                <c:pt idx="15">
                  <c:v>141</c:v>
                </c:pt>
                <c:pt idx="16">
                  <c:v>150</c:v>
                </c:pt>
                <c:pt idx="17">
                  <c:v>158</c:v>
                </c:pt>
                <c:pt idx="18">
                  <c:v>167</c:v>
                </c:pt>
                <c:pt idx="19">
                  <c:v>176</c:v>
                </c:pt>
                <c:pt idx="20">
                  <c:v>185</c:v>
                </c:pt>
                <c:pt idx="21">
                  <c:v>194</c:v>
                </c:pt>
                <c:pt idx="22">
                  <c:v>202</c:v>
                </c:pt>
                <c:pt idx="23">
                  <c:v>211</c:v>
                </c:pt>
                <c:pt idx="24">
                  <c:v>220</c:v>
                </c:pt>
                <c:pt idx="25">
                  <c:v>229</c:v>
                </c:pt>
                <c:pt idx="26">
                  <c:v>238</c:v>
                </c:pt>
                <c:pt idx="27">
                  <c:v>246</c:v>
                </c:pt>
                <c:pt idx="28">
                  <c:v>255</c:v>
                </c:pt>
                <c:pt idx="29">
                  <c:v>264</c:v>
                </c:pt>
                <c:pt idx="30">
                  <c:v>273</c:v>
                </c:pt>
                <c:pt idx="31">
                  <c:v>282</c:v>
                </c:pt>
                <c:pt idx="32">
                  <c:v>290</c:v>
                </c:pt>
                <c:pt idx="33">
                  <c:v>299</c:v>
                </c:pt>
                <c:pt idx="34">
                  <c:v>308</c:v>
                </c:pt>
                <c:pt idx="35">
                  <c:v>317</c:v>
                </c:pt>
                <c:pt idx="36">
                  <c:v>326</c:v>
                </c:pt>
                <c:pt idx="37">
                  <c:v>334</c:v>
                </c:pt>
                <c:pt idx="38">
                  <c:v>343</c:v>
                </c:pt>
                <c:pt idx="39">
                  <c:v>352</c:v>
                </c:pt>
                <c:pt idx="40">
                  <c:v>361</c:v>
                </c:pt>
                <c:pt idx="41">
                  <c:v>370</c:v>
                </c:pt>
                <c:pt idx="42">
                  <c:v>378</c:v>
                </c:pt>
                <c:pt idx="43">
                  <c:v>387</c:v>
                </c:pt>
                <c:pt idx="44">
                  <c:v>396</c:v>
                </c:pt>
                <c:pt idx="45">
                  <c:v>405</c:v>
                </c:pt>
                <c:pt idx="46">
                  <c:v>414</c:v>
                </c:pt>
                <c:pt idx="47">
                  <c:v>422</c:v>
                </c:pt>
                <c:pt idx="48">
                  <c:v>431</c:v>
                </c:pt>
                <c:pt idx="49">
                  <c:v>440</c:v>
                </c:pt>
                <c:pt idx="50">
                  <c:v>449</c:v>
                </c:pt>
                <c:pt idx="51">
                  <c:v>458</c:v>
                </c:pt>
                <c:pt idx="52">
                  <c:v>466</c:v>
                </c:pt>
                <c:pt idx="53">
                  <c:v>475</c:v>
                </c:pt>
                <c:pt idx="54">
                  <c:v>484</c:v>
                </c:pt>
                <c:pt idx="55">
                  <c:v>493</c:v>
                </c:pt>
                <c:pt idx="56">
                  <c:v>502</c:v>
                </c:pt>
                <c:pt idx="57">
                  <c:v>510</c:v>
                </c:pt>
                <c:pt idx="58">
                  <c:v>519</c:v>
                </c:pt>
                <c:pt idx="59">
                  <c:v>528</c:v>
                </c:pt>
                <c:pt idx="60">
                  <c:v>537</c:v>
                </c:pt>
                <c:pt idx="61">
                  <c:v>546</c:v>
                </c:pt>
                <c:pt idx="62">
                  <c:v>554</c:v>
                </c:pt>
                <c:pt idx="63">
                  <c:v>563</c:v>
                </c:pt>
                <c:pt idx="64">
                  <c:v>572</c:v>
                </c:pt>
                <c:pt idx="65">
                  <c:v>581</c:v>
                </c:pt>
                <c:pt idx="66">
                  <c:v>590</c:v>
                </c:pt>
                <c:pt idx="67">
                  <c:v>598</c:v>
                </c:pt>
                <c:pt idx="68">
                  <c:v>607</c:v>
                </c:pt>
                <c:pt idx="69">
                  <c:v>616</c:v>
                </c:pt>
                <c:pt idx="70">
                  <c:v>625</c:v>
                </c:pt>
                <c:pt idx="71">
                  <c:v>634</c:v>
                </c:pt>
                <c:pt idx="72">
                  <c:v>642</c:v>
                </c:pt>
                <c:pt idx="73">
                  <c:v>651</c:v>
                </c:pt>
                <c:pt idx="74">
                  <c:v>660</c:v>
                </c:pt>
                <c:pt idx="75">
                  <c:v>669</c:v>
                </c:pt>
                <c:pt idx="76">
                  <c:v>678</c:v>
                </c:pt>
                <c:pt idx="77">
                  <c:v>686</c:v>
                </c:pt>
                <c:pt idx="78">
                  <c:v>695</c:v>
                </c:pt>
                <c:pt idx="79">
                  <c:v>704</c:v>
                </c:pt>
                <c:pt idx="80">
                  <c:v>713</c:v>
                </c:pt>
                <c:pt idx="81">
                  <c:v>722</c:v>
                </c:pt>
                <c:pt idx="82">
                  <c:v>730</c:v>
                </c:pt>
                <c:pt idx="83">
                  <c:v>739</c:v>
                </c:pt>
                <c:pt idx="84">
                  <c:v>748</c:v>
                </c:pt>
                <c:pt idx="85">
                  <c:v>757</c:v>
                </c:pt>
                <c:pt idx="86">
                  <c:v>766</c:v>
                </c:pt>
                <c:pt idx="87">
                  <c:v>774</c:v>
                </c:pt>
                <c:pt idx="88">
                  <c:v>783</c:v>
                </c:pt>
                <c:pt idx="89">
                  <c:v>792</c:v>
                </c:pt>
                <c:pt idx="90">
                  <c:v>801</c:v>
                </c:pt>
                <c:pt idx="91">
                  <c:v>810</c:v>
                </c:pt>
                <c:pt idx="92">
                  <c:v>818</c:v>
                </c:pt>
                <c:pt idx="93">
                  <c:v>827</c:v>
                </c:pt>
                <c:pt idx="94">
                  <c:v>836</c:v>
                </c:pt>
                <c:pt idx="95">
                  <c:v>845</c:v>
                </c:pt>
                <c:pt idx="96">
                  <c:v>854</c:v>
                </c:pt>
                <c:pt idx="97">
                  <c:v>862</c:v>
                </c:pt>
                <c:pt idx="98">
                  <c:v>871</c:v>
                </c:pt>
                <c:pt idx="99">
                  <c:v>880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成就产出!$H$25</c:f>
              <c:strCache>
                <c:ptCount val="1"/>
                <c:pt idx="0">
                  <c:v>每日成就累积产出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成就产出!$H$26:$H$125</c:f>
              <c:numCache>
                <c:formatCode>General</c:formatCode>
                <c:ptCount val="100"/>
                <c:pt idx="0">
                  <c:v>57</c:v>
                </c:pt>
                <c:pt idx="1">
                  <c:v>161</c:v>
                </c:pt>
                <c:pt idx="2">
                  <c:v>532</c:v>
                </c:pt>
                <c:pt idx="3">
                  <c:v>540</c:v>
                </c:pt>
                <c:pt idx="4">
                  <c:v>800</c:v>
                </c:pt>
                <c:pt idx="5">
                  <c:v>1062</c:v>
                </c:pt>
                <c:pt idx="6">
                  <c:v>1111</c:v>
                </c:pt>
                <c:pt idx="7">
                  <c:v>1127</c:v>
                </c:pt>
                <c:pt idx="8">
                  <c:v>1145</c:v>
                </c:pt>
                <c:pt idx="9">
                  <c:v>1165</c:v>
                </c:pt>
                <c:pt idx="10">
                  <c:v>1187</c:v>
                </c:pt>
                <c:pt idx="11">
                  <c:v>1211</c:v>
                </c:pt>
                <c:pt idx="12">
                  <c:v>1237</c:v>
                </c:pt>
                <c:pt idx="13">
                  <c:v>1265</c:v>
                </c:pt>
                <c:pt idx="14">
                  <c:v>1295</c:v>
                </c:pt>
                <c:pt idx="15">
                  <c:v>1327</c:v>
                </c:pt>
                <c:pt idx="16">
                  <c:v>1361</c:v>
                </c:pt>
                <c:pt idx="17">
                  <c:v>1397</c:v>
                </c:pt>
                <c:pt idx="18">
                  <c:v>1435</c:v>
                </c:pt>
                <c:pt idx="19">
                  <c:v>1475</c:v>
                </c:pt>
                <c:pt idx="20">
                  <c:v>1517</c:v>
                </c:pt>
                <c:pt idx="21">
                  <c:v>1561</c:v>
                </c:pt>
                <c:pt idx="22">
                  <c:v>1607</c:v>
                </c:pt>
                <c:pt idx="23">
                  <c:v>1655</c:v>
                </c:pt>
                <c:pt idx="24">
                  <c:v>1705</c:v>
                </c:pt>
                <c:pt idx="25">
                  <c:v>1757</c:v>
                </c:pt>
                <c:pt idx="26">
                  <c:v>1811</c:v>
                </c:pt>
                <c:pt idx="27">
                  <c:v>1867</c:v>
                </c:pt>
                <c:pt idx="28">
                  <c:v>1925</c:v>
                </c:pt>
                <c:pt idx="29">
                  <c:v>2135</c:v>
                </c:pt>
                <c:pt idx="30">
                  <c:v>2197</c:v>
                </c:pt>
                <c:pt idx="31">
                  <c:v>2261</c:v>
                </c:pt>
                <c:pt idx="32">
                  <c:v>2327</c:v>
                </c:pt>
                <c:pt idx="33">
                  <c:v>2327</c:v>
                </c:pt>
                <c:pt idx="34">
                  <c:v>2327</c:v>
                </c:pt>
                <c:pt idx="35">
                  <c:v>2327</c:v>
                </c:pt>
                <c:pt idx="36">
                  <c:v>2327</c:v>
                </c:pt>
                <c:pt idx="37">
                  <c:v>2327</c:v>
                </c:pt>
                <c:pt idx="38">
                  <c:v>2327</c:v>
                </c:pt>
                <c:pt idx="39">
                  <c:v>2327</c:v>
                </c:pt>
                <c:pt idx="40">
                  <c:v>2327</c:v>
                </c:pt>
                <c:pt idx="41">
                  <c:v>2327</c:v>
                </c:pt>
                <c:pt idx="42">
                  <c:v>2327</c:v>
                </c:pt>
                <c:pt idx="43">
                  <c:v>2327</c:v>
                </c:pt>
                <c:pt idx="44">
                  <c:v>2327</c:v>
                </c:pt>
                <c:pt idx="45">
                  <c:v>2327</c:v>
                </c:pt>
                <c:pt idx="46">
                  <c:v>2327</c:v>
                </c:pt>
                <c:pt idx="47">
                  <c:v>2327</c:v>
                </c:pt>
                <c:pt idx="48">
                  <c:v>2327</c:v>
                </c:pt>
                <c:pt idx="49">
                  <c:v>2327</c:v>
                </c:pt>
                <c:pt idx="50">
                  <c:v>2327</c:v>
                </c:pt>
                <c:pt idx="51">
                  <c:v>2327</c:v>
                </c:pt>
                <c:pt idx="52">
                  <c:v>2327</c:v>
                </c:pt>
                <c:pt idx="53">
                  <c:v>2327</c:v>
                </c:pt>
                <c:pt idx="54">
                  <c:v>2327</c:v>
                </c:pt>
                <c:pt idx="55">
                  <c:v>2327</c:v>
                </c:pt>
                <c:pt idx="56">
                  <c:v>2327</c:v>
                </c:pt>
                <c:pt idx="57">
                  <c:v>2327</c:v>
                </c:pt>
                <c:pt idx="58">
                  <c:v>2327</c:v>
                </c:pt>
                <c:pt idx="59">
                  <c:v>2327</c:v>
                </c:pt>
                <c:pt idx="60">
                  <c:v>2327</c:v>
                </c:pt>
                <c:pt idx="61">
                  <c:v>2327</c:v>
                </c:pt>
                <c:pt idx="62">
                  <c:v>2327</c:v>
                </c:pt>
                <c:pt idx="63">
                  <c:v>2327</c:v>
                </c:pt>
                <c:pt idx="64">
                  <c:v>2327</c:v>
                </c:pt>
                <c:pt idx="65">
                  <c:v>2327</c:v>
                </c:pt>
                <c:pt idx="66">
                  <c:v>2327</c:v>
                </c:pt>
                <c:pt idx="67">
                  <c:v>2327</c:v>
                </c:pt>
                <c:pt idx="68">
                  <c:v>2327</c:v>
                </c:pt>
                <c:pt idx="69">
                  <c:v>2327</c:v>
                </c:pt>
                <c:pt idx="70">
                  <c:v>2327</c:v>
                </c:pt>
                <c:pt idx="71">
                  <c:v>2327</c:v>
                </c:pt>
                <c:pt idx="72">
                  <c:v>2327</c:v>
                </c:pt>
                <c:pt idx="73">
                  <c:v>2327</c:v>
                </c:pt>
                <c:pt idx="74">
                  <c:v>2327</c:v>
                </c:pt>
                <c:pt idx="75">
                  <c:v>2327</c:v>
                </c:pt>
                <c:pt idx="76">
                  <c:v>2327</c:v>
                </c:pt>
                <c:pt idx="77">
                  <c:v>2327</c:v>
                </c:pt>
                <c:pt idx="78">
                  <c:v>2327</c:v>
                </c:pt>
                <c:pt idx="79">
                  <c:v>2327</c:v>
                </c:pt>
                <c:pt idx="80">
                  <c:v>2327</c:v>
                </c:pt>
                <c:pt idx="81">
                  <c:v>2327</c:v>
                </c:pt>
                <c:pt idx="82">
                  <c:v>2327</c:v>
                </c:pt>
                <c:pt idx="83">
                  <c:v>2327</c:v>
                </c:pt>
                <c:pt idx="84">
                  <c:v>2327</c:v>
                </c:pt>
                <c:pt idx="85">
                  <c:v>2327</c:v>
                </c:pt>
                <c:pt idx="86">
                  <c:v>2327</c:v>
                </c:pt>
                <c:pt idx="87">
                  <c:v>2327</c:v>
                </c:pt>
                <c:pt idx="88">
                  <c:v>2327</c:v>
                </c:pt>
                <c:pt idx="89">
                  <c:v>2777</c:v>
                </c:pt>
                <c:pt idx="90">
                  <c:v>2777</c:v>
                </c:pt>
                <c:pt idx="91">
                  <c:v>2777</c:v>
                </c:pt>
                <c:pt idx="92">
                  <c:v>2777</c:v>
                </c:pt>
                <c:pt idx="93">
                  <c:v>2777</c:v>
                </c:pt>
                <c:pt idx="94">
                  <c:v>2777</c:v>
                </c:pt>
                <c:pt idx="95">
                  <c:v>2777</c:v>
                </c:pt>
                <c:pt idx="96">
                  <c:v>2777</c:v>
                </c:pt>
                <c:pt idx="97">
                  <c:v>2777</c:v>
                </c:pt>
                <c:pt idx="98">
                  <c:v>2777</c:v>
                </c:pt>
                <c:pt idx="99">
                  <c:v>2777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23a39d5-97bb-469e-a4c7-4e4fabd17b7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充值回馈活动损耗与产出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充值回馈活动产出!$F$25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充值回馈活动产出!$F$26:$F$125</c:f>
              <c:numCache>
                <c:formatCode>General</c:formatCode>
                <c:ptCount val="100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18</c:v>
                </c:pt>
                <c:pt idx="4">
                  <c:v>22</c:v>
                </c:pt>
                <c:pt idx="5">
                  <c:v>26</c:v>
                </c:pt>
                <c:pt idx="6">
                  <c:v>31</c:v>
                </c:pt>
                <c:pt idx="7">
                  <c:v>35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53</c:v>
                </c:pt>
                <c:pt idx="12">
                  <c:v>57</c:v>
                </c:pt>
                <c:pt idx="13">
                  <c:v>62</c:v>
                </c:pt>
                <c:pt idx="14">
                  <c:v>66</c:v>
                </c:pt>
                <c:pt idx="15">
                  <c:v>70</c:v>
                </c:pt>
                <c:pt idx="16">
                  <c:v>75</c:v>
                </c:pt>
                <c:pt idx="17">
                  <c:v>79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97</c:v>
                </c:pt>
                <c:pt idx="22">
                  <c:v>101</c:v>
                </c:pt>
                <c:pt idx="23">
                  <c:v>106</c:v>
                </c:pt>
                <c:pt idx="24">
                  <c:v>110</c:v>
                </c:pt>
                <c:pt idx="25">
                  <c:v>114</c:v>
                </c:pt>
                <c:pt idx="26">
                  <c:v>119</c:v>
                </c:pt>
                <c:pt idx="27">
                  <c:v>123</c:v>
                </c:pt>
                <c:pt idx="28">
                  <c:v>128</c:v>
                </c:pt>
                <c:pt idx="29">
                  <c:v>132</c:v>
                </c:pt>
                <c:pt idx="30">
                  <c:v>136</c:v>
                </c:pt>
                <c:pt idx="31">
                  <c:v>141</c:v>
                </c:pt>
                <c:pt idx="32">
                  <c:v>145</c:v>
                </c:pt>
                <c:pt idx="33">
                  <c:v>150</c:v>
                </c:pt>
                <c:pt idx="34">
                  <c:v>154</c:v>
                </c:pt>
                <c:pt idx="35">
                  <c:v>158</c:v>
                </c:pt>
                <c:pt idx="36">
                  <c:v>163</c:v>
                </c:pt>
                <c:pt idx="37">
                  <c:v>167</c:v>
                </c:pt>
                <c:pt idx="38">
                  <c:v>172</c:v>
                </c:pt>
                <c:pt idx="39">
                  <c:v>176</c:v>
                </c:pt>
                <c:pt idx="40">
                  <c:v>180</c:v>
                </c:pt>
                <c:pt idx="41">
                  <c:v>185</c:v>
                </c:pt>
                <c:pt idx="42">
                  <c:v>189</c:v>
                </c:pt>
                <c:pt idx="43">
                  <c:v>194</c:v>
                </c:pt>
                <c:pt idx="44">
                  <c:v>198</c:v>
                </c:pt>
                <c:pt idx="45">
                  <c:v>202</c:v>
                </c:pt>
                <c:pt idx="46">
                  <c:v>207</c:v>
                </c:pt>
                <c:pt idx="47">
                  <c:v>211</c:v>
                </c:pt>
                <c:pt idx="48">
                  <c:v>216</c:v>
                </c:pt>
                <c:pt idx="49">
                  <c:v>220</c:v>
                </c:pt>
                <c:pt idx="50">
                  <c:v>224</c:v>
                </c:pt>
                <c:pt idx="51">
                  <c:v>229</c:v>
                </c:pt>
                <c:pt idx="52">
                  <c:v>233</c:v>
                </c:pt>
                <c:pt idx="53">
                  <c:v>238</c:v>
                </c:pt>
                <c:pt idx="54">
                  <c:v>242</c:v>
                </c:pt>
                <c:pt idx="55">
                  <c:v>246</c:v>
                </c:pt>
                <c:pt idx="56">
                  <c:v>251</c:v>
                </c:pt>
                <c:pt idx="57">
                  <c:v>255</c:v>
                </c:pt>
                <c:pt idx="58">
                  <c:v>260</c:v>
                </c:pt>
                <c:pt idx="59">
                  <c:v>264</c:v>
                </c:pt>
                <c:pt idx="60">
                  <c:v>268</c:v>
                </c:pt>
                <c:pt idx="61">
                  <c:v>273</c:v>
                </c:pt>
                <c:pt idx="62">
                  <c:v>277</c:v>
                </c:pt>
                <c:pt idx="63">
                  <c:v>282</c:v>
                </c:pt>
                <c:pt idx="64">
                  <c:v>286</c:v>
                </c:pt>
                <c:pt idx="65">
                  <c:v>290</c:v>
                </c:pt>
                <c:pt idx="66">
                  <c:v>295</c:v>
                </c:pt>
                <c:pt idx="67">
                  <c:v>299</c:v>
                </c:pt>
                <c:pt idx="68">
                  <c:v>304</c:v>
                </c:pt>
                <c:pt idx="69">
                  <c:v>308</c:v>
                </c:pt>
                <c:pt idx="70">
                  <c:v>312</c:v>
                </c:pt>
                <c:pt idx="71">
                  <c:v>317</c:v>
                </c:pt>
                <c:pt idx="72">
                  <c:v>321</c:v>
                </c:pt>
                <c:pt idx="73">
                  <c:v>326</c:v>
                </c:pt>
                <c:pt idx="74">
                  <c:v>330</c:v>
                </c:pt>
                <c:pt idx="75">
                  <c:v>334</c:v>
                </c:pt>
                <c:pt idx="76">
                  <c:v>339</c:v>
                </c:pt>
                <c:pt idx="77">
                  <c:v>343</c:v>
                </c:pt>
                <c:pt idx="78">
                  <c:v>348</c:v>
                </c:pt>
                <c:pt idx="79">
                  <c:v>352</c:v>
                </c:pt>
                <c:pt idx="80">
                  <c:v>356</c:v>
                </c:pt>
                <c:pt idx="81">
                  <c:v>361</c:v>
                </c:pt>
                <c:pt idx="82">
                  <c:v>365</c:v>
                </c:pt>
                <c:pt idx="83">
                  <c:v>370</c:v>
                </c:pt>
                <c:pt idx="84">
                  <c:v>374</c:v>
                </c:pt>
                <c:pt idx="85">
                  <c:v>378</c:v>
                </c:pt>
                <c:pt idx="86">
                  <c:v>383</c:v>
                </c:pt>
                <c:pt idx="87">
                  <c:v>387</c:v>
                </c:pt>
                <c:pt idx="88">
                  <c:v>392</c:v>
                </c:pt>
                <c:pt idx="89">
                  <c:v>396</c:v>
                </c:pt>
                <c:pt idx="90">
                  <c:v>400</c:v>
                </c:pt>
                <c:pt idx="91">
                  <c:v>405</c:v>
                </c:pt>
                <c:pt idx="92">
                  <c:v>409</c:v>
                </c:pt>
                <c:pt idx="93">
                  <c:v>414</c:v>
                </c:pt>
                <c:pt idx="94">
                  <c:v>418</c:v>
                </c:pt>
                <c:pt idx="95">
                  <c:v>422</c:v>
                </c:pt>
                <c:pt idx="96">
                  <c:v>427</c:v>
                </c:pt>
                <c:pt idx="97">
                  <c:v>431</c:v>
                </c:pt>
                <c:pt idx="98">
                  <c:v>436</c:v>
                </c:pt>
                <c:pt idx="99">
                  <c:v>440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充值回馈活动产出!$H$25</c:f>
              <c:strCache>
                <c:ptCount val="1"/>
                <c:pt idx="0">
                  <c:v>每日充值回馈累积产出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充值回馈活动产出!$H$26:$H$125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23a39d5-97bb-469e-a4c7-4e4fabd17b7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商城充值损耗与产出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商城充值产出!$F$25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商城充值产出!$F$26:$F$125</c:f>
              <c:numCache>
                <c:formatCode>General</c:formatCode>
                <c:ptCount val="100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18</c:v>
                </c:pt>
                <c:pt idx="4">
                  <c:v>22</c:v>
                </c:pt>
                <c:pt idx="5">
                  <c:v>26</c:v>
                </c:pt>
                <c:pt idx="6">
                  <c:v>31</c:v>
                </c:pt>
                <c:pt idx="7">
                  <c:v>35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53</c:v>
                </c:pt>
                <c:pt idx="12">
                  <c:v>57</c:v>
                </c:pt>
                <c:pt idx="13">
                  <c:v>62</c:v>
                </c:pt>
                <c:pt idx="14">
                  <c:v>66</c:v>
                </c:pt>
                <c:pt idx="15">
                  <c:v>70</c:v>
                </c:pt>
                <c:pt idx="16">
                  <c:v>75</c:v>
                </c:pt>
                <c:pt idx="17">
                  <c:v>79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97</c:v>
                </c:pt>
                <c:pt idx="22">
                  <c:v>101</c:v>
                </c:pt>
                <c:pt idx="23">
                  <c:v>106</c:v>
                </c:pt>
                <c:pt idx="24">
                  <c:v>110</c:v>
                </c:pt>
                <c:pt idx="25">
                  <c:v>114</c:v>
                </c:pt>
                <c:pt idx="26">
                  <c:v>119</c:v>
                </c:pt>
                <c:pt idx="27">
                  <c:v>123</c:v>
                </c:pt>
                <c:pt idx="28">
                  <c:v>128</c:v>
                </c:pt>
                <c:pt idx="29">
                  <c:v>132</c:v>
                </c:pt>
                <c:pt idx="30">
                  <c:v>136</c:v>
                </c:pt>
                <c:pt idx="31">
                  <c:v>141</c:v>
                </c:pt>
                <c:pt idx="32">
                  <c:v>145</c:v>
                </c:pt>
                <c:pt idx="33">
                  <c:v>150</c:v>
                </c:pt>
                <c:pt idx="34">
                  <c:v>154</c:v>
                </c:pt>
                <c:pt idx="35">
                  <c:v>158</c:v>
                </c:pt>
                <c:pt idx="36">
                  <c:v>163</c:v>
                </c:pt>
                <c:pt idx="37">
                  <c:v>167</c:v>
                </c:pt>
                <c:pt idx="38">
                  <c:v>172</c:v>
                </c:pt>
                <c:pt idx="39">
                  <c:v>176</c:v>
                </c:pt>
                <c:pt idx="40">
                  <c:v>180</c:v>
                </c:pt>
                <c:pt idx="41">
                  <c:v>185</c:v>
                </c:pt>
                <c:pt idx="42">
                  <c:v>189</c:v>
                </c:pt>
                <c:pt idx="43">
                  <c:v>194</c:v>
                </c:pt>
                <c:pt idx="44">
                  <c:v>198</c:v>
                </c:pt>
                <c:pt idx="45">
                  <c:v>202</c:v>
                </c:pt>
                <c:pt idx="46">
                  <c:v>207</c:v>
                </c:pt>
                <c:pt idx="47">
                  <c:v>211</c:v>
                </c:pt>
                <c:pt idx="48">
                  <c:v>216</c:v>
                </c:pt>
                <c:pt idx="49">
                  <c:v>220</c:v>
                </c:pt>
                <c:pt idx="50">
                  <c:v>224</c:v>
                </c:pt>
                <c:pt idx="51">
                  <c:v>229</c:v>
                </c:pt>
                <c:pt idx="52">
                  <c:v>233</c:v>
                </c:pt>
                <c:pt idx="53">
                  <c:v>238</c:v>
                </c:pt>
                <c:pt idx="54">
                  <c:v>242</c:v>
                </c:pt>
                <c:pt idx="55">
                  <c:v>246</c:v>
                </c:pt>
                <c:pt idx="56">
                  <c:v>251</c:v>
                </c:pt>
                <c:pt idx="57">
                  <c:v>255</c:v>
                </c:pt>
                <c:pt idx="58">
                  <c:v>260</c:v>
                </c:pt>
                <c:pt idx="59">
                  <c:v>264</c:v>
                </c:pt>
                <c:pt idx="60">
                  <c:v>268</c:v>
                </c:pt>
                <c:pt idx="61">
                  <c:v>273</c:v>
                </c:pt>
                <c:pt idx="62">
                  <c:v>277</c:v>
                </c:pt>
                <c:pt idx="63">
                  <c:v>282</c:v>
                </c:pt>
                <c:pt idx="64">
                  <c:v>286</c:v>
                </c:pt>
                <c:pt idx="65">
                  <c:v>290</c:v>
                </c:pt>
                <c:pt idx="66">
                  <c:v>295</c:v>
                </c:pt>
                <c:pt idx="67">
                  <c:v>299</c:v>
                </c:pt>
                <c:pt idx="68">
                  <c:v>304</c:v>
                </c:pt>
                <c:pt idx="69">
                  <c:v>308</c:v>
                </c:pt>
                <c:pt idx="70">
                  <c:v>312</c:v>
                </c:pt>
                <c:pt idx="71">
                  <c:v>317</c:v>
                </c:pt>
                <c:pt idx="72">
                  <c:v>321</c:v>
                </c:pt>
                <c:pt idx="73">
                  <c:v>326</c:v>
                </c:pt>
                <c:pt idx="74">
                  <c:v>330</c:v>
                </c:pt>
                <c:pt idx="75">
                  <c:v>334</c:v>
                </c:pt>
                <c:pt idx="76">
                  <c:v>339</c:v>
                </c:pt>
                <c:pt idx="77">
                  <c:v>343</c:v>
                </c:pt>
                <c:pt idx="78">
                  <c:v>348</c:v>
                </c:pt>
                <c:pt idx="79">
                  <c:v>352</c:v>
                </c:pt>
                <c:pt idx="80">
                  <c:v>356</c:v>
                </c:pt>
                <c:pt idx="81">
                  <c:v>361</c:v>
                </c:pt>
                <c:pt idx="82">
                  <c:v>365</c:v>
                </c:pt>
                <c:pt idx="83">
                  <c:v>370</c:v>
                </c:pt>
                <c:pt idx="84">
                  <c:v>374</c:v>
                </c:pt>
                <c:pt idx="85">
                  <c:v>378</c:v>
                </c:pt>
                <c:pt idx="86">
                  <c:v>383</c:v>
                </c:pt>
                <c:pt idx="87">
                  <c:v>387</c:v>
                </c:pt>
                <c:pt idx="88">
                  <c:v>392</c:v>
                </c:pt>
                <c:pt idx="89">
                  <c:v>396</c:v>
                </c:pt>
                <c:pt idx="90">
                  <c:v>400</c:v>
                </c:pt>
                <c:pt idx="91">
                  <c:v>405</c:v>
                </c:pt>
                <c:pt idx="92">
                  <c:v>409</c:v>
                </c:pt>
                <c:pt idx="93">
                  <c:v>414</c:v>
                </c:pt>
                <c:pt idx="94">
                  <c:v>418</c:v>
                </c:pt>
                <c:pt idx="95">
                  <c:v>422</c:v>
                </c:pt>
                <c:pt idx="96">
                  <c:v>427</c:v>
                </c:pt>
                <c:pt idx="97">
                  <c:v>431</c:v>
                </c:pt>
                <c:pt idx="98">
                  <c:v>436</c:v>
                </c:pt>
                <c:pt idx="99">
                  <c:v>440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商城充值产出!$H$25</c:f>
              <c:strCache>
                <c:ptCount val="1"/>
                <c:pt idx="0">
                  <c:v>每日充值累积产出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商城充值产出!$H$26:$H$125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23a39d5-97bb-469e-a4c7-4e4fabd17b7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广告损耗与产出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广告产出!$F$25</c:f>
              <c:strCache>
                <c:ptCount val="1"/>
                <c:pt idx="0">
                  <c:v>每日累积占比损耗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广告产出!$F$26:$F$125</c:f>
              <c:numCache>
                <c:formatCode>General</c:formatCode>
                <c:ptCount val="100"/>
                <c:pt idx="0">
                  <c:v>4</c:v>
                </c:pt>
                <c:pt idx="1">
                  <c:v>9</c:v>
                </c:pt>
                <c:pt idx="2">
                  <c:v>13</c:v>
                </c:pt>
                <c:pt idx="3">
                  <c:v>18</c:v>
                </c:pt>
                <c:pt idx="4">
                  <c:v>22</c:v>
                </c:pt>
                <c:pt idx="5">
                  <c:v>26</c:v>
                </c:pt>
                <c:pt idx="6">
                  <c:v>31</c:v>
                </c:pt>
                <c:pt idx="7">
                  <c:v>35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53</c:v>
                </c:pt>
                <c:pt idx="12">
                  <c:v>57</c:v>
                </c:pt>
                <c:pt idx="13">
                  <c:v>62</c:v>
                </c:pt>
                <c:pt idx="14">
                  <c:v>66</c:v>
                </c:pt>
                <c:pt idx="15">
                  <c:v>70</c:v>
                </c:pt>
                <c:pt idx="16">
                  <c:v>75</c:v>
                </c:pt>
                <c:pt idx="17">
                  <c:v>79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97</c:v>
                </c:pt>
                <c:pt idx="22">
                  <c:v>101</c:v>
                </c:pt>
                <c:pt idx="23">
                  <c:v>106</c:v>
                </c:pt>
                <c:pt idx="24">
                  <c:v>110</c:v>
                </c:pt>
                <c:pt idx="25">
                  <c:v>114</c:v>
                </c:pt>
                <c:pt idx="26">
                  <c:v>119</c:v>
                </c:pt>
                <c:pt idx="27">
                  <c:v>123</c:v>
                </c:pt>
                <c:pt idx="28">
                  <c:v>128</c:v>
                </c:pt>
                <c:pt idx="29">
                  <c:v>132</c:v>
                </c:pt>
                <c:pt idx="30">
                  <c:v>136</c:v>
                </c:pt>
                <c:pt idx="31">
                  <c:v>141</c:v>
                </c:pt>
                <c:pt idx="32">
                  <c:v>145</c:v>
                </c:pt>
                <c:pt idx="33">
                  <c:v>150</c:v>
                </c:pt>
                <c:pt idx="34">
                  <c:v>154</c:v>
                </c:pt>
                <c:pt idx="35">
                  <c:v>158</c:v>
                </c:pt>
                <c:pt idx="36">
                  <c:v>163</c:v>
                </c:pt>
                <c:pt idx="37">
                  <c:v>167</c:v>
                </c:pt>
                <c:pt idx="38">
                  <c:v>172</c:v>
                </c:pt>
                <c:pt idx="39">
                  <c:v>176</c:v>
                </c:pt>
                <c:pt idx="40">
                  <c:v>180</c:v>
                </c:pt>
                <c:pt idx="41">
                  <c:v>185</c:v>
                </c:pt>
                <c:pt idx="42">
                  <c:v>189</c:v>
                </c:pt>
                <c:pt idx="43">
                  <c:v>194</c:v>
                </c:pt>
                <c:pt idx="44">
                  <c:v>198</c:v>
                </c:pt>
                <c:pt idx="45">
                  <c:v>202</c:v>
                </c:pt>
                <c:pt idx="46">
                  <c:v>207</c:v>
                </c:pt>
                <c:pt idx="47">
                  <c:v>211</c:v>
                </c:pt>
                <c:pt idx="48">
                  <c:v>216</c:v>
                </c:pt>
                <c:pt idx="49">
                  <c:v>220</c:v>
                </c:pt>
                <c:pt idx="50">
                  <c:v>224</c:v>
                </c:pt>
                <c:pt idx="51">
                  <c:v>229</c:v>
                </c:pt>
                <c:pt idx="52">
                  <c:v>233</c:v>
                </c:pt>
                <c:pt idx="53">
                  <c:v>238</c:v>
                </c:pt>
                <c:pt idx="54">
                  <c:v>242</c:v>
                </c:pt>
                <c:pt idx="55">
                  <c:v>246</c:v>
                </c:pt>
                <c:pt idx="56">
                  <c:v>251</c:v>
                </c:pt>
                <c:pt idx="57">
                  <c:v>255</c:v>
                </c:pt>
                <c:pt idx="58">
                  <c:v>260</c:v>
                </c:pt>
                <c:pt idx="59">
                  <c:v>264</c:v>
                </c:pt>
                <c:pt idx="60">
                  <c:v>268</c:v>
                </c:pt>
                <c:pt idx="61">
                  <c:v>273</c:v>
                </c:pt>
                <c:pt idx="62">
                  <c:v>277</c:v>
                </c:pt>
                <c:pt idx="63">
                  <c:v>282</c:v>
                </c:pt>
                <c:pt idx="64">
                  <c:v>286</c:v>
                </c:pt>
                <c:pt idx="65">
                  <c:v>290</c:v>
                </c:pt>
                <c:pt idx="66">
                  <c:v>295</c:v>
                </c:pt>
                <c:pt idx="67">
                  <c:v>299</c:v>
                </c:pt>
                <c:pt idx="68">
                  <c:v>304</c:v>
                </c:pt>
                <c:pt idx="69">
                  <c:v>308</c:v>
                </c:pt>
                <c:pt idx="70">
                  <c:v>312</c:v>
                </c:pt>
                <c:pt idx="71">
                  <c:v>317</c:v>
                </c:pt>
                <c:pt idx="72">
                  <c:v>321</c:v>
                </c:pt>
                <c:pt idx="73">
                  <c:v>326</c:v>
                </c:pt>
                <c:pt idx="74">
                  <c:v>330</c:v>
                </c:pt>
                <c:pt idx="75">
                  <c:v>334</c:v>
                </c:pt>
                <c:pt idx="76">
                  <c:v>339</c:v>
                </c:pt>
                <c:pt idx="77">
                  <c:v>343</c:v>
                </c:pt>
                <c:pt idx="78">
                  <c:v>348</c:v>
                </c:pt>
                <c:pt idx="79">
                  <c:v>352</c:v>
                </c:pt>
                <c:pt idx="80">
                  <c:v>356</c:v>
                </c:pt>
                <c:pt idx="81">
                  <c:v>361</c:v>
                </c:pt>
                <c:pt idx="82">
                  <c:v>365</c:v>
                </c:pt>
                <c:pt idx="83">
                  <c:v>370</c:v>
                </c:pt>
                <c:pt idx="84">
                  <c:v>374</c:v>
                </c:pt>
                <c:pt idx="85">
                  <c:v>378</c:v>
                </c:pt>
                <c:pt idx="86">
                  <c:v>383</c:v>
                </c:pt>
                <c:pt idx="87">
                  <c:v>387</c:v>
                </c:pt>
                <c:pt idx="88">
                  <c:v>392</c:v>
                </c:pt>
                <c:pt idx="89">
                  <c:v>396</c:v>
                </c:pt>
                <c:pt idx="90">
                  <c:v>400</c:v>
                </c:pt>
                <c:pt idx="91">
                  <c:v>405</c:v>
                </c:pt>
                <c:pt idx="92">
                  <c:v>409</c:v>
                </c:pt>
                <c:pt idx="93">
                  <c:v>414</c:v>
                </c:pt>
                <c:pt idx="94">
                  <c:v>418</c:v>
                </c:pt>
                <c:pt idx="95">
                  <c:v>422</c:v>
                </c:pt>
                <c:pt idx="96">
                  <c:v>427</c:v>
                </c:pt>
                <c:pt idx="97">
                  <c:v>431</c:v>
                </c:pt>
                <c:pt idx="98">
                  <c:v>436</c:v>
                </c:pt>
                <c:pt idx="99">
                  <c:v>440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广告产出!$H$25</c:f>
              <c:strCache>
                <c:ptCount val="1"/>
                <c:pt idx="0">
                  <c:v>每日广告累积产出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广告产出!$H$26:$H$125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64314034"/>
        <c:axId val="934046106"/>
      </c:lineChart>
      <c:catAx>
        <c:axId val="5643140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046106"/>
        <c:crosses val="autoZero"/>
        <c:auto val="1"/>
        <c:lblAlgn val="ctr"/>
        <c:lblOffset val="100"/>
        <c:noMultiLvlLbl val="0"/>
      </c:catAx>
      <c:valAx>
        <c:axId val="9340461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43140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23a39d5-97bb-469e-a4c7-4e4fabd17b7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123825</xdr:colOff>
      <xdr:row>7</xdr:row>
      <xdr:rowOff>108585</xdr:rowOff>
    </xdr:from>
    <xdr:to>
      <xdr:col>12</xdr:col>
      <xdr:colOff>1156970</xdr:colOff>
      <xdr:row>22</xdr:row>
      <xdr:rowOff>193040</xdr:rowOff>
    </xdr:to>
    <xdr:graphicFrame>
      <xdr:nvGraphicFramePr>
        <xdr:cNvPr id="2" name="图表 1"/>
        <xdr:cNvGraphicFramePr/>
      </xdr:nvGraphicFramePr>
      <xdr:xfrm>
        <a:off x="8867775" y="1708785"/>
        <a:ext cx="8129270" cy="3513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7</xdr:row>
      <xdr:rowOff>41275</xdr:rowOff>
    </xdr:from>
    <xdr:to>
      <xdr:col>18</xdr:col>
      <xdr:colOff>1386840</xdr:colOff>
      <xdr:row>22</xdr:row>
      <xdr:rowOff>173990</xdr:rowOff>
    </xdr:to>
    <xdr:graphicFrame>
      <xdr:nvGraphicFramePr>
        <xdr:cNvPr id="4" name="图表 3"/>
        <xdr:cNvGraphicFramePr/>
      </xdr:nvGraphicFramePr>
      <xdr:xfrm>
        <a:off x="17316450" y="1641475"/>
        <a:ext cx="8425815" cy="3561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95250</xdr:colOff>
      <xdr:row>7</xdr:row>
      <xdr:rowOff>59690</xdr:rowOff>
    </xdr:from>
    <xdr:to>
      <xdr:col>9</xdr:col>
      <xdr:colOff>1024890</xdr:colOff>
      <xdr:row>22</xdr:row>
      <xdr:rowOff>136525</xdr:rowOff>
    </xdr:to>
    <xdr:graphicFrame>
      <xdr:nvGraphicFramePr>
        <xdr:cNvPr id="6" name="图表 5"/>
        <xdr:cNvGraphicFramePr/>
      </xdr:nvGraphicFramePr>
      <xdr:xfrm>
        <a:off x="5038725" y="1659890"/>
        <a:ext cx="7797165" cy="3505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57150</xdr:colOff>
      <xdr:row>7</xdr:row>
      <xdr:rowOff>69850</xdr:rowOff>
    </xdr:from>
    <xdr:to>
      <xdr:col>10</xdr:col>
      <xdr:colOff>1110615</xdr:colOff>
      <xdr:row>22</xdr:row>
      <xdr:rowOff>144780</xdr:rowOff>
    </xdr:to>
    <xdr:graphicFrame>
      <xdr:nvGraphicFramePr>
        <xdr:cNvPr id="2" name="图表 1"/>
        <xdr:cNvGraphicFramePr/>
      </xdr:nvGraphicFramePr>
      <xdr:xfrm>
        <a:off x="6419850" y="1670050"/>
        <a:ext cx="7692390" cy="3503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92710</xdr:colOff>
      <xdr:row>10</xdr:row>
      <xdr:rowOff>57785</xdr:rowOff>
    </xdr:from>
    <xdr:to>
      <xdr:col>4</xdr:col>
      <xdr:colOff>1212215</xdr:colOff>
      <xdr:row>22</xdr:row>
      <xdr:rowOff>127635</xdr:rowOff>
    </xdr:to>
    <xdr:graphicFrame>
      <xdr:nvGraphicFramePr>
        <xdr:cNvPr id="4" name="图表 3"/>
        <xdr:cNvGraphicFramePr/>
      </xdr:nvGraphicFramePr>
      <xdr:xfrm>
        <a:off x="778510" y="2343785"/>
        <a:ext cx="5377180" cy="2813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114300</xdr:colOff>
      <xdr:row>7</xdr:row>
      <xdr:rowOff>78740</xdr:rowOff>
    </xdr:from>
    <xdr:to>
      <xdr:col>9</xdr:col>
      <xdr:colOff>1033780</xdr:colOff>
      <xdr:row>22</xdr:row>
      <xdr:rowOff>135255</xdr:rowOff>
    </xdr:to>
    <xdr:graphicFrame>
      <xdr:nvGraphicFramePr>
        <xdr:cNvPr id="2" name="图表 1"/>
        <xdr:cNvGraphicFramePr/>
      </xdr:nvGraphicFramePr>
      <xdr:xfrm>
        <a:off x="5057775" y="1678940"/>
        <a:ext cx="7787005" cy="348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123825</xdr:colOff>
      <xdr:row>7</xdr:row>
      <xdr:rowOff>69215</xdr:rowOff>
    </xdr:from>
    <xdr:to>
      <xdr:col>10</xdr:col>
      <xdr:colOff>1073150</xdr:colOff>
      <xdr:row>22</xdr:row>
      <xdr:rowOff>173990</xdr:rowOff>
    </xdr:to>
    <xdr:graphicFrame>
      <xdr:nvGraphicFramePr>
        <xdr:cNvPr id="2" name="图表 1"/>
        <xdr:cNvGraphicFramePr/>
      </xdr:nvGraphicFramePr>
      <xdr:xfrm>
        <a:off x="6486525" y="1669415"/>
        <a:ext cx="758825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79375</xdr:colOff>
      <xdr:row>10</xdr:row>
      <xdr:rowOff>88900</xdr:rowOff>
    </xdr:from>
    <xdr:to>
      <xdr:col>4</xdr:col>
      <xdr:colOff>1304925</xdr:colOff>
      <xdr:row>22</xdr:row>
      <xdr:rowOff>88900</xdr:rowOff>
    </xdr:to>
    <xdr:graphicFrame>
      <xdr:nvGraphicFramePr>
        <xdr:cNvPr id="3" name="图表 2"/>
        <xdr:cNvGraphicFramePr/>
      </xdr:nvGraphicFramePr>
      <xdr:xfrm>
        <a:off x="765175" y="2374900"/>
        <a:ext cx="5483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133350</xdr:colOff>
      <xdr:row>7</xdr:row>
      <xdr:rowOff>59690</xdr:rowOff>
    </xdr:from>
    <xdr:to>
      <xdr:col>9</xdr:col>
      <xdr:colOff>1091565</xdr:colOff>
      <xdr:row>22</xdr:row>
      <xdr:rowOff>144780</xdr:rowOff>
    </xdr:to>
    <xdr:graphicFrame>
      <xdr:nvGraphicFramePr>
        <xdr:cNvPr id="2" name="图表 1"/>
        <xdr:cNvGraphicFramePr/>
      </xdr:nvGraphicFramePr>
      <xdr:xfrm>
        <a:off x="5076825" y="1659890"/>
        <a:ext cx="7825740" cy="351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133350</xdr:colOff>
      <xdr:row>7</xdr:row>
      <xdr:rowOff>59690</xdr:rowOff>
    </xdr:from>
    <xdr:to>
      <xdr:col>9</xdr:col>
      <xdr:colOff>1091565</xdr:colOff>
      <xdr:row>22</xdr:row>
      <xdr:rowOff>144780</xdr:rowOff>
    </xdr:to>
    <xdr:graphicFrame>
      <xdr:nvGraphicFramePr>
        <xdr:cNvPr id="2" name="图表 1"/>
        <xdr:cNvGraphicFramePr/>
      </xdr:nvGraphicFramePr>
      <xdr:xfrm>
        <a:off x="5076825" y="1659890"/>
        <a:ext cx="8054340" cy="351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133350</xdr:colOff>
      <xdr:row>7</xdr:row>
      <xdr:rowOff>59690</xdr:rowOff>
    </xdr:from>
    <xdr:to>
      <xdr:col>9</xdr:col>
      <xdr:colOff>1091565</xdr:colOff>
      <xdr:row>22</xdr:row>
      <xdr:rowOff>144780</xdr:rowOff>
    </xdr:to>
    <xdr:graphicFrame>
      <xdr:nvGraphicFramePr>
        <xdr:cNvPr id="2" name="图表 1"/>
        <xdr:cNvGraphicFramePr/>
      </xdr:nvGraphicFramePr>
      <xdr:xfrm>
        <a:off x="5076825" y="1659890"/>
        <a:ext cx="8054340" cy="351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133350</xdr:colOff>
      <xdr:row>7</xdr:row>
      <xdr:rowOff>59690</xdr:rowOff>
    </xdr:from>
    <xdr:to>
      <xdr:col>9</xdr:col>
      <xdr:colOff>1091565</xdr:colOff>
      <xdr:row>22</xdr:row>
      <xdr:rowOff>144780</xdr:rowOff>
    </xdr:to>
    <xdr:graphicFrame>
      <xdr:nvGraphicFramePr>
        <xdr:cNvPr id="2" name="图表 1"/>
        <xdr:cNvGraphicFramePr/>
      </xdr:nvGraphicFramePr>
      <xdr:xfrm>
        <a:off x="5076825" y="1659890"/>
        <a:ext cx="8054340" cy="3514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128"/>
  <sheetViews>
    <sheetView workbookViewId="0">
      <pane ySplit="28" topLeftCell="A29" activePane="bottomLeft" state="frozen"/>
      <selection/>
      <selection pane="bottomLeft" activeCell="F17" sqref="F17"/>
    </sheetView>
  </sheetViews>
  <sheetFormatPr defaultColWidth="9" defaultRowHeight="13.5"/>
  <cols>
    <col min="1" max="1" width="3" customWidth="1"/>
    <col min="2" max="23" width="18.625" customWidth="1"/>
  </cols>
  <sheetData>
    <row r="1" s="1" customFormat="1" ht="18" customHeight="1"/>
    <row r="2" s="1" customFormat="1" ht="18" customHeight="1" spans="2:21">
      <c r="B2" s="3" t="s">
        <v>0</v>
      </c>
      <c r="C2" s="4"/>
      <c r="E2" s="3" t="s">
        <v>1</v>
      </c>
      <c r="F2" s="4"/>
      <c r="H2" s="3" t="s">
        <v>2</v>
      </c>
      <c r="I2" s="4"/>
      <c r="K2" s="3" t="s">
        <v>3</v>
      </c>
      <c r="L2" s="4"/>
      <c r="N2" s="3" t="s">
        <v>4</v>
      </c>
      <c r="O2" s="60"/>
      <c r="P2" s="60"/>
      <c r="Q2" s="4"/>
      <c r="T2" s="3" t="s">
        <v>5</v>
      </c>
      <c r="U2" s="4"/>
    </row>
    <row r="3" s="1" customFormat="1" ht="18" customHeight="1" spans="2:21">
      <c r="B3" s="5"/>
      <c r="C3" s="6"/>
      <c r="E3" s="5"/>
      <c r="F3" s="6"/>
      <c r="H3" s="5"/>
      <c r="I3" s="6"/>
      <c r="K3" s="5"/>
      <c r="L3" s="6"/>
      <c r="N3" s="5"/>
      <c r="O3" s="10"/>
      <c r="P3" s="10"/>
      <c r="Q3" s="6"/>
      <c r="T3" s="5"/>
      <c r="U3" s="6"/>
    </row>
    <row r="4" s="1" customFormat="1" ht="18" customHeight="1" spans="2:21">
      <c r="B4" s="7" t="s">
        <v>6</v>
      </c>
      <c r="C4" s="57">
        <v>0.92</v>
      </c>
      <c r="E4" s="7" t="s">
        <v>7</v>
      </c>
      <c r="F4" s="57" t="s">
        <v>8</v>
      </c>
      <c r="H4" s="11" t="s">
        <v>9</v>
      </c>
      <c r="I4" s="14"/>
      <c r="K4" s="9" t="s">
        <v>10</v>
      </c>
      <c r="L4" s="9">
        <f>VLOOKUP($F$4,VIP!$D$16:$M$24,2)</f>
        <v>0.18</v>
      </c>
      <c r="N4" s="9" t="s">
        <v>11</v>
      </c>
      <c r="O4" s="57">
        <v>30</v>
      </c>
      <c r="P4" s="9" t="s">
        <v>12</v>
      </c>
      <c r="Q4" s="7">
        <f>_xlfn.XLOOKUP($F$5,advertisement!F13:F22,advertisement!D13:D22,0,-1)</f>
        <v>1</v>
      </c>
      <c r="T4" s="9" t="s">
        <v>13</v>
      </c>
      <c r="U4" s="57">
        <v>0.1</v>
      </c>
    </row>
    <row r="5" s="1" customFormat="1" ht="18" customHeight="1" spans="2:21">
      <c r="B5" s="9" t="s">
        <v>14</v>
      </c>
      <c r="C5" s="9">
        <f>1-C4</f>
        <v>0.08</v>
      </c>
      <c r="E5" s="7" t="s">
        <v>15</v>
      </c>
      <c r="F5" s="57">
        <v>10</v>
      </c>
      <c r="H5" s="12"/>
      <c r="I5" s="15"/>
      <c r="K5" s="9" t="s">
        <v>16</v>
      </c>
      <c r="L5" s="7">
        <f>VLOOKUP($F$4,VIP!$D$16:$M$24,3)</f>
        <v>0.990909090909091</v>
      </c>
      <c r="N5" s="9" t="s">
        <v>17</v>
      </c>
      <c r="O5" s="57">
        <v>5</v>
      </c>
      <c r="P5" s="9" t="s">
        <v>18</v>
      </c>
      <c r="Q5" s="7">
        <f>Q4*O4</f>
        <v>30</v>
      </c>
      <c r="T5" s="9" t="s">
        <v>19</v>
      </c>
      <c r="U5" s="57">
        <v>0.2</v>
      </c>
    </row>
    <row r="6" s="1" customFormat="1" ht="18" customHeight="1" spans="2:21">
      <c r="B6" s="7" t="s">
        <v>20</v>
      </c>
      <c r="C6" s="58">
        <v>10</v>
      </c>
      <c r="E6" s="7" t="s">
        <v>21</v>
      </c>
      <c r="F6" s="7">
        <f>MAX(B:B)</f>
        <v>100</v>
      </c>
      <c r="K6" s="9" t="s">
        <v>22</v>
      </c>
      <c r="L6" s="7">
        <f>VLOOKUP($F$4,VIP!$D$16:$M$24,4)</f>
        <v>0.18</v>
      </c>
      <c r="N6" s="9" t="s">
        <v>23</v>
      </c>
      <c r="O6" s="7">
        <f>MAX(advertisement!D:D)</f>
        <v>10</v>
      </c>
      <c r="P6" s="9" t="s">
        <v>24</v>
      </c>
      <c r="Q6" s="7">
        <f ca="1">广告产出!I26+广告产出!J26</f>
        <v>10</v>
      </c>
      <c r="T6" s="9" t="s">
        <v>25</v>
      </c>
      <c r="U6" s="57">
        <v>0.05</v>
      </c>
    </row>
    <row r="7" s="1" customFormat="1" ht="18" customHeight="1" spans="2:21">
      <c r="B7" s="7" t="s">
        <v>26</v>
      </c>
      <c r="C7" s="7">
        <f>C13*D13+C14*D14+C15*D15+C16*D16</f>
        <v>8</v>
      </c>
      <c r="K7" s="9" t="s">
        <v>27</v>
      </c>
      <c r="L7" s="7">
        <f>VLOOKUP($F$4,VIP!$D$16:$M$24,5)</f>
        <v>2</v>
      </c>
      <c r="T7" s="9" t="s">
        <v>28</v>
      </c>
      <c r="U7" s="57">
        <v>0.1</v>
      </c>
    </row>
    <row r="8" s="1" customFormat="1" ht="18" customHeight="1" spans="2:21">
      <c r="B8" s="9" t="s">
        <v>29</v>
      </c>
      <c r="C8" s="9">
        <f>ROUND($F$5*60/$C$13*$C$6*$D$13+$F$5*60/$C$14*$C$6*$D$14+$F$5*60/$C$15*$C$6*$D$15+$F$5*60/$C$16*$C$6*$D$16,0)</f>
        <v>1000</v>
      </c>
      <c r="T8" s="9" t="s">
        <v>30</v>
      </c>
      <c r="U8" s="57">
        <v>0.1</v>
      </c>
    </row>
    <row r="9" s="1" customFormat="1" ht="18" customHeight="1" spans="20:21">
      <c r="T9" s="9" t="s">
        <v>31</v>
      </c>
      <c r="U9" s="57">
        <v>0.05</v>
      </c>
    </row>
    <row r="10" s="1" customFormat="1" ht="18" customHeight="1" spans="2:21">
      <c r="B10" s="9" t="s">
        <v>32</v>
      </c>
      <c r="C10" s="59" t="s">
        <v>33</v>
      </c>
      <c r="E10" s="30"/>
      <c r="F10" s="30"/>
      <c r="G10" s="8"/>
      <c r="H10" s="8"/>
      <c r="I10" s="8"/>
      <c r="T10" s="9" t="s">
        <v>34</v>
      </c>
      <c r="U10" s="57">
        <v>0.05</v>
      </c>
    </row>
    <row r="11" s="1" customFormat="1" ht="18" customHeight="1" spans="5:21">
      <c r="E11" s="2"/>
      <c r="F11" s="2"/>
      <c r="T11" s="9" t="s">
        <v>35</v>
      </c>
      <c r="U11" s="57">
        <v>0.05</v>
      </c>
    </row>
    <row r="12" s="1" customFormat="1" ht="18" customHeight="1" spans="2:21">
      <c r="B12" s="9" t="s">
        <v>36</v>
      </c>
      <c r="C12" s="9" t="s">
        <v>26</v>
      </c>
      <c r="D12" s="9" t="s">
        <v>37</v>
      </c>
      <c r="T12" s="9" t="s">
        <v>38</v>
      </c>
      <c r="U12" s="57">
        <v>0.05</v>
      </c>
    </row>
    <row r="13" s="1" customFormat="1" ht="18" customHeight="1" spans="2:21">
      <c r="B13" s="9" t="s">
        <v>39</v>
      </c>
      <c r="C13" s="57">
        <v>4</v>
      </c>
      <c r="D13" s="57">
        <f>1/4</f>
        <v>0.25</v>
      </c>
      <c r="T13" s="9" t="s">
        <v>40</v>
      </c>
      <c r="U13" s="57">
        <v>0.05</v>
      </c>
    </row>
    <row r="14" s="1" customFormat="1" ht="18" customHeight="1" spans="2:21">
      <c r="B14" s="9" t="s">
        <v>41</v>
      </c>
      <c r="C14" s="57">
        <v>12</v>
      </c>
      <c r="D14" s="57">
        <f>1/4</f>
        <v>0.25</v>
      </c>
      <c r="T14" s="9" t="s">
        <v>42</v>
      </c>
      <c r="U14" s="57">
        <v>0.05</v>
      </c>
    </row>
    <row r="15" s="1" customFormat="1" ht="18" customHeight="1" spans="2:21">
      <c r="B15" s="9" t="s">
        <v>43</v>
      </c>
      <c r="C15" s="57">
        <v>4</v>
      </c>
      <c r="D15" s="57">
        <f>1/4</f>
        <v>0.25</v>
      </c>
      <c r="F15" s="1">
        <f ca="1">RAND()</f>
        <v>0.287102555256699</v>
      </c>
      <c r="T15" s="9" t="s">
        <v>44</v>
      </c>
      <c r="U15" s="57">
        <v>0.05</v>
      </c>
    </row>
    <row r="16" s="1" customFormat="1" ht="18" customHeight="1" spans="2:21">
      <c r="B16" s="9" t="s">
        <v>45</v>
      </c>
      <c r="C16" s="57">
        <v>12</v>
      </c>
      <c r="D16" s="57">
        <f>1-D13-D14-D15</f>
        <v>0.25</v>
      </c>
      <c r="T16" s="9" t="s">
        <v>46</v>
      </c>
      <c r="U16" s="57">
        <v>0.05</v>
      </c>
    </row>
    <row r="17" s="1" customFormat="1" ht="18" customHeight="1" spans="20:21">
      <c r="T17" s="9" t="s">
        <v>47</v>
      </c>
      <c r="U17" s="57">
        <f>1-SUM(U4:U16)</f>
        <v>0.0499999999999996</v>
      </c>
    </row>
    <row r="18" s="1" customFormat="1" ht="18" customHeight="1" spans="2:5">
      <c r="B18" s="9" t="s">
        <v>48</v>
      </c>
      <c r="C18" s="9" t="s">
        <v>49</v>
      </c>
      <c r="D18" s="9" t="s">
        <v>50</v>
      </c>
      <c r="E18" s="9" t="s">
        <v>51</v>
      </c>
    </row>
    <row r="19" s="1" customFormat="1" ht="18" customHeight="1" spans="2:21">
      <c r="B19" s="7" t="s">
        <v>52</v>
      </c>
      <c r="C19" s="57">
        <v>0</v>
      </c>
      <c r="D19" s="7">
        <f>$C$19/6*(recharge!$F$111+recharge!$G$111)</f>
        <v>0</v>
      </c>
      <c r="E19" s="7">
        <f>$C19/6*recharge!$H111</f>
        <v>0</v>
      </c>
      <c r="T19" s="1" t="s">
        <v>53</v>
      </c>
      <c r="U19" s="1" t="s">
        <v>54</v>
      </c>
    </row>
    <row r="20" s="1" customFormat="1" ht="18" customHeight="1" spans="2:21">
      <c r="B20" s="7" t="s">
        <v>55</v>
      </c>
      <c r="C20" s="57">
        <v>0</v>
      </c>
      <c r="D20" s="7">
        <f>$C$20/6*(recharge!$F$112*1/100+recharge!$G$112*99/100)*$L$6</f>
        <v>0</v>
      </c>
      <c r="E20" s="7">
        <f>ROUND($C$20/6*(recharge!$H$112*1/100+recharge!$I$112*99/100),0)</f>
        <v>0</v>
      </c>
      <c r="T20" s="1" t="s">
        <v>56</v>
      </c>
      <c r="U20" s="1" t="s">
        <v>57</v>
      </c>
    </row>
    <row r="21" s="1" customFormat="1" ht="18" customHeight="1" spans="2:21">
      <c r="B21" s="7" t="s">
        <v>58</v>
      </c>
      <c r="C21" s="57">
        <v>0</v>
      </c>
      <c r="D21" s="7">
        <f>$C21/10*(recharge!$F113+recharge!$G113*7)</f>
        <v>0</v>
      </c>
      <c r="E21" s="7">
        <f>$C21/10*recharge!$H113</f>
        <v>0</v>
      </c>
      <c r="T21" s="1" t="s">
        <v>59</v>
      </c>
      <c r="U21" s="1" t="s">
        <v>60</v>
      </c>
    </row>
    <row r="22" s="1" customFormat="1" ht="18" customHeight="1" spans="2:5">
      <c r="B22" s="7" t="s">
        <v>61</v>
      </c>
      <c r="C22" s="57">
        <v>0</v>
      </c>
      <c r="D22" s="7">
        <f>$C22/20*(recharge!$F114+recharge!$G114*7)</f>
        <v>0</v>
      </c>
      <c r="E22" s="7">
        <f>$C22/20*recharge!$H114</f>
        <v>0</v>
      </c>
    </row>
    <row r="23" s="1" customFormat="1" ht="18" customHeight="1" spans="2:5">
      <c r="B23" s="7" t="s">
        <v>62</v>
      </c>
      <c r="C23" s="57">
        <v>0</v>
      </c>
      <c r="D23" s="7">
        <f>$C23/30*(recharge!$F115+recharge!$G115*30)</f>
        <v>0</v>
      </c>
      <c r="E23" s="7">
        <f>$C23/30*recharge!$H115</f>
        <v>0</v>
      </c>
    </row>
    <row r="24" s="1" customFormat="1" ht="18" customHeight="1" spans="2:5">
      <c r="B24" s="7" t="s">
        <v>63</v>
      </c>
      <c r="C24" s="57">
        <v>0</v>
      </c>
      <c r="D24" s="7">
        <f>$C24/60*(recharge!$F116+recharge!$G116*30)</f>
        <v>0</v>
      </c>
      <c r="E24" s="7">
        <f>$C24/60*recharge!$H116</f>
        <v>0</v>
      </c>
    </row>
    <row r="25" s="1" customFormat="1" ht="18" customHeight="1" spans="2:5">
      <c r="B25" s="7" t="s">
        <v>64</v>
      </c>
      <c r="C25" s="7">
        <f>SUM(C19:C24)</f>
        <v>0</v>
      </c>
      <c r="D25" s="7">
        <f>SUM(D19:D24)</f>
        <v>0</v>
      </c>
      <c r="E25" s="7">
        <f>SUM(E19:E24)</f>
        <v>0</v>
      </c>
    </row>
    <row r="26" s="1" customFormat="1" ht="18" customHeight="1"/>
    <row r="27" s="1" customFormat="1" ht="18" customHeight="1"/>
    <row r="28" s="2" customFormat="1" ht="18" customHeight="1" spans="2:23">
      <c r="B28" s="9" t="s">
        <v>65</v>
      </c>
      <c r="C28" s="16" t="s">
        <v>66</v>
      </c>
      <c r="D28" s="9" t="s">
        <v>67</v>
      </c>
      <c r="E28" s="9" t="s">
        <v>68</v>
      </c>
      <c r="F28" s="9" t="s">
        <v>69</v>
      </c>
      <c r="G28" s="9" t="s">
        <v>70</v>
      </c>
      <c r="H28" s="9" t="s">
        <v>71</v>
      </c>
      <c r="I28" s="9" t="s">
        <v>13</v>
      </c>
      <c r="J28" s="9" t="s">
        <v>19</v>
      </c>
      <c r="K28" s="9" t="s">
        <v>25</v>
      </c>
      <c r="L28" s="9" t="s">
        <v>28</v>
      </c>
      <c r="M28" s="9" t="s">
        <v>30</v>
      </c>
      <c r="N28" s="9" t="s">
        <v>31</v>
      </c>
      <c r="O28" s="9" t="s">
        <v>53</v>
      </c>
      <c r="P28" s="9" t="s">
        <v>34</v>
      </c>
      <c r="Q28" s="9" t="s">
        <v>35</v>
      </c>
      <c r="R28" s="9" t="s">
        <v>38</v>
      </c>
      <c r="S28" s="9" t="s">
        <v>40</v>
      </c>
      <c r="T28" s="9" t="s">
        <v>42</v>
      </c>
      <c r="U28" s="9" t="s">
        <v>44</v>
      </c>
      <c r="V28" s="9" t="s">
        <v>46</v>
      </c>
      <c r="W28" s="9" t="s">
        <v>47</v>
      </c>
    </row>
    <row r="29" s="2" customFormat="1" ht="18" customHeight="1" spans="2:17">
      <c r="B29" s="2">
        <v>1</v>
      </c>
      <c r="C29" s="2">
        <f>$C$8</f>
        <v>1000</v>
      </c>
      <c r="D29" s="2">
        <f>C29*B29</f>
        <v>1000</v>
      </c>
      <c r="E29" s="2">
        <f>ROUND($C$8*$C$5+$C$8*$C$4*(1-$L$5),0)</f>
        <v>88</v>
      </c>
      <c r="F29" s="2">
        <f>E29*B29</f>
        <v>88</v>
      </c>
      <c r="G29" s="2">
        <f ca="1">SUM(I29:W29)</f>
        <v>98</v>
      </c>
      <c r="H29" s="2">
        <f ca="1">G29</f>
        <v>98</v>
      </c>
      <c r="I29" s="2">
        <f>每日任务产出!$G26</f>
        <v>25</v>
      </c>
      <c r="J29" s="2">
        <f>每周任务产出!$G26</f>
        <v>0</v>
      </c>
      <c r="K29" s="2">
        <f>每日活跃度宝箱产出!$G26</f>
        <v>6</v>
      </c>
      <c r="L29" s="2">
        <f>每周活跃度宝箱产出!$G26</f>
        <v>0</v>
      </c>
      <c r="M29" s="2">
        <f>成就产出!$G26</f>
        <v>57</v>
      </c>
      <c r="N29" s="2">
        <f>充值回馈活动产出!$G26</f>
        <v>0</v>
      </c>
      <c r="O29" s="2">
        <f>商城充值产出!$G26</f>
        <v>0</v>
      </c>
      <c r="P29" s="2">
        <f ca="1">广告产出!I26</f>
        <v>10</v>
      </c>
      <c r="Q29" s="2">
        <f ca="1">广告产出!J26</f>
        <v>0</v>
      </c>
    </row>
    <row r="30" s="2" customFormat="1" ht="18" customHeight="1" spans="2:17">
      <c r="B30" s="2">
        <v>2</v>
      </c>
      <c r="C30" s="2">
        <f t="shared" ref="C30:C39" si="0">$C$8</f>
        <v>1000</v>
      </c>
      <c r="D30" s="2">
        <f t="shared" ref="D30:D61" si="1">C30*B30</f>
        <v>2000</v>
      </c>
      <c r="E30" s="2">
        <f>ROUND($C$8*$C$5+$C$8*$C$4*(1-$L$5),0)</f>
        <v>88</v>
      </c>
      <c r="F30" s="2">
        <f t="shared" ref="F30:F61" si="2">E30*B30</f>
        <v>176</v>
      </c>
      <c r="G30" s="2">
        <f ca="1" t="shared" ref="G30:G61" si="3">SUM(I30:W30)</f>
        <v>145</v>
      </c>
      <c r="H30" s="2">
        <f ca="1">H29+G30</f>
        <v>243</v>
      </c>
      <c r="I30" s="2">
        <f>每日任务产出!$G27</f>
        <v>25</v>
      </c>
      <c r="J30" s="2">
        <f>每周任务产出!$G27</f>
        <v>0</v>
      </c>
      <c r="K30" s="2">
        <f>每日活跃度宝箱产出!$G27</f>
        <v>6</v>
      </c>
      <c r="L30" s="2">
        <f>每周活跃度宝箱产出!$G27</f>
        <v>0</v>
      </c>
      <c r="M30" s="2">
        <f>成就产出!$G27</f>
        <v>104</v>
      </c>
      <c r="N30" s="2">
        <f>充值回馈活动产出!$G27</f>
        <v>0</v>
      </c>
      <c r="O30" s="2">
        <f>商城充值产出!$G27</f>
        <v>0</v>
      </c>
      <c r="P30" s="2">
        <f ca="1">广告产出!I27</f>
        <v>10</v>
      </c>
      <c r="Q30" s="2">
        <f ca="1">广告产出!J27</f>
        <v>0</v>
      </c>
    </row>
    <row r="31" s="2" customFormat="1" ht="18" customHeight="1" spans="2:17">
      <c r="B31" s="2">
        <v>3</v>
      </c>
      <c r="C31" s="2">
        <f t="shared" si="0"/>
        <v>1000</v>
      </c>
      <c r="D31" s="2">
        <f t="shared" si="1"/>
        <v>3000</v>
      </c>
      <c r="E31" s="2">
        <f>ROUND($C$8*$C$5+$C$8*$C$4*(1-$L$5),0)</f>
        <v>88</v>
      </c>
      <c r="F31" s="2">
        <f t="shared" si="2"/>
        <v>264</v>
      </c>
      <c r="G31" s="2">
        <f ca="1" t="shared" si="3"/>
        <v>542</v>
      </c>
      <c r="H31" s="2">
        <f ca="1" t="shared" ref="H31:H37" si="4">H30+G31</f>
        <v>785</v>
      </c>
      <c r="I31" s="2">
        <f>每日任务产出!$G28</f>
        <v>25</v>
      </c>
      <c r="J31" s="2">
        <f>每周任务产出!$G28</f>
        <v>100</v>
      </c>
      <c r="K31" s="2">
        <f>每日活跃度宝箱产出!$G28</f>
        <v>6</v>
      </c>
      <c r="L31" s="2">
        <f>每周活跃度宝箱产出!$G28</f>
        <v>30</v>
      </c>
      <c r="M31" s="2">
        <f>成就产出!$G28</f>
        <v>371</v>
      </c>
      <c r="N31" s="2">
        <f>充值回馈活动产出!$G28</f>
        <v>0</v>
      </c>
      <c r="O31" s="2">
        <f>商城充值产出!$G28</f>
        <v>0</v>
      </c>
      <c r="P31" s="2">
        <f ca="1">广告产出!I28</f>
        <v>10</v>
      </c>
      <c r="Q31" s="2">
        <f ca="1">广告产出!J28</f>
        <v>0</v>
      </c>
    </row>
    <row r="32" s="2" customFormat="1" ht="18" customHeight="1" spans="2:17">
      <c r="B32" s="2">
        <v>4</v>
      </c>
      <c r="C32" s="2">
        <f t="shared" si="0"/>
        <v>1000</v>
      </c>
      <c r="D32" s="2">
        <f t="shared" si="1"/>
        <v>4000</v>
      </c>
      <c r="E32" s="2">
        <f>ROUND($C$8*$C$5+$C$8*$C$4*(1-$L$5),0)</f>
        <v>88</v>
      </c>
      <c r="F32" s="2">
        <f t="shared" si="2"/>
        <v>352</v>
      </c>
      <c r="G32" s="2">
        <f ca="1" t="shared" si="3"/>
        <v>49</v>
      </c>
      <c r="H32" s="2">
        <f ca="1" t="shared" si="4"/>
        <v>834</v>
      </c>
      <c r="I32" s="2">
        <f>每日任务产出!$G29</f>
        <v>25</v>
      </c>
      <c r="J32" s="2">
        <f>每周任务产出!$G29</f>
        <v>0</v>
      </c>
      <c r="K32" s="2">
        <f>每日活跃度宝箱产出!$G29</f>
        <v>6</v>
      </c>
      <c r="L32" s="2">
        <f>每周活跃度宝箱产出!$G29</f>
        <v>0</v>
      </c>
      <c r="M32" s="2">
        <f>成就产出!$G29</f>
        <v>8</v>
      </c>
      <c r="N32" s="2">
        <f>充值回馈活动产出!$G29</f>
        <v>0</v>
      </c>
      <c r="O32" s="2">
        <f>商城充值产出!$G29</f>
        <v>0</v>
      </c>
      <c r="P32" s="2">
        <f ca="1">广告产出!I29</f>
        <v>10</v>
      </c>
      <c r="Q32" s="2">
        <f ca="1">广告产出!J29</f>
        <v>0</v>
      </c>
    </row>
    <row r="33" s="2" customFormat="1" ht="18" customHeight="1" spans="2:17">
      <c r="B33" s="2">
        <v>5</v>
      </c>
      <c r="C33" s="2">
        <f t="shared" si="0"/>
        <v>1000</v>
      </c>
      <c r="D33" s="2">
        <f t="shared" si="1"/>
        <v>5000</v>
      </c>
      <c r="E33" s="2">
        <f>ROUND($C$8*$C$5+$C$8*$C$4*(1-$L$5),0)</f>
        <v>88</v>
      </c>
      <c r="F33" s="2">
        <f t="shared" si="2"/>
        <v>440</v>
      </c>
      <c r="G33" s="2">
        <f ca="1" t="shared" si="3"/>
        <v>301</v>
      </c>
      <c r="H33" s="2">
        <f ca="1" t="shared" si="4"/>
        <v>1135</v>
      </c>
      <c r="I33" s="2">
        <f>每日任务产出!$G30</f>
        <v>25</v>
      </c>
      <c r="J33" s="2">
        <f>每周任务产出!$G30</f>
        <v>0</v>
      </c>
      <c r="K33" s="2">
        <f>每日活跃度宝箱产出!$G30</f>
        <v>6</v>
      </c>
      <c r="L33" s="2">
        <f>每周活跃度宝箱产出!$G30</f>
        <v>0</v>
      </c>
      <c r="M33" s="2">
        <f>成就产出!$G30</f>
        <v>260</v>
      </c>
      <c r="N33" s="2">
        <f>充值回馈活动产出!$G30</f>
        <v>0</v>
      </c>
      <c r="O33" s="2">
        <f>商城充值产出!$G30</f>
        <v>0</v>
      </c>
      <c r="P33" s="2">
        <f ca="1">广告产出!I30</f>
        <v>10</v>
      </c>
      <c r="Q33" s="2">
        <f ca="1">广告产出!J30</f>
        <v>0</v>
      </c>
    </row>
    <row r="34" s="2" customFormat="1" ht="18" customHeight="1" spans="2:17">
      <c r="B34" s="2">
        <v>6</v>
      </c>
      <c r="C34" s="2">
        <f t="shared" si="0"/>
        <v>1000</v>
      </c>
      <c r="D34" s="2">
        <f t="shared" si="1"/>
        <v>6000</v>
      </c>
      <c r="E34" s="2">
        <f>ROUND($C$8*$C$5+$C$8*$C$4*(1-$L$5),0)</f>
        <v>88</v>
      </c>
      <c r="F34" s="2">
        <f t="shared" si="2"/>
        <v>528</v>
      </c>
      <c r="G34" s="2">
        <f ca="1" t="shared" si="3"/>
        <v>438</v>
      </c>
      <c r="H34" s="2">
        <f ca="1" t="shared" si="4"/>
        <v>1573</v>
      </c>
      <c r="I34" s="2">
        <f>每日任务产出!$G31</f>
        <v>25</v>
      </c>
      <c r="J34" s="2">
        <f>每周任务产出!$G31</f>
        <v>100</v>
      </c>
      <c r="K34" s="2">
        <f>每日活跃度宝箱产出!$G31</f>
        <v>6</v>
      </c>
      <c r="L34" s="2">
        <f>每周活跃度宝箱产出!$G31</f>
        <v>35</v>
      </c>
      <c r="M34" s="2">
        <f>成就产出!$G31</f>
        <v>262</v>
      </c>
      <c r="N34" s="2">
        <f>充值回馈活动产出!$G31</f>
        <v>0</v>
      </c>
      <c r="O34" s="2">
        <f>商城充值产出!$G31</f>
        <v>0</v>
      </c>
      <c r="P34" s="2">
        <f ca="1">广告产出!I31</f>
        <v>10</v>
      </c>
      <c r="Q34" s="2">
        <f ca="1">广告产出!J31</f>
        <v>0</v>
      </c>
    </row>
    <row r="35" s="2" customFormat="1" ht="18" customHeight="1" spans="2:17">
      <c r="B35" s="2">
        <v>7</v>
      </c>
      <c r="C35" s="2">
        <f t="shared" si="0"/>
        <v>1000</v>
      </c>
      <c r="D35" s="2">
        <f t="shared" si="1"/>
        <v>7000</v>
      </c>
      <c r="E35" s="2">
        <f>ROUND($C$8*$C$5+$C$8*$C$4*(1-$L$5),0)</f>
        <v>88</v>
      </c>
      <c r="F35" s="2">
        <f t="shared" si="2"/>
        <v>616</v>
      </c>
      <c r="G35" s="2">
        <f ca="1" t="shared" si="3"/>
        <v>90</v>
      </c>
      <c r="H35" s="2">
        <f ca="1" t="shared" si="4"/>
        <v>1663</v>
      </c>
      <c r="I35" s="2">
        <f>每日任务产出!$G32</f>
        <v>25</v>
      </c>
      <c r="J35" s="2">
        <f>每周任务产出!$G32</f>
        <v>0</v>
      </c>
      <c r="K35" s="2">
        <f>每日活跃度宝箱产出!$G32</f>
        <v>6</v>
      </c>
      <c r="L35" s="2">
        <f>每周活跃度宝箱产出!$G32</f>
        <v>0</v>
      </c>
      <c r="M35" s="2">
        <f>成就产出!$G32</f>
        <v>49</v>
      </c>
      <c r="N35" s="2">
        <f>充值回馈活动产出!$G32</f>
        <v>0</v>
      </c>
      <c r="O35" s="2">
        <f>商城充值产出!$G32</f>
        <v>0</v>
      </c>
      <c r="P35" s="2">
        <f ca="1">广告产出!I32</f>
        <v>10</v>
      </c>
      <c r="Q35" s="2">
        <f ca="1">广告产出!J32</f>
        <v>0</v>
      </c>
    </row>
    <row r="36" s="2" customFormat="1" ht="18" customHeight="1" spans="2:17">
      <c r="B36" s="2">
        <v>8</v>
      </c>
      <c r="C36" s="2">
        <f t="shared" si="0"/>
        <v>1000</v>
      </c>
      <c r="D36" s="2">
        <f t="shared" si="1"/>
        <v>8000</v>
      </c>
      <c r="E36" s="2">
        <f>ROUND($C$8*$C$5+$C$8*$C$4*(1-$L$5),0)</f>
        <v>88</v>
      </c>
      <c r="F36" s="2">
        <f t="shared" si="2"/>
        <v>704</v>
      </c>
      <c r="G36" s="2">
        <f ca="1" t="shared" si="3"/>
        <v>57</v>
      </c>
      <c r="H36" s="2">
        <f ca="1" t="shared" si="4"/>
        <v>1720</v>
      </c>
      <c r="I36" s="2">
        <f>每日任务产出!$G33</f>
        <v>25</v>
      </c>
      <c r="J36" s="2">
        <f>每周任务产出!$G33</f>
        <v>0</v>
      </c>
      <c r="K36" s="2">
        <f>每日活跃度宝箱产出!$G33</f>
        <v>6</v>
      </c>
      <c r="L36" s="2">
        <f>每周活跃度宝箱产出!$G33</f>
        <v>0</v>
      </c>
      <c r="M36" s="2">
        <f>成就产出!$G33</f>
        <v>16</v>
      </c>
      <c r="N36" s="2">
        <f>充值回馈活动产出!$G33</f>
        <v>0</v>
      </c>
      <c r="O36" s="2">
        <f>商城充值产出!$G33</f>
        <v>0</v>
      </c>
      <c r="P36" s="2">
        <f ca="1">广告产出!I33</f>
        <v>10</v>
      </c>
      <c r="Q36" s="2">
        <f ca="1">广告产出!J33</f>
        <v>0</v>
      </c>
    </row>
    <row r="37" s="2" customFormat="1" ht="18" customHeight="1" spans="2:17">
      <c r="B37" s="2">
        <v>9</v>
      </c>
      <c r="C37" s="2">
        <f t="shared" si="0"/>
        <v>1000</v>
      </c>
      <c r="D37" s="2">
        <f t="shared" si="1"/>
        <v>9000</v>
      </c>
      <c r="E37" s="2">
        <f>ROUND($C$8*$C$5+$C$8*$C$4*(1-$L$5),0)</f>
        <v>88</v>
      </c>
      <c r="F37" s="2">
        <f t="shared" si="2"/>
        <v>792</v>
      </c>
      <c r="G37" s="2">
        <f ca="1" t="shared" si="3"/>
        <v>59</v>
      </c>
      <c r="H37" s="2">
        <f ca="1" t="shared" si="4"/>
        <v>1779</v>
      </c>
      <c r="I37" s="2">
        <f>每日任务产出!$G34</f>
        <v>25</v>
      </c>
      <c r="J37" s="2">
        <f>每周任务产出!$G34</f>
        <v>0</v>
      </c>
      <c r="K37" s="2">
        <f>每日活跃度宝箱产出!$G34</f>
        <v>6</v>
      </c>
      <c r="L37" s="2">
        <f>每周活跃度宝箱产出!$G34</f>
        <v>0</v>
      </c>
      <c r="M37" s="2">
        <f>成就产出!$G34</f>
        <v>18</v>
      </c>
      <c r="N37" s="2">
        <f>充值回馈活动产出!$G34</f>
        <v>0</v>
      </c>
      <c r="O37" s="2">
        <f>商城充值产出!$G34</f>
        <v>0</v>
      </c>
      <c r="P37" s="2">
        <f ca="1">广告产出!I34</f>
        <v>10</v>
      </c>
      <c r="Q37" s="2">
        <f ca="1">广告产出!J34</f>
        <v>0</v>
      </c>
    </row>
    <row r="38" s="2" customFormat="1" ht="18" customHeight="1" spans="2:17">
      <c r="B38" s="2">
        <v>10</v>
      </c>
      <c r="C38" s="2">
        <f t="shared" si="0"/>
        <v>1000</v>
      </c>
      <c r="D38" s="2">
        <f t="shared" si="1"/>
        <v>10000</v>
      </c>
      <c r="E38" s="2">
        <f>ROUND($C$8*$C$5+$C$8*$C$4*(1-$L$5),0)</f>
        <v>88</v>
      </c>
      <c r="F38" s="2">
        <f t="shared" si="2"/>
        <v>880</v>
      </c>
      <c r="G38" s="2">
        <f ca="1" t="shared" si="3"/>
        <v>191</v>
      </c>
      <c r="H38" s="2">
        <f ca="1" t="shared" ref="H38:H69" si="5">H37+G38</f>
        <v>1970</v>
      </c>
      <c r="I38" s="2">
        <f>每日任务产出!$G35</f>
        <v>25</v>
      </c>
      <c r="J38" s="2">
        <f>每周任务产出!$G35</f>
        <v>100</v>
      </c>
      <c r="K38" s="2">
        <f>每日活跃度宝箱产出!$G35</f>
        <v>6</v>
      </c>
      <c r="L38" s="2">
        <f>每周活跃度宝箱产出!$G35</f>
        <v>30</v>
      </c>
      <c r="M38" s="2">
        <f>成就产出!$G35</f>
        <v>20</v>
      </c>
      <c r="N38" s="2">
        <f>充值回馈活动产出!$G35</f>
        <v>0</v>
      </c>
      <c r="O38" s="2">
        <f>商城充值产出!$G35</f>
        <v>0</v>
      </c>
      <c r="P38" s="2">
        <f ca="1">广告产出!I35</f>
        <v>10</v>
      </c>
      <c r="Q38" s="2">
        <f ca="1">广告产出!J35</f>
        <v>0</v>
      </c>
    </row>
    <row r="39" s="2" customFormat="1" ht="18" customHeight="1" spans="2:17">
      <c r="B39" s="2">
        <v>11</v>
      </c>
      <c r="C39" s="2">
        <f t="shared" si="0"/>
        <v>1000</v>
      </c>
      <c r="D39" s="2">
        <f t="shared" si="1"/>
        <v>11000</v>
      </c>
      <c r="E39" s="2">
        <f>ROUND($C$8*$C$5+$C$8*$C$4*(1-$L$5),0)</f>
        <v>88</v>
      </c>
      <c r="F39" s="2">
        <f t="shared" si="2"/>
        <v>968</v>
      </c>
      <c r="G39" s="2">
        <f ca="1" t="shared" si="3"/>
        <v>63</v>
      </c>
      <c r="H39" s="2">
        <f ca="1" t="shared" si="5"/>
        <v>2033</v>
      </c>
      <c r="I39" s="2">
        <f>每日任务产出!$G36</f>
        <v>25</v>
      </c>
      <c r="J39" s="2">
        <f>每周任务产出!$G36</f>
        <v>0</v>
      </c>
      <c r="K39" s="2">
        <f>每日活跃度宝箱产出!$G36</f>
        <v>6</v>
      </c>
      <c r="L39" s="2">
        <f>每周活跃度宝箱产出!$G36</f>
        <v>0</v>
      </c>
      <c r="M39" s="2">
        <f>成就产出!$G36</f>
        <v>22</v>
      </c>
      <c r="N39" s="2">
        <f>充值回馈活动产出!$G36</f>
        <v>0</v>
      </c>
      <c r="O39" s="2">
        <f>商城充值产出!$G36</f>
        <v>0</v>
      </c>
      <c r="P39" s="2">
        <f ca="1">广告产出!I36</f>
        <v>10</v>
      </c>
      <c r="Q39" s="2">
        <f ca="1">广告产出!J36</f>
        <v>0</v>
      </c>
    </row>
    <row r="40" s="2" customFormat="1" ht="18" customHeight="1" spans="2:17">
      <c r="B40" s="2">
        <v>12</v>
      </c>
      <c r="C40" s="2">
        <f t="shared" ref="C40:C49" si="6">$C$8</f>
        <v>1000</v>
      </c>
      <c r="D40" s="2">
        <f t="shared" si="1"/>
        <v>12000</v>
      </c>
      <c r="E40" s="2">
        <f>ROUND($C$8*$C$5+$C$8*$C$4*(1-$L$5),0)</f>
        <v>88</v>
      </c>
      <c r="F40" s="2">
        <f t="shared" si="2"/>
        <v>1056</v>
      </c>
      <c r="G40" s="2">
        <f ca="1" t="shared" si="3"/>
        <v>65</v>
      </c>
      <c r="H40" s="2">
        <f ca="1" t="shared" si="5"/>
        <v>2098</v>
      </c>
      <c r="I40" s="2">
        <f>每日任务产出!$G37</f>
        <v>25</v>
      </c>
      <c r="J40" s="2">
        <f>每周任务产出!$G37</f>
        <v>0</v>
      </c>
      <c r="K40" s="2">
        <f>每日活跃度宝箱产出!$G37</f>
        <v>6</v>
      </c>
      <c r="L40" s="2">
        <f>每周活跃度宝箱产出!$G37</f>
        <v>0</v>
      </c>
      <c r="M40" s="2">
        <f>成就产出!$G37</f>
        <v>24</v>
      </c>
      <c r="N40" s="2">
        <f>充值回馈活动产出!$G37</f>
        <v>0</v>
      </c>
      <c r="O40" s="2">
        <f>商城充值产出!$G37</f>
        <v>0</v>
      </c>
      <c r="P40" s="2">
        <f ca="1">广告产出!I37</f>
        <v>10</v>
      </c>
      <c r="Q40" s="2">
        <f ca="1">广告产出!J37</f>
        <v>0</v>
      </c>
    </row>
    <row r="41" s="2" customFormat="1" ht="18" customHeight="1" spans="2:17">
      <c r="B41" s="2">
        <v>13</v>
      </c>
      <c r="C41" s="2">
        <f t="shared" si="6"/>
        <v>1000</v>
      </c>
      <c r="D41" s="2">
        <f t="shared" si="1"/>
        <v>13000</v>
      </c>
      <c r="E41" s="2">
        <f>ROUND($C$8*$C$5+$C$8*$C$4*(1-$L$5),0)</f>
        <v>88</v>
      </c>
      <c r="F41" s="2">
        <f t="shared" si="2"/>
        <v>1144</v>
      </c>
      <c r="G41" s="2">
        <f ca="1" t="shared" si="3"/>
        <v>202</v>
      </c>
      <c r="H41" s="2">
        <f ca="1" t="shared" si="5"/>
        <v>2300</v>
      </c>
      <c r="I41" s="2">
        <f>每日任务产出!$G38</f>
        <v>25</v>
      </c>
      <c r="J41" s="2">
        <f>每周任务产出!$G38</f>
        <v>100</v>
      </c>
      <c r="K41" s="2">
        <f>每日活跃度宝箱产出!$G38</f>
        <v>6</v>
      </c>
      <c r="L41" s="2">
        <f>每周活跃度宝箱产出!$G38</f>
        <v>35</v>
      </c>
      <c r="M41" s="2">
        <f>成就产出!$G38</f>
        <v>26</v>
      </c>
      <c r="N41" s="2">
        <f>充值回馈活动产出!$G38</f>
        <v>0</v>
      </c>
      <c r="O41" s="2">
        <f>商城充值产出!$G38</f>
        <v>0</v>
      </c>
      <c r="P41" s="2">
        <f ca="1">广告产出!I38</f>
        <v>10</v>
      </c>
      <c r="Q41" s="2">
        <f ca="1">广告产出!J38</f>
        <v>0</v>
      </c>
    </row>
    <row r="42" s="2" customFormat="1" ht="18" customHeight="1" spans="2:17">
      <c r="B42" s="2">
        <v>14</v>
      </c>
      <c r="C42" s="2">
        <f t="shared" si="6"/>
        <v>1000</v>
      </c>
      <c r="D42" s="2">
        <f t="shared" si="1"/>
        <v>14000</v>
      </c>
      <c r="E42" s="2">
        <f>ROUND($C$8*$C$5+$C$8*$C$4*(1-$L$5),0)</f>
        <v>88</v>
      </c>
      <c r="F42" s="2">
        <f t="shared" si="2"/>
        <v>1232</v>
      </c>
      <c r="G42" s="2">
        <f ca="1" t="shared" si="3"/>
        <v>69</v>
      </c>
      <c r="H42" s="2">
        <f ca="1" t="shared" si="5"/>
        <v>2369</v>
      </c>
      <c r="I42" s="2">
        <f>每日任务产出!$G39</f>
        <v>25</v>
      </c>
      <c r="J42" s="2">
        <f>每周任务产出!$G39</f>
        <v>0</v>
      </c>
      <c r="K42" s="2">
        <f>每日活跃度宝箱产出!$G39</f>
        <v>6</v>
      </c>
      <c r="L42" s="2">
        <f>每周活跃度宝箱产出!$G39</f>
        <v>0</v>
      </c>
      <c r="M42" s="2">
        <f>成就产出!$G39</f>
        <v>28</v>
      </c>
      <c r="N42" s="2">
        <f>充值回馈活动产出!$G39</f>
        <v>0</v>
      </c>
      <c r="O42" s="2">
        <f>商城充值产出!$G39</f>
        <v>0</v>
      </c>
      <c r="P42" s="2">
        <f ca="1">广告产出!I39</f>
        <v>10</v>
      </c>
      <c r="Q42" s="2">
        <f ca="1">广告产出!J39</f>
        <v>0</v>
      </c>
    </row>
    <row r="43" s="2" customFormat="1" ht="18" customHeight="1" spans="2:17">
      <c r="B43" s="2">
        <v>15</v>
      </c>
      <c r="C43" s="2">
        <f t="shared" si="6"/>
        <v>1000</v>
      </c>
      <c r="D43" s="2">
        <f t="shared" si="1"/>
        <v>15000</v>
      </c>
      <c r="E43" s="2">
        <f>ROUND($C$8*$C$5+$C$8*$C$4*(1-$L$5),0)</f>
        <v>88</v>
      </c>
      <c r="F43" s="2">
        <f t="shared" si="2"/>
        <v>1320</v>
      </c>
      <c r="G43" s="2">
        <f ca="1" t="shared" si="3"/>
        <v>71</v>
      </c>
      <c r="H43" s="2">
        <f ca="1" t="shared" si="5"/>
        <v>2440</v>
      </c>
      <c r="I43" s="2">
        <f>每日任务产出!$G40</f>
        <v>25</v>
      </c>
      <c r="J43" s="2">
        <f>每周任务产出!$G40</f>
        <v>0</v>
      </c>
      <c r="K43" s="2">
        <f>每日活跃度宝箱产出!$G40</f>
        <v>6</v>
      </c>
      <c r="L43" s="2">
        <f>每周活跃度宝箱产出!$G40</f>
        <v>0</v>
      </c>
      <c r="M43" s="2">
        <f>成就产出!$G40</f>
        <v>30</v>
      </c>
      <c r="N43" s="2">
        <f>充值回馈活动产出!$G40</f>
        <v>0</v>
      </c>
      <c r="O43" s="2">
        <f>商城充值产出!$G40</f>
        <v>0</v>
      </c>
      <c r="P43" s="2">
        <f ca="1">广告产出!I40</f>
        <v>10</v>
      </c>
      <c r="Q43" s="2">
        <f ca="1">广告产出!J40</f>
        <v>0</v>
      </c>
    </row>
    <row r="44" s="2" customFormat="1" ht="18" customHeight="1" spans="2:17">
      <c r="B44" s="2">
        <v>16</v>
      </c>
      <c r="C44" s="2">
        <f t="shared" si="6"/>
        <v>1000</v>
      </c>
      <c r="D44" s="2">
        <f t="shared" si="1"/>
        <v>16000</v>
      </c>
      <c r="E44" s="2">
        <f>ROUND($C$8*$C$5+$C$8*$C$4*(1-$L$5),0)</f>
        <v>88</v>
      </c>
      <c r="F44" s="2">
        <f t="shared" si="2"/>
        <v>1408</v>
      </c>
      <c r="G44" s="2">
        <f ca="1" t="shared" si="3"/>
        <v>73</v>
      </c>
      <c r="H44" s="2">
        <f ca="1" t="shared" si="5"/>
        <v>2513</v>
      </c>
      <c r="I44" s="2">
        <f>每日任务产出!$G41</f>
        <v>25</v>
      </c>
      <c r="J44" s="2">
        <f>每周任务产出!$G41</f>
        <v>0</v>
      </c>
      <c r="K44" s="2">
        <f>每日活跃度宝箱产出!$G41</f>
        <v>6</v>
      </c>
      <c r="L44" s="2">
        <f>每周活跃度宝箱产出!$G41</f>
        <v>0</v>
      </c>
      <c r="M44" s="2">
        <f>成就产出!$G41</f>
        <v>32</v>
      </c>
      <c r="P44" s="2">
        <f ca="1">广告产出!I41</f>
        <v>10</v>
      </c>
      <c r="Q44" s="2">
        <f ca="1">广告产出!J41</f>
        <v>0</v>
      </c>
    </row>
    <row r="45" s="2" customFormat="1" ht="18" customHeight="1" spans="2:17">
      <c r="B45" s="2">
        <v>17</v>
      </c>
      <c r="C45" s="2">
        <f t="shared" si="6"/>
        <v>1000</v>
      </c>
      <c r="D45" s="2">
        <f t="shared" si="1"/>
        <v>17000</v>
      </c>
      <c r="E45" s="2">
        <f>ROUND($C$8*$C$5+$C$8*$C$4*(1-$L$5),0)</f>
        <v>88</v>
      </c>
      <c r="F45" s="2">
        <f t="shared" si="2"/>
        <v>1496</v>
      </c>
      <c r="G45" s="2">
        <f ca="1" t="shared" si="3"/>
        <v>205</v>
      </c>
      <c r="H45" s="2">
        <f ca="1" t="shared" si="5"/>
        <v>2718</v>
      </c>
      <c r="I45" s="2">
        <f>每日任务产出!$G42</f>
        <v>25</v>
      </c>
      <c r="J45" s="2">
        <f>每周任务产出!$G42</f>
        <v>100</v>
      </c>
      <c r="K45" s="2">
        <f>每日活跃度宝箱产出!$G42</f>
        <v>6</v>
      </c>
      <c r="L45" s="2">
        <f>每周活跃度宝箱产出!$G42</f>
        <v>30</v>
      </c>
      <c r="M45" s="2">
        <f>成就产出!$G42</f>
        <v>34</v>
      </c>
      <c r="P45" s="2">
        <f ca="1">广告产出!I42</f>
        <v>10</v>
      </c>
      <c r="Q45" s="2">
        <f ca="1">广告产出!J42</f>
        <v>0</v>
      </c>
    </row>
    <row r="46" s="2" customFormat="1" ht="18" customHeight="1" spans="2:17">
      <c r="B46" s="2">
        <v>18</v>
      </c>
      <c r="C46" s="2">
        <f t="shared" si="6"/>
        <v>1000</v>
      </c>
      <c r="D46" s="2">
        <f t="shared" si="1"/>
        <v>18000</v>
      </c>
      <c r="E46" s="2">
        <f>ROUND($C$8*$C$5+$C$8*$C$4*(1-$L$5),0)</f>
        <v>88</v>
      </c>
      <c r="F46" s="2">
        <f t="shared" si="2"/>
        <v>1584</v>
      </c>
      <c r="G46" s="2">
        <f ca="1" t="shared" si="3"/>
        <v>77</v>
      </c>
      <c r="H46" s="2">
        <f ca="1" t="shared" si="5"/>
        <v>2795</v>
      </c>
      <c r="I46" s="2">
        <f>每日任务产出!$G43</f>
        <v>25</v>
      </c>
      <c r="J46" s="2">
        <f>每周任务产出!$G43</f>
        <v>0</v>
      </c>
      <c r="K46" s="2">
        <f>每日活跃度宝箱产出!$G43</f>
        <v>6</v>
      </c>
      <c r="L46" s="2">
        <f>每周活跃度宝箱产出!$G43</f>
        <v>0</v>
      </c>
      <c r="M46" s="2">
        <f>成就产出!$G43</f>
        <v>36</v>
      </c>
      <c r="P46" s="2">
        <f ca="1">广告产出!I43</f>
        <v>10</v>
      </c>
      <c r="Q46" s="2">
        <f ca="1">广告产出!J43</f>
        <v>0</v>
      </c>
    </row>
    <row r="47" s="2" customFormat="1" ht="18" customHeight="1" spans="2:17">
      <c r="B47" s="2">
        <v>19</v>
      </c>
      <c r="C47" s="2">
        <f t="shared" si="6"/>
        <v>1000</v>
      </c>
      <c r="D47" s="2">
        <f t="shared" si="1"/>
        <v>19000</v>
      </c>
      <c r="E47" s="2">
        <f>ROUND($C$8*$C$5+$C$8*$C$4*(1-$L$5),0)</f>
        <v>88</v>
      </c>
      <c r="F47" s="2">
        <f t="shared" si="2"/>
        <v>1672</v>
      </c>
      <c r="G47" s="2">
        <f ca="1" t="shared" si="3"/>
        <v>79</v>
      </c>
      <c r="H47" s="2">
        <f ca="1" t="shared" si="5"/>
        <v>2874</v>
      </c>
      <c r="I47" s="2">
        <f>每日任务产出!$G44</f>
        <v>25</v>
      </c>
      <c r="J47" s="2">
        <f>每周任务产出!$G44</f>
        <v>0</v>
      </c>
      <c r="K47" s="2">
        <f>每日活跃度宝箱产出!$G44</f>
        <v>6</v>
      </c>
      <c r="L47" s="2">
        <f>每周活跃度宝箱产出!$G44</f>
        <v>0</v>
      </c>
      <c r="M47" s="2">
        <f>成就产出!$G44</f>
        <v>38</v>
      </c>
      <c r="P47" s="2">
        <f ca="1">广告产出!I44</f>
        <v>10</v>
      </c>
      <c r="Q47" s="2">
        <f ca="1">广告产出!J44</f>
        <v>0</v>
      </c>
    </row>
    <row r="48" s="1" customFormat="1" ht="18" customHeight="1" spans="2:17">
      <c r="B48" s="2">
        <v>20</v>
      </c>
      <c r="C48" s="2">
        <f t="shared" si="6"/>
        <v>1000</v>
      </c>
      <c r="D48" s="2">
        <f t="shared" si="1"/>
        <v>20000</v>
      </c>
      <c r="E48" s="2">
        <f>ROUND($C$8*$C$5+$C$8*$C$4*(1-$L$5),0)</f>
        <v>88</v>
      </c>
      <c r="F48" s="2">
        <f t="shared" si="2"/>
        <v>1760</v>
      </c>
      <c r="G48" s="2">
        <f ca="1" t="shared" si="3"/>
        <v>216</v>
      </c>
      <c r="H48" s="2">
        <f ca="1" t="shared" si="5"/>
        <v>3090</v>
      </c>
      <c r="I48" s="2">
        <f>每日任务产出!$G45</f>
        <v>25</v>
      </c>
      <c r="J48" s="2">
        <f>每周任务产出!$G45</f>
        <v>100</v>
      </c>
      <c r="K48" s="2">
        <f>每日活跃度宝箱产出!$G45</f>
        <v>6</v>
      </c>
      <c r="L48" s="2">
        <f>每周活跃度宝箱产出!$G45</f>
        <v>35</v>
      </c>
      <c r="M48" s="2">
        <f>成就产出!$G45</f>
        <v>40</v>
      </c>
      <c r="P48" s="2">
        <f ca="1">广告产出!I45</f>
        <v>10</v>
      </c>
      <c r="Q48" s="2">
        <f ca="1">广告产出!J45</f>
        <v>0</v>
      </c>
    </row>
    <row r="49" s="1" customFormat="1" ht="18" customHeight="1" spans="2:17">
      <c r="B49" s="2">
        <v>21</v>
      </c>
      <c r="C49" s="2">
        <f t="shared" si="6"/>
        <v>1000</v>
      </c>
      <c r="D49" s="2">
        <f t="shared" si="1"/>
        <v>21000</v>
      </c>
      <c r="E49" s="2">
        <f>ROUND($C$8*$C$5+$C$8*$C$4*(1-$L$5),0)</f>
        <v>88</v>
      </c>
      <c r="F49" s="2">
        <f t="shared" si="2"/>
        <v>1848</v>
      </c>
      <c r="G49" s="2">
        <f ca="1" t="shared" si="3"/>
        <v>83</v>
      </c>
      <c r="H49" s="2">
        <f ca="1" t="shared" si="5"/>
        <v>3173</v>
      </c>
      <c r="I49" s="2">
        <f>每日任务产出!$G46</f>
        <v>25</v>
      </c>
      <c r="J49" s="2">
        <f>每周任务产出!$G46</f>
        <v>0</v>
      </c>
      <c r="K49" s="2">
        <f>每日活跃度宝箱产出!$G46</f>
        <v>6</v>
      </c>
      <c r="L49" s="2">
        <f>每周活跃度宝箱产出!$G46</f>
        <v>0</v>
      </c>
      <c r="M49" s="2">
        <f>成就产出!$G46</f>
        <v>42</v>
      </c>
      <c r="P49" s="2">
        <f ca="1">广告产出!I46</f>
        <v>10</v>
      </c>
      <c r="Q49" s="2">
        <f ca="1">广告产出!J46</f>
        <v>0</v>
      </c>
    </row>
    <row r="50" s="1" customFormat="1" ht="18" customHeight="1" spans="2:17">
      <c r="B50" s="2">
        <v>22</v>
      </c>
      <c r="C50" s="2">
        <f t="shared" ref="C50:C59" si="7">$C$8</f>
        <v>1000</v>
      </c>
      <c r="D50" s="2">
        <f t="shared" si="1"/>
        <v>22000</v>
      </c>
      <c r="E50" s="2">
        <f>ROUND($C$8*$C$5+$C$8*$C$4*(1-$L$5),0)</f>
        <v>88</v>
      </c>
      <c r="F50" s="2">
        <f t="shared" si="2"/>
        <v>1936</v>
      </c>
      <c r="G50" s="2">
        <f ca="1" t="shared" si="3"/>
        <v>85</v>
      </c>
      <c r="H50" s="2">
        <f ca="1" t="shared" si="5"/>
        <v>3258</v>
      </c>
      <c r="I50" s="2">
        <f>每日任务产出!$G47</f>
        <v>25</v>
      </c>
      <c r="J50" s="2">
        <f>每周任务产出!$G47</f>
        <v>0</v>
      </c>
      <c r="K50" s="2">
        <f>每日活跃度宝箱产出!$G47</f>
        <v>6</v>
      </c>
      <c r="L50" s="2">
        <f>每周活跃度宝箱产出!$G47</f>
        <v>0</v>
      </c>
      <c r="M50" s="2">
        <f>成就产出!$G47</f>
        <v>44</v>
      </c>
      <c r="P50" s="2">
        <f ca="1">广告产出!I47</f>
        <v>10</v>
      </c>
      <c r="Q50" s="2">
        <f ca="1">广告产出!J47</f>
        <v>0</v>
      </c>
    </row>
    <row r="51" s="1" customFormat="1" ht="18" customHeight="1" spans="2:17">
      <c r="B51" s="2">
        <v>23</v>
      </c>
      <c r="C51" s="2">
        <f t="shared" si="7"/>
        <v>1000</v>
      </c>
      <c r="D51" s="2">
        <f t="shared" si="1"/>
        <v>23000</v>
      </c>
      <c r="E51" s="2">
        <f>ROUND($C$8*$C$5+$C$8*$C$4*(1-$L$5),0)</f>
        <v>88</v>
      </c>
      <c r="F51" s="2">
        <f t="shared" si="2"/>
        <v>2024</v>
      </c>
      <c r="G51" s="2">
        <f ca="1" t="shared" si="3"/>
        <v>87</v>
      </c>
      <c r="H51" s="2">
        <f ca="1" t="shared" si="5"/>
        <v>3345</v>
      </c>
      <c r="I51" s="2">
        <f>每日任务产出!$G48</f>
        <v>25</v>
      </c>
      <c r="J51" s="2">
        <f>每周任务产出!$G48</f>
        <v>0</v>
      </c>
      <c r="K51" s="2">
        <f>每日活跃度宝箱产出!$G48</f>
        <v>6</v>
      </c>
      <c r="L51" s="2">
        <f>每周活跃度宝箱产出!$G48</f>
        <v>0</v>
      </c>
      <c r="M51" s="2">
        <f>成就产出!$G48</f>
        <v>46</v>
      </c>
      <c r="P51" s="2">
        <f ca="1">广告产出!I48</f>
        <v>10</v>
      </c>
      <c r="Q51" s="2">
        <f ca="1">广告产出!J48</f>
        <v>0</v>
      </c>
    </row>
    <row r="52" s="1" customFormat="1" ht="18" customHeight="1" spans="2:17">
      <c r="B52" s="2">
        <v>24</v>
      </c>
      <c r="C52" s="2">
        <f t="shared" si="7"/>
        <v>1000</v>
      </c>
      <c r="D52" s="2">
        <f t="shared" si="1"/>
        <v>24000</v>
      </c>
      <c r="E52" s="2">
        <f>ROUND($C$8*$C$5+$C$8*$C$4*(1-$L$5),0)</f>
        <v>88</v>
      </c>
      <c r="F52" s="2">
        <f t="shared" si="2"/>
        <v>2112</v>
      </c>
      <c r="G52" s="2">
        <f ca="1" t="shared" si="3"/>
        <v>219</v>
      </c>
      <c r="H52" s="2">
        <f ca="1" t="shared" si="5"/>
        <v>3564</v>
      </c>
      <c r="I52" s="2">
        <f>每日任务产出!$G49</f>
        <v>25</v>
      </c>
      <c r="J52" s="2">
        <f>每周任务产出!$G49</f>
        <v>100</v>
      </c>
      <c r="K52" s="2">
        <f>每日活跃度宝箱产出!$G49</f>
        <v>6</v>
      </c>
      <c r="L52" s="2">
        <f>每周活跃度宝箱产出!$G49</f>
        <v>30</v>
      </c>
      <c r="M52" s="2">
        <f>成就产出!$G49</f>
        <v>48</v>
      </c>
      <c r="P52" s="2">
        <f ca="1">广告产出!I49</f>
        <v>10</v>
      </c>
      <c r="Q52" s="2">
        <f ca="1">广告产出!J49</f>
        <v>0</v>
      </c>
    </row>
    <row r="53" s="1" customFormat="1" ht="18" customHeight="1" spans="2:17">
      <c r="B53" s="2">
        <v>25</v>
      </c>
      <c r="C53" s="2">
        <f t="shared" si="7"/>
        <v>1000</v>
      </c>
      <c r="D53" s="2">
        <f t="shared" si="1"/>
        <v>25000</v>
      </c>
      <c r="E53" s="2">
        <f>ROUND($C$8*$C$5+$C$8*$C$4*(1-$L$5),0)</f>
        <v>88</v>
      </c>
      <c r="F53" s="2">
        <f t="shared" si="2"/>
        <v>2200</v>
      </c>
      <c r="G53" s="2">
        <f ca="1" t="shared" si="3"/>
        <v>91</v>
      </c>
      <c r="H53" s="2">
        <f ca="1" t="shared" si="5"/>
        <v>3655</v>
      </c>
      <c r="I53" s="2">
        <f>每日任务产出!$G50</f>
        <v>25</v>
      </c>
      <c r="J53" s="2">
        <f>每周任务产出!$G50</f>
        <v>0</v>
      </c>
      <c r="K53" s="2">
        <f>每日活跃度宝箱产出!$G50</f>
        <v>6</v>
      </c>
      <c r="L53" s="2">
        <f>每周活跃度宝箱产出!$G50</f>
        <v>0</v>
      </c>
      <c r="M53" s="2">
        <f>成就产出!$G50</f>
        <v>50</v>
      </c>
      <c r="P53" s="2">
        <f ca="1">广告产出!I50</f>
        <v>10</v>
      </c>
      <c r="Q53" s="2">
        <f ca="1">广告产出!J50</f>
        <v>0</v>
      </c>
    </row>
    <row r="54" s="1" customFormat="1" ht="18" customHeight="1" spans="2:17">
      <c r="B54" s="2">
        <v>26</v>
      </c>
      <c r="C54" s="2">
        <f t="shared" si="7"/>
        <v>1000</v>
      </c>
      <c r="D54" s="2">
        <f t="shared" si="1"/>
        <v>26000</v>
      </c>
      <c r="E54" s="2">
        <f>ROUND($C$8*$C$5+$C$8*$C$4*(1-$L$5),0)</f>
        <v>88</v>
      </c>
      <c r="F54" s="2">
        <f t="shared" si="2"/>
        <v>2288</v>
      </c>
      <c r="G54" s="2">
        <f ca="1" t="shared" si="3"/>
        <v>93</v>
      </c>
      <c r="H54" s="2">
        <f ca="1" t="shared" si="5"/>
        <v>3748</v>
      </c>
      <c r="I54" s="2">
        <f>每日任务产出!$G51</f>
        <v>25</v>
      </c>
      <c r="J54" s="2">
        <f>每周任务产出!$G51</f>
        <v>0</v>
      </c>
      <c r="K54" s="2">
        <f>每日活跃度宝箱产出!$G51</f>
        <v>6</v>
      </c>
      <c r="L54" s="2">
        <f>每周活跃度宝箱产出!$G51</f>
        <v>0</v>
      </c>
      <c r="M54" s="2">
        <f>成就产出!$G51</f>
        <v>52</v>
      </c>
      <c r="P54" s="2">
        <f ca="1">广告产出!I51</f>
        <v>10</v>
      </c>
      <c r="Q54" s="2">
        <f ca="1">广告产出!J51</f>
        <v>0</v>
      </c>
    </row>
    <row r="55" s="1" customFormat="1" ht="18" customHeight="1" spans="2:17">
      <c r="B55" s="2">
        <v>27</v>
      </c>
      <c r="C55" s="2">
        <f t="shared" si="7"/>
        <v>1000</v>
      </c>
      <c r="D55" s="2">
        <f t="shared" si="1"/>
        <v>27000</v>
      </c>
      <c r="E55" s="2">
        <f>ROUND($C$8*$C$5+$C$8*$C$4*(1-$L$5),0)</f>
        <v>88</v>
      </c>
      <c r="F55" s="2">
        <f t="shared" si="2"/>
        <v>2376</v>
      </c>
      <c r="G55" s="2">
        <f ca="1" t="shared" si="3"/>
        <v>230</v>
      </c>
      <c r="H55" s="2">
        <f ca="1" t="shared" si="5"/>
        <v>3978</v>
      </c>
      <c r="I55" s="2">
        <f>每日任务产出!$G52</f>
        <v>25</v>
      </c>
      <c r="J55" s="2">
        <f>每周任务产出!$G52</f>
        <v>100</v>
      </c>
      <c r="K55" s="2">
        <f>每日活跃度宝箱产出!$G52</f>
        <v>6</v>
      </c>
      <c r="L55" s="2">
        <f>每周活跃度宝箱产出!$G52</f>
        <v>35</v>
      </c>
      <c r="M55" s="2">
        <f>成就产出!$G52</f>
        <v>54</v>
      </c>
      <c r="P55" s="2">
        <f ca="1">广告产出!I52</f>
        <v>10</v>
      </c>
      <c r="Q55" s="2">
        <f ca="1">广告产出!J52</f>
        <v>0</v>
      </c>
    </row>
    <row r="56" s="1" customFormat="1" ht="18" customHeight="1" spans="2:17">
      <c r="B56" s="2">
        <v>28</v>
      </c>
      <c r="C56" s="2">
        <f t="shared" si="7"/>
        <v>1000</v>
      </c>
      <c r="D56" s="2">
        <f t="shared" si="1"/>
        <v>28000</v>
      </c>
      <c r="E56" s="2">
        <f>ROUND($C$8*$C$5+$C$8*$C$4*(1-$L$5),0)</f>
        <v>88</v>
      </c>
      <c r="F56" s="2">
        <f t="shared" si="2"/>
        <v>2464</v>
      </c>
      <c r="G56" s="2">
        <f ca="1" t="shared" si="3"/>
        <v>97</v>
      </c>
      <c r="H56" s="2">
        <f ca="1" t="shared" si="5"/>
        <v>4075</v>
      </c>
      <c r="I56" s="2">
        <f>每日任务产出!$G53</f>
        <v>25</v>
      </c>
      <c r="J56" s="2">
        <f>每周任务产出!$G53</f>
        <v>0</v>
      </c>
      <c r="K56" s="2">
        <f>每日活跃度宝箱产出!$G53</f>
        <v>6</v>
      </c>
      <c r="L56" s="2">
        <f>每周活跃度宝箱产出!$G53</f>
        <v>0</v>
      </c>
      <c r="M56" s="2">
        <f>成就产出!$G53</f>
        <v>56</v>
      </c>
      <c r="P56" s="2">
        <f ca="1">广告产出!I53</f>
        <v>10</v>
      </c>
      <c r="Q56" s="2">
        <f ca="1">广告产出!J53</f>
        <v>0</v>
      </c>
    </row>
    <row r="57" s="1" customFormat="1" ht="18" customHeight="1" spans="2:17">
      <c r="B57" s="2">
        <v>29</v>
      </c>
      <c r="C57" s="2">
        <f t="shared" si="7"/>
        <v>1000</v>
      </c>
      <c r="D57" s="2">
        <f t="shared" si="1"/>
        <v>29000</v>
      </c>
      <c r="E57" s="2">
        <f>ROUND($C$8*$C$5+$C$8*$C$4*(1-$L$5),0)</f>
        <v>88</v>
      </c>
      <c r="F57" s="2">
        <f t="shared" si="2"/>
        <v>2552</v>
      </c>
      <c r="G57" s="2">
        <f ca="1" t="shared" si="3"/>
        <v>99</v>
      </c>
      <c r="H57" s="2">
        <f ca="1" t="shared" si="5"/>
        <v>4174</v>
      </c>
      <c r="I57" s="2">
        <f>每日任务产出!$G54</f>
        <v>25</v>
      </c>
      <c r="J57" s="2">
        <f>每周任务产出!$G54</f>
        <v>0</v>
      </c>
      <c r="K57" s="2">
        <f>每日活跃度宝箱产出!$G54</f>
        <v>6</v>
      </c>
      <c r="L57" s="2">
        <f>每周活跃度宝箱产出!$G54</f>
        <v>0</v>
      </c>
      <c r="M57" s="2">
        <f>成就产出!$G54</f>
        <v>58</v>
      </c>
      <c r="P57" s="2">
        <f ca="1">广告产出!I54</f>
        <v>10</v>
      </c>
      <c r="Q57" s="2">
        <f ca="1">广告产出!J54</f>
        <v>0</v>
      </c>
    </row>
    <row r="58" s="1" customFormat="1" ht="18" customHeight="1" spans="2:17">
      <c r="B58" s="2">
        <v>30</v>
      </c>
      <c r="C58" s="2">
        <f t="shared" si="7"/>
        <v>1000</v>
      </c>
      <c r="D58" s="2">
        <f t="shared" si="1"/>
        <v>30000</v>
      </c>
      <c r="E58" s="2">
        <f>ROUND($C$8*$C$5+$C$8*$C$4*(1-$L$5),0)</f>
        <v>88</v>
      </c>
      <c r="F58" s="2">
        <f t="shared" si="2"/>
        <v>2640</v>
      </c>
      <c r="G58" s="2">
        <f ca="1" t="shared" si="3"/>
        <v>251</v>
      </c>
      <c r="H58" s="2">
        <f ca="1" t="shared" si="5"/>
        <v>4425</v>
      </c>
      <c r="I58" s="2">
        <f>每日任务产出!$G55</f>
        <v>25</v>
      </c>
      <c r="J58" s="2">
        <f>每周任务产出!$G55</f>
        <v>0</v>
      </c>
      <c r="K58" s="2">
        <f>每日活跃度宝箱产出!$G55</f>
        <v>6</v>
      </c>
      <c r="L58" s="2">
        <f>每周活跃度宝箱产出!$G55</f>
        <v>0</v>
      </c>
      <c r="M58" s="2">
        <f>成就产出!$G55</f>
        <v>210</v>
      </c>
      <c r="P58" s="2">
        <f ca="1">广告产出!I55</f>
        <v>10</v>
      </c>
      <c r="Q58" s="2">
        <f ca="1">广告产出!J55</f>
        <v>0</v>
      </c>
    </row>
    <row r="59" s="1" customFormat="1" ht="18" customHeight="1" spans="2:17">
      <c r="B59" s="2">
        <v>31</v>
      </c>
      <c r="C59" s="2">
        <f t="shared" si="7"/>
        <v>1000</v>
      </c>
      <c r="D59" s="2">
        <f t="shared" si="1"/>
        <v>31000</v>
      </c>
      <c r="E59" s="2">
        <f>ROUND($C$8*$C$5+$C$8*$C$4*(1-$L$5),0)</f>
        <v>88</v>
      </c>
      <c r="F59" s="2">
        <f t="shared" si="2"/>
        <v>2728</v>
      </c>
      <c r="G59" s="2">
        <f ca="1" t="shared" si="3"/>
        <v>233</v>
      </c>
      <c r="H59" s="2">
        <f ca="1" t="shared" si="5"/>
        <v>4658</v>
      </c>
      <c r="I59" s="2">
        <f>每日任务产出!$G56</f>
        <v>25</v>
      </c>
      <c r="J59" s="2">
        <f>每周任务产出!$G56</f>
        <v>100</v>
      </c>
      <c r="K59" s="2">
        <f>每日活跃度宝箱产出!$G56</f>
        <v>6</v>
      </c>
      <c r="L59" s="2">
        <f>每周活跃度宝箱产出!$G56</f>
        <v>30</v>
      </c>
      <c r="M59" s="2">
        <f>成就产出!$G56</f>
        <v>62</v>
      </c>
      <c r="P59" s="2">
        <f ca="1">广告产出!I56</f>
        <v>10</v>
      </c>
      <c r="Q59" s="2">
        <f ca="1">广告产出!J56</f>
        <v>0</v>
      </c>
    </row>
    <row r="60" s="1" customFormat="1" ht="18" customHeight="1" spans="2:17">
      <c r="B60" s="2">
        <v>32</v>
      </c>
      <c r="C60" s="2">
        <f t="shared" ref="C60:C69" si="8">$C$8</f>
        <v>1000</v>
      </c>
      <c r="D60" s="2">
        <f t="shared" si="1"/>
        <v>32000</v>
      </c>
      <c r="E60" s="2">
        <f>ROUND($C$8*$C$5+$C$8*$C$4*(1-$L$5),0)</f>
        <v>88</v>
      </c>
      <c r="F60" s="2">
        <f t="shared" si="2"/>
        <v>2816</v>
      </c>
      <c r="G60" s="2">
        <f ca="1" t="shared" si="3"/>
        <v>105</v>
      </c>
      <c r="H60" s="2">
        <f ca="1" t="shared" si="5"/>
        <v>4763</v>
      </c>
      <c r="I60" s="2">
        <f>每日任务产出!$G57</f>
        <v>25</v>
      </c>
      <c r="J60" s="2">
        <f>每周任务产出!$G57</f>
        <v>0</v>
      </c>
      <c r="K60" s="2">
        <f>每日活跃度宝箱产出!$G57</f>
        <v>6</v>
      </c>
      <c r="L60" s="2">
        <f>每周活跃度宝箱产出!$G57</f>
        <v>0</v>
      </c>
      <c r="M60" s="2">
        <f>成就产出!$G57</f>
        <v>64</v>
      </c>
      <c r="P60" s="2">
        <f ca="1">广告产出!I57</f>
        <v>10</v>
      </c>
      <c r="Q60" s="2">
        <f ca="1">广告产出!J57</f>
        <v>0</v>
      </c>
    </row>
    <row r="61" s="1" customFormat="1" ht="18" customHeight="1" spans="2:17">
      <c r="B61" s="2">
        <v>33</v>
      </c>
      <c r="C61" s="2">
        <f t="shared" si="8"/>
        <v>1000</v>
      </c>
      <c r="D61" s="2">
        <f t="shared" si="1"/>
        <v>33000</v>
      </c>
      <c r="E61" s="2">
        <f>ROUND($C$8*$C$5+$C$8*$C$4*(1-$L$5),0)</f>
        <v>88</v>
      </c>
      <c r="F61" s="2">
        <f t="shared" si="2"/>
        <v>2904</v>
      </c>
      <c r="G61" s="2">
        <f ca="1" t="shared" si="3"/>
        <v>107</v>
      </c>
      <c r="H61" s="2">
        <f ca="1" t="shared" si="5"/>
        <v>4870</v>
      </c>
      <c r="I61" s="2">
        <f>每日任务产出!$G58</f>
        <v>25</v>
      </c>
      <c r="J61" s="2">
        <f>每周任务产出!$G58</f>
        <v>0</v>
      </c>
      <c r="K61" s="2">
        <f>每日活跃度宝箱产出!$G58</f>
        <v>6</v>
      </c>
      <c r="L61" s="2">
        <f>每周活跃度宝箱产出!$G58</f>
        <v>0</v>
      </c>
      <c r="M61" s="2">
        <f>成就产出!$G58</f>
        <v>66</v>
      </c>
      <c r="P61" s="2">
        <f ca="1">广告产出!I58</f>
        <v>10</v>
      </c>
      <c r="Q61" s="2">
        <f ca="1">广告产出!J58</f>
        <v>0</v>
      </c>
    </row>
    <row r="62" s="1" customFormat="1" ht="18" customHeight="1" spans="2:17">
      <c r="B62" s="2">
        <v>34</v>
      </c>
      <c r="C62" s="2">
        <f t="shared" si="8"/>
        <v>1000</v>
      </c>
      <c r="D62" s="2">
        <f t="shared" ref="D62:D93" si="9">C62*B62</f>
        <v>34000</v>
      </c>
      <c r="E62" s="2">
        <f>ROUND($C$8*$C$5+$C$8*$C$4*(1-$L$5),0)</f>
        <v>88</v>
      </c>
      <c r="F62" s="2">
        <f t="shared" ref="F62:F93" si="10">E62*B62</f>
        <v>2992</v>
      </c>
      <c r="G62" s="2">
        <f ca="1" t="shared" ref="G62:G93" si="11">SUM(I62:W62)</f>
        <v>176</v>
      </c>
      <c r="H62" s="2">
        <f ca="1" t="shared" si="5"/>
        <v>5046</v>
      </c>
      <c r="I62" s="2">
        <f>每日任务产出!$G59</f>
        <v>25</v>
      </c>
      <c r="J62" s="2">
        <f>每周任务产出!$G59</f>
        <v>100</v>
      </c>
      <c r="K62" s="2">
        <f>每日活跃度宝箱产出!$G59</f>
        <v>6</v>
      </c>
      <c r="L62" s="2">
        <f>每周活跃度宝箱产出!$G59</f>
        <v>35</v>
      </c>
      <c r="M62" s="2">
        <f>成就产出!$G59</f>
        <v>0</v>
      </c>
      <c r="P62" s="2">
        <f ca="1">广告产出!I59</f>
        <v>10</v>
      </c>
      <c r="Q62" s="2">
        <f ca="1">广告产出!J59</f>
        <v>0</v>
      </c>
    </row>
    <row r="63" s="1" customFormat="1" ht="18" customHeight="1" spans="2:17">
      <c r="B63" s="2">
        <v>35</v>
      </c>
      <c r="C63" s="2">
        <f t="shared" si="8"/>
        <v>1000</v>
      </c>
      <c r="D63" s="2">
        <f t="shared" si="9"/>
        <v>35000</v>
      </c>
      <c r="E63" s="2">
        <f>ROUND($C$8*$C$5+$C$8*$C$4*(1-$L$5),0)</f>
        <v>88</v>
      </c>
      <c r="F63" s="2">
        <f t="shared" si="10"/>
        <v>3080</v>
      </c>
      <c r="G63" s="2">
        <f ca="1" t="shared" si="11"/>
        <v>41</v>
      </c>
      <c r="H63" s="2">
        <f ca="1" t="shared" si="5"/>
        <v>5087</v>
      </c>
      <c r="I63" s="2">
        <f>每日任务产出!$G60</f>
        <v>25</v>
      </c>
      <c r="J63" s="2">
        <f>每周任务产出!$G60</f>
        <v>0</v>
      </c>
      <c r="K63" s="2">
        <f>每日活跃度宝箱产出!$G60</f>
        <v>6</v>
      </c>
      <c r="L63" s="2">
        <f>每周活跃度宝箱产出!$G60</f>
        <v>0</v>
      </c>
      <c r="M63" s="2">
        <f>成就产出!$G60</f>
        <v>0</v>
      </c>
      <c r="P63" s="2">
        <f ca="1">广告产出!I60</f>
        <v>10</v>
      </c>
      <c r="Q63" s="2">
        <f ca="1">广告产出!J60</f>
        <v>0</v>
      </c>
    </row>
    <row r="64" s="1" customFormat="1" ht="18" customHeight="1" spans="2:17">
      <c r="B64" s="2">
        <v>36</v>
      </c>
      <c r="C64" s="2">
        <f t="shared" si="8"/>
        <v>1000</v>
      </c>
      <c r="D64" s="2">
        <f t="shared" si="9"/>
        <v>36000</v>
      </c>
      <c r="E64" s="2">
        <f>ROUND($C$8*$C$5+$C$8*$C$4*(1-$L$5),0)</f>
        <v>88</v>
      </c>
      <c r="F64" s="2">
        <f t="shared" si="10"/>
        <v>3168</v>
      </c>
      <c r="G64" s="2">
        <f ca="1" t="shared" si="11"/>
        <v>41</v>
      </c>
      <c r="H64" s="2">
        <f ca="1" t="shared" si="5"/>
        <v>5128</v>
      </c>
      <c r="I64" s="2">
        <f>每日任务产出!$G61</f>
        <v>25</v>
      </c>
      <c r="J64" s="2">
        <f>每周任务产出!$G61</f>
        <v>0</v>
      </c>
      <c r="K64" s="2">
        <f>每日活跃度宝箱产出!$G61</f>
        <v>6</v>
      </c>
      <c r="L64" s="2">
        <f>每周活跃度宝箱产出!$G61</f>
        <v>0</v>
      </c>
      <c r="M64" s="2">
        <f>成就产出!$G61</f>
        <v>0</v>
      </c>
      <c r="P64" s="2">
        <f ca="1">广告产出!I61</f>
        <v>10</v>
      </c>
      <c r="Q64" s="2">
        <f ca="1">广告产出!J61</f>
        <v>0</v>
      </c>
    </row>
    <row r="65" s="1" customFormat="1" ht="18" customHeight="1" spans="2:17">
      <c r="B65" s="2">
        <v>37</v>
      </c>
      <c r="C65" s="2">
        <f t="shared" si="8"/>
        <v>1000</v>
      </c>
      <c r="D65" s="2">
        <f t="shared" si="9"/>
        <v>37000</v>
      </c>
      <c r="E65" s="2">
        <f>ROUND($C$8*$C$5+$C$8*$C$4*(1-$L$5),0)</f>
        <v>88</v>
      </c>
      <c r="F65" s="2">
        <f t="shared" si="10"/>
        <v>3256</v>
      </c>
      <c r="G65" s="2">
        <f ca="1" t="shared" si="11"/>
        <v>41</v>
      </c>
      <c r="H65" s="2">
        <f ca="1" t="shared" si="5"/>
        <v>5169</v>
      </c>
      <c r="I65" s="2">
        <f>每日任务产出!$G62</f>
        <v>25</v>
      </c>
      <c r="J65" s="2">
        <f>每周任务产出!$G62</f>
        <v>0</v>
      </c>
      <c r="K65" s="2">
        <f>每日活跃度宝箱产出!$G62</f>
        <v>6</v>
      </c>
      <c r="L65" s="2">
        <f>每周活跃度宝箱产出!$G62</f>
        <v>0</v>
      </c>
      <c r="M65" s="2">
        <f>成就产出!$G62</f>
        <v>0</v>
      </c>
      <c r="P65" s="2">
        <f ca="1">广告产出!I62</f>
        <v>10</v>
      </c>
      <c r="Q65" s="2">
        <f ca="1">广告产出!J62</f>
        <v>0</v>
      </c>
    </row>
    <row r="66" s="1" customFormat="1" ht="18" customHeight="1" spans="2:17">
      <c r="B66" s="2">
        <v>38</v>
      </c>
      <c r="C66" s="2">
        <f t="shared" si="8"/>
        <v>1000</v>
      </c>
      <c r="D66" s="2">
        <f t="shared" si="9"/>
        <v>38000</v>
      </c>
      <c r="E66" s="2">
        <f>ROUND($C$8*$C$5+$C$8*$C$4*(1-$L$5),0)</f>
        <v>88</v>
      </c>
      <c r="F66" s="2">
        <f t="shared" si="10"/>
        <v>3344</v>
      </c>
      <c r="G66" s="2">
        <f ca="1" t="shared" si="11"/>
        <v>171</v>
      </c>
      <c r="H66" s="2">
        <f ca="1" t="shared" si="5"/>
        <v>5340</v>
      </c>
      <c r="I66" s="2">
        <f>每日任务产出!$G63</f>
        <v>25</v>
      </c>
      <c r="J66" s="2">
        <f>每周任务产出!$G63</f>
        <v>100</v>
      </c>
      <c r="K66" s="2">
        <f>每日活跃度宝箱产出!$G63</f>
        <v>6</v>
      </c>
      <c r="L66" s="2">
        <f>每周活跃度宝箱产出!$G63</f>
        <v>30</v>
      </c>
      <c r="M66" s="2">
        <f>成就产出!$G63</f>
        <v>0</v>
      </c>
      <c r="P66" s="2">
        <f ca="1">广告产出!I63</f>
        <v>10</v>
      </c>
      <c r="Q66" s="2">
        <f ca="1">广告产出!J63</f>
        <v>0</v>
      </c>
    </row>
    <row r="67" s="1" customFormat="1" ht="18" customHeight="1" spans="2:17">
      <c r="B67" s="2">
        <v>39</v>
      </c>
      <c r="C67" s="2">
        <f t="shared" si="8"/>
        <v>1000</v>
      </c>
      <c r="D67" s="2">
        <f t="shared" si="9"/>
        <v>39000</v>
      </c>
      <c r="E67" s="2">
        <f>ROUND($C$8*$C$5+$C$8*$C$4*(1-$L$5),0)</f>
        <v>88</v>
      </c>
      <c r="F67" s="2">
        <f t="shared" si="10"/>
        <v>3432</v>
      </c>
      <c r="G67" s="2">
        <f ca="1" t="shared" si="11"/>
        <v>41</v>
      </c>
      <c r="H67" s="2">
        <f ca="1" t="shared" si="5"/>
        <v>5381</v>
      </c>
      <c r="I67" s="2">
        <f>每日任务产出!$G64</f>
        <v>25</v>
      </c>
      <c r="J67" s="2">
        <f>每周任务产出!$G64</f>
        <v>0</v>
      </c>
      <c r="K67" s="2">
        <f>每日活跃度宝箱产出!$G64</f>
        <v>6</v>
      </c>
      <c r="L67" s="2">
        <f>每周活跃度宝箱产出!$G64</f>
        <v>0</v>
      </c>
      <c r="M67" s="2">
        <f>成就产出!$G64</f>
        <v>0</v>
      </c>
      <c r="P67" s="2">
        <f ca="1">广告产出!I64</f>
        <v>10</v>
      </c>
      <c r="Q67" s="2">
        <f ca="1">广告产出!J64</f>
        <v>0</v>
      </c>
    </row>
    <row r="68" s="1" customFormat="1" ht="18" customHeight="1" spans="2:17">
      <c r="B68" s="2">
        <v>40</v>
      </c>
      <c r="C68" s="2">
        <f t="shared" si="8"/>
        <v>1000</v>
      </c>
      <c r="D68" s="2">
        <f t="shared" si="9"/>
        <v>40000</v>
      </c>
      <c r="E68" s="2">
        <f>ROUND($C$8*$C$5+$C$8*$C$4*(1-$L$5),0)</f>
        <v>88</v>
      </c>
      <c r="F68" s="2">
        <f t="shared" si="10"/>
        <v>3520</v>
      </c>
      <c r="G68" s="2">
        <f ca="1" t="shared" si="11"/>
        <v>41</v>
      </c>
      <c r="H68" s="2">
        <f ca="1" t="shared" si="5"/>
        <v>5422</v>
      </c>
      <c r="I68" s="2">
        <f>每日任务产出!$G65</f>
        <v>25</v>
      </c>
      <c r="J68" s="2">
        <f>每周任务产出!$G65</f>
        <v>0</v>
      </c>
      <c r="K68" s="2">
        <f>每日活跃度宝箱产出!$G65</f>
        <v>6</v>
      </c>
      <c r="L68" s="2">
        <f>每周活跃度宝箱产出!$G65</f>
        <v>0</v>
      </c>
      <c r="M68" s="2">
        <f>成就产出!$G65</f>
        <v>0</v>
      </c>
      <c r="P68" s="2">
        <f ca="1">广告产出!I65</f>
        <v>10</v>
      </c>
      <c r="Q68" s="2">
        <f ca="1">广告产出!J65</f>
        <v>0</v>
      </c>
    </row>
    <row r="69" s="1" customFormat="1" ht="18" customHeight="1" spans="2:17">
      <c r="B69" s="2">
        <v>41</v>
      </c>
      <c r="C69" s="2">
        <f t="shared" si="8"/>
        <v>1000</v>
      </c>
      <c r="D69" s="2">
        <f t="shared" si="9"/>
        <v>41000</v>
      </c>
      <c r="E69" s="2">
        <f>ROUND($C$8*$C$5+$C$8*$C$4*(1-$L$5),0)</f>
        <v>88</v>
      </c>
      <c r="F69" s="2">
        <f t="shared" si="10"/>
        <v>3608</v>
      </c>
      <c r="G69" s="2">
        <f ca="1" t="shared" si="11"/>
        <v>176</v>
      </c>
      <c r="H69" s="2">
        <f ca="1" t="shared" si="5"/>
        <v>5598</v>
      </c>
      <c r="I69" s="2">
        <f>每日任务产出!$G66</f>
        <v>25</v>
      </c>
      <c r="J69" s="2">
        <f>每周任务产出!$G66</f>
        <v>100</v>
      </c>
      <c r="K69" s="2">
        <f>每日活跃度宝箱产出!$G66</f>
        <v>6</v>
      </c>
      <c r="L69" s="2">
        <f>每周活跃度宝箱产出!$G66</f>
        <v>35</v>
      </c>
      <c r="M69" s="2">
        <f>成就产出!$G66</f>
        <v>0</v>
      </c>
      <c r="P69" s="2">
        <f ca="1">广告产出!I66</f>
        <v>10</v>
      </c>
      <c r="Q69" s="2">
        <f ca="1">广告产出!J66</f>
        <v>0</v>
      </c>
    </row>
    <row r="70" s="1" customFormat="1" ht="18" customHeight="1" spans="2:17">
      <c r="B70" s="2">
        <v>42</v>
      </c>
      <c r="C70" s="2">
        <f t="shared" ref="C70:C79" si="12">$C$8</f>
        <v>1000</v>
      </c>
      <c r="D70" s="2">
        <f t="shared" si="9"/>
        <v>42000</v>
      </c>
      <c r="E70" s="2">
        <f>ROUND($C$8*$C$5+$C$8*$C$4*(1-$L$5),0)</f>
        <v>88</v>
      </c>
      <c r="F70" s="2">
        <f t="shared" si="10"/>
        <v>3696</v>
      </c>
      <c r="G70" s="2">
        <f ca="1" t="shared" si="11"/>
        <v>41</v>
      </c>
      <c r="H70" s="2">
        <f ca="1" t="shared" ref="H70:H101" si="13">H69+G70</f>
        <v>5639</v>
      </c>
      <c r="I70" s="2">
        <f>每日任务产出!$G67</f>
        <v>25</v>
      </c>
      <c r="J70" s="2">
        <f>每周任务产出!$G67</f>
        <v>0</v>
      </c>
      <c r="K70" s="2">
        <f>每日活跃度宝箱产出!$G67</f>
        <v>6</v>
      </c>
      <c r="L70" s="2">
        <f>每周活跃度宝箱产出!$G67</f>
        <v>0</v>
      </c>
      <c r="M70" s="2">
        <f>成就产出!$G67</f>
        <v>0</v>
      </c>
      <c r="P70" s="2">
        <f ca="1">广告产出!I67</f>
        <v>10</v>
      </c>
      <c r="Q70" s="2">
        <f ca="1">广告产出!J67</f>
        <v>0</v>
      </c>
    </row>
    <row r="71" s="1" customFormat="1" ht="18" customHeight="1" spans="2:17">
      <c r="B71" s="2">
        <v>43</v>
      </c>
      <c r="C71" s="2">
        <f t="shared" si="12"/>
        <v>1000</v>
      </c>
      <c r="D71" s="2">
        <f t="shared" si="9"/>
        <v>43000</v>
      </c>
      <c r="E71" s="2">
        <f>ROUND($C$8*$C$5+$C$8*$C$4*(1-$L$5),0)</f>
        <v>88</v>
      </c>
      <c r="F71" s="2">
        <f t="shared" si="10"/>
        <v>3784</v>
      </c>
      <c r="G71" s="2">
        <f ca="1" t="shared" si="11"/>
        <v>41</v>
      </c>
      <c r="H71" s="2">
        <f ca="1" t="shared" si="13"/>
        <v>5680</v>
      </c>
      <c r="I71" s="2">
        <f>每日任务产出!$G68</f>
        <v>25</v>
      </c>
      <c r="J71" s="2">
        <f>每周任务产出!$G68</f>
        <v>0</v>
      </c>
      <c r="K71" s="2">
        <f>每日活跃度宝箱产出!$G68</f>
        <v>6</v>
      </c>
      <c r="L71" s="2">
        <f>每周活跃度宝箱产出!$G68</f>
        <v>0</v>
      </c>
      <c r="M71" s="2">
        <f>成就产出!$G68</f>
        <v>0</v>
      </c>
      <c r="P71" s="2">
        <f ca="1">广告产出!I68</f>
        <v>10</v>
      </c>
      <c r="Q71" s="2">
        <f ca="1">广告产出!J68</f>
        <v>0</v>
      </c>
    </row>
    <row r="72" s="1" customFormat="1" ht="18" customHeight="1" spans="2:17">
      <c r="B72" s="2">
        <v>44</v>
      </c>
      <c r="C72" s="2">
        <f t="shared" si="12"/>
        <v>1000</v>
      </c>
      <c r="D72" s="2">
        <f t="shared" si="9"/>
        <v>44000</v>
      </c>
      <c r="E72" s="2">
        <f>ROUND($C$8*$C$5+$C$8*$C$4*(1-$L$5),0)</f>
        <v>88</v>
      </c>
      <c r="F72" s="2">
        <f t="shared" si="10"/>
        <v>3872</v>
      </c>
      <c r="G72" s="2">
        <f ca="1" t="shared" si="11"/>
        <v>41</v>
      </c>
      <c r="H72" s="2">
        <f ca="1" t="shared" si="13"/>
        <v>5721</v>
      </c>
      <c r="I72" s="2">
        <f>每日任务产出!$G69</f>
        <v>25</v>
      </c>
      <c r="J72" s="2">
        <f>每周任务产出!$G69</f>
        <v>0</v>
      </c>
      <c r="K72" s="2">
        <f>每日活跃度宝箱产出!$G69</f>
        <v>6</v>
      </c>
      <c r="L72" s="2">
        <f>每周活跃度宝箱产出!$G69</f>
        <v>0</v>
      </c>
      <c r="M72" s="2">
        <f>成就产出!$G69</f>
        <v>0</v>
      </c>
      <c r="P72" s="2">
        <f ca="1">广告产出!I69</f>
        <v>10</v>
      </c>
      <c r="Q72" s="2">
        <f ca="1">广告产出!J69</f>
        <v>0</v>
      </c>
    </row>
    <row r="73" s="1" customFormat="1" ht="18" customHeight="1" spans="2:17">
      <c r="B73" s="2">
        <v>45</v>
      </c>
      <c r="C73" s="2">
        <f t="shared" si="12"/>
        <v>1000</v>
      </c>
      <c r="D73" s="2">
        <f t="shared" si="9"/>
        <v>45000</v>
      </c>
      <c r="E73" s="2">
        <f>ROUND($C$8*$C$5+$C$8*$C$4*(1-$L$5),0)</f>
        <v>88</v>
      </c>
      <c r="F73" s="2">
        <f t="shared" si="10"/>
        <v>3960</v>
      </c>
      <c r="G73" s="2">
        <f ca="1" t="shared" si="11"/>
        <v>171</v>
      </c>
      <c r="H73" s="2">
        <f ca="1" t="shared" si="13"/>
        <v>5892</v>
      </c>
      <c r="I73" s="2">
        <f>每日任务产出!$G70</f>
        <v>25</v>
      </c>
      <c r="J73" s="2">
        <f>每周任务产出!$G70</f>
        <v>100</v>
      </c>
      <c r="K73" s="2">
        <f>每日活跃度宝箱产出!$G70</f>
        <v>6</v>
      </c>
      <c r="L73" s="2">
        <f>每周活跃度宝箱产出!$G70</f>
        <v>30</v>
      </c>
      <c r="M73" s="2">
        <f>成就产出!$G70</f>
        <v>0</v>
      </c>
      <c r="P73" s="2">
        <f ca="1">广告产出!I70</f>
        <v>10</v>
      </c>
      <c r="Q73" s="2">
        <f ca="1">广告产出!J70</f>
        <v>0</v>
      </c>
    </row>
    <row r="74" s="1" customFormat="1" ht="18" customHeight="1" spans="2:17">
      <c r="B74" s="2">
        <v>46</v>
      </c>
      <c r="C74" s="2">
        <f t="shared" si="12"/>
        <v>1000</v>
      </c>
      <c r="D74" s="2">
        <f t="shared" si="9"/>
        <v>46000</v>
      </c>
      <c r="E74" s="2">
        <f>ROUND($C$8*$C$5+$C$8*$C$4*(1-$L$5),0)</f>
        <v>88</v>
      </c>
      <c r="F74" s="2">
        <f t="shared" si="10"/>
        <v>4048</v>
      </c>
      <c r="G74" s="2">
        <f ca="1" t="shared" si="11"/>
        <v>41</v>
      </c>
      <c r="H74" s="2">
        <f ca="1" t="shared" si="13"/>
        <v>5933</v>
      </c>
      <c r="I74" s="2">
        <f>每日任务产出!$G71</f>
        <v>25</v>
      </c>
      <c r="J74" s="2">
        <f>每周任务产出!$G71</f>
        <v>0</v>
      </c>
      <c r="K74" s="2">
        <f>每日活跃度宝箱产出!$G71</f>
        <v>6</v>
      </c>
      <c r="L74" s="2">
        <f>每周活跃度宝箱产出!$G71</f>
        <v>0</v>
      </c>
      <c r="M74" s="2">
        <f>成就产出!$G71</f>
        <v>0</v>
      </c>
      <c r="P74" s="2">
        <f ca="1">广告产出!I71</f>
        <v>10</v>
      </c>
      <c r="Q74" s="2">
        <f ca="1">广告产出!J71</f>
        <v>0</v>
      </c>
    </row>
    <row r="75" s="1" customFormat="1" ht="18" customHeight="1" spans="2:17">
      <c r="B75" s="2">
        <v>47</v>
      </c>
      <c r="C75" s="2">
        <f t="shared" si="12"/>
        <v>1000</v>
      </c>
      <c r="D75" s="2">
        <f t="shared" si="9"/>
        <v>47000</v>
      </c>
      <c r="E75" s="2">
        <f>ROUND($C$8*$C$5+$C$8*$C$4*(1-$L$5),0)</f>
        <v>88</v>
      </c>
      <c r="F75" s="2">
        <f t="shared" si="10"/>
        <v>4136</v>
      </c>
      <c r="G75" s="2">
        <f ca="1" t="shared" si="11"/>
        <v>41</v>
      </c>
      <c r="H75" s="2">
        <f ca="1" t="shared" si="13"/>
        <v>5974</v>
      </c>
      <c r="I75" s="2">
        <f>每日任务产出!$G72</f>
        <v>25</v>
      </c>
      <c r="J75" s="2">
        <f>每周任务产出!$G72</f>
        <v>0</v>
      </c>
      <c r="K75" s="2">
        <f>每日活跃度宝箱产出!$G72</f>
        <v>6</v>
      </c>
      <c r="L75" s="2">
        <f>每周活跃度宝箱产出!$G72</f>
        <v>0</v>
      </c>
      <c r="M75" s="2">
        <f>成就产出!$G72</f>
        <v>0</v>
      </c>
      <c r="P75" s="2">
        <f ca="1">广告产出!I72</f>
        <v>10</v>
      </c>
      <c r="Q75" s="2">
        <f ca="1">广告产出!J72</f>
        <v>0</v>
      </c>
    </row>
    <row r="76" s="1" customFormat="1" ht="18" customHeight="1" spans="2:17">
      <c r="B76" s="2">
        <v>48</v>
      </c>
      <c r="C76" s="2">
        <f t="shared" si="12"/>
        <v>1000</v>
      </c>
      <c r="D76" s="2">
        <f t="shared" si="9"/>
        <v>48000</v>
      </c>
      <c r="E76" s="2">
        <f>ROUND($C$8*$C$5+$C$8*$C$4*(1-$L$5),0)</f>
        <v>88</v>
      </c>
      <c r="F76" s="2">
        <f t="shared" si="10"/>
        <v>4224</v>
      </c>
      <c r="G76" s="2">
        <f ca="1" t="shared" si="11"/>
        <v>176</v>
      </c>
      <c r="H76" s="2">
        <f ca="1" t="shared" si="13"/>
        <v>6150</v>
      </c>
      <c r="I76" s="2">
        <f>每日任务产出!$G73</f>
        <v>25</v>
      </c>
      <c r="J76" s="2">
        <f>每周任务产出!$G73</f>
        <v>100</v>
      </c>
      <c r="K76" s="2">
        <f>每日活跃度宝箱产出!$G73</f>
        <v>6</v>
      </c>
      <c r="L76" s="2">
        <f>每周活跃度宝箱产出!$G73</f>
        <v>35</v>
      </c>
      <c r="M76" s="2">
        <f>成就产出!$G73</f>
        <v>0</v>
      </c>
      <c r="P76" s="2">
        <f ca="1">广告产出!I73</f>
        <v>10</v>
      </c>
      <c r="Q76" s="2">
        <f ca="1">广告产出!J73</f>
        <v>0</v>
      </c>
    </row>
    <row r="77" s="1" customFormat="1" ht="18" customHeight="1" spans="2:17">
      <c r="B77" s="2">
        <v>49</v>
      </c>
      <c r="C77" s="2">
        <f t="shared" si="12"/>
        <v>1000</v>
      </c>
      <c r="D77" s="2">
        <f t="shared" si="9"/>
        <v>49000</v>
      </c>
      <c r="E77" s="2">
        <f>ROUND($C$8*$C$5+$C$8*$C$4*(1-$L$5),0)</f>
        <v>88</v>
      </c>
      <c r="F77" s="2">
        <f t="shared" si="10"/>
        <v>4312</v>
      </c>
      <c r="G77" s="2">
        <f ca="1" t="shared" si="11"/>
        <v>41</v>
      </c>
      <c r="H77" s="2">
        <f ca="1" t="shared" si="13"/>
        <v>6191</v>
      </c>
      <c r="I77" s="2">
        <f>每日任务产出!$G74</f>
        <v>25</v>
      </c>
      <c r="J77" s="2">
        <f>每周任务产出!$G74</f>
        <v>0</v>
      </c>
      <c r="K77" s="2">
        <f>每日活跃度宝箱产出!$G74</f>
        <v>6</v>
      </c>
      <c r="L77" s="2">
        <f>每周活跃度宝箱产出!$G74</f>
        <v>0</v>
      </c>
      <c r="M77" s="2">
        <f>成就产出!$G74</f>
        <v>0</v>
      </c>
      <c r="P77" s="2">
        <f ca="1">广告产出!I74</f>
        <v>10</v>
      </c>
      <c r="Q77" s="2">
        <f ca="1">广告产出!J74</f>
        <v>0</v>
      </c>
    </row>
    <row r="78" s="1" customFormat="1" ht="18" customHeight="1" spans="2:17">
      <c r="B78" s="2">
        <v>50</v>
      </c>
      <c r="C78" s="2">
        <f t="shared" si="12"/>
        <v>1000</v>
      </c>
      <c r="D78" s="2">
        <f t="shared" si="9"/>
        <v>50000</v>
      </c>
      <c r="E78" s="2">
        <f>ROUND($C$8*$C$5+$C$8*$C$4*(1-$L$5),0)</f>
        <v>88</v>
      </c>
      <c r="F78" s="2">
        <f t="shared" si="10"/>
        <v>4400</v>
      </c>
      <c r="G78" s="2">
        <f ca="1" t="shared" si="11"/>
        <v>41</v>
      </c>
      <c r="H78" s="2">
        <f ca="1" t="shared" si="13"/>
        <v>6232</v>
      </c>
      <c r="I78" s="2">
        <f>每日任务产出!$G75</f>
        <v>25</v>
      </c>
      <c r="J78" s="2">
        <f>每周任务产出!$G75</f>
        <v>0</v>
      </c>
      <c r="K78" s="2">
        <f>每日活跃度宝箱产出!$G75</f>
        <v>6</v>
      </c>
      <c r="L78" s="2">
        <f>每周活跃度宝箱产出!$G75</f>
        <v>0</v>
      </c>
      <c r="M78" s="2">
        <f>成就产出!$G75</f>
        <v>0</v>
      </c>
      <c r="P78" s="2">
        <f ca="1">广告产出!I75</f>
        <v>10</v>
      </c>
      <c r="Q78" s="2">
        <f ca="1">广告产出!J75</f>
        <v>0</v>
      </c>
    </row>
    <row r="79" s="1" customFormat="1" ht="18" customHeight="1" spans="2:17">
      <c r="B79" s="2">
        <v>51</v>
      </c>
      <c r="C79" s="2">
        <f t="shared" si="12"/>
        <v>1000</v>
      </c>
      <c r="D79" s="2">
        <f t="shared" si="9"/>
        <v>51000</v>
      </c>
      <c r="E79" s="2">
        <f>ROUND($C$8*$C$5+$C$8*$C$4*(1-$L$5),0)</f>
        <v>88</v>
      </c>
      <c r="F79" s="2">
        <f t="shared" si="10"/>
        <v>4488</v>
      </c>
      <c r="G79" s="2">
        <f ca="1" t="shared" si="11"/>
        <v>41</v>
      </c>
      <c r="H79" s="2">
        <f ca="1" t="shared" si="13"/>
        <v>6273</v>
      </c>
      <c r="I79" s="2">
        <f>每日任务产出!$G76</f>
        <v>25</v>
      </c>
      <c r="J79" s="2">
        <f>每周任务产出!$G76</f>
        <v>0</v>
      </c>
      <c r="K79" s="2">
        <f>每日活跃度宝箱产出!$G76</f>
        <v>6</v>
      </c>
      <c r="L79" s="2">
        <f>每周活跃度宝箱产出!$G76</f>
        <v>0</v>
      </c>
      <c r="M79" s="2">
        <f>成就产出!$G76</f>
        <v>0</v>
      </c>
      <c r="P79" s="2">
        <f ca="1">广告产出!I76</f>
        <v>10</v>
      </c>
      <c r="Q79" s="2">
        <f ca="1">广告产出!J76</f>
        <v>0</v>
      </c>
    </row>
    <row r="80" s="1" customFormat="1" ht="18" customHeight="1" spans="2:17">
      <c r="B80" s="2">
        <v>52</v>
      </c>
      <c r="C80" s="2">
        <f t="shared" ref="C80:C89" si="14">$C$8</f>
        <v>1000</v>
      </c>
      <c r="D80" s="2">
        <f t="shared" si="9"/>
        <v>52000</v>
      </c>
      <c r="E80" s="2">
        <f>ROUND($C$8*$C$5+$C$8*$C$4*(1-$L$5),0)</f>
        <v>88</v>
      </c>
      <c r="F80" s="2">
        <f t="shared" si="10"/>
        <v>4576</v>
      </c>
      <c r="G80" s="2">
        <f ca="1" t="shared" si="11"/>
        <v>171</v>
      </c>
      <c r="H80" s="2">
        <f ca="1" t="shared" si="13"/>
        <v>6444</v>
      </c>
      <c r="I80" s="2">
        <f>每日任务产出!$G77</f>
        <v>25</v>
      </c>
      <c r="J80" s="2">
        <f>每周任务产出!$G77</f>
        <v>100</v>
      </c>
      <c r="K80" s="2">
        <f>每日活跃度宝箱产出!$G77</f>
        <v>6</v>
      </c>
      <c r="L80" s="2">
        <f>每周活跃度宝箱产出!$G77</f>
        <v>30</v>
      </c>
      <c r="M80" s="2">
        <f>成就产出!$G77</f>
        <v>0</v>
      </c>
      <c r="P80" s="2">
        <f ca="1">广告产出!I77</f>
        <v>10</v>
      </c>
      <c r="Q80" s="2">
        <f ca="1">广告产出!J77</f>
        <v>0</v>
      </c>
    </row>
    <row r="81" s="1" customFormat="1" ht="18" customHeight="1" spans="2:17">
      <c r="B81" s="2">
        <v>53</v>
      </c>
      <c r="C81" s="2">
        <f t="shared" si="14"/>
        <v>1000</v>
      </c>
      <c r="D81" s="2">
        <f t="shared" si="9"/>
        <v>53000</v>
      </c>
      <c r="E81" s="2">
        <f>ROUND($C$8*$C$5+$C$8*$C$4*(1-$L$5),0)</f>
        <v>88</v>
      </c>
      <c r="F81" s="2">
        <f t="shared" si="10"/>
        <v>4664</v>
      </c>
      <c r="G81" s="2">
        <f ca="1" t="shared" si="11"/>
        <v>41</v>
      </c>
      <c r="H81" s="2">
        <f ca="1" t="shared" si="13"/>
        <v>6485</v>
      </c>
      <c r="I81" s="2">
        <f>每日任务产出!$G78</f>
        <v>25</v>
      </c>
      <c r="J81" s="2">
        <f>每周任务产出!$G78</f>
        <v>0</v>
      </c>
      <c r="K81" s="2">
        <f>每日活跃度宝箱产出!$G78</f>
        <v>6</v>
      </c>
      <c r="L81" s="2">
        <f>每周活跃度宝箱产出!$G78</f>
        <v>0</v>
      </c>
      <c r="M81" s="2">
        <f>成就产出!$G78</f>
        <v>0</v>
      </c>
      <c r="P81" s="2">
        <f ca="1">广告产出!I78</f>
        <v>10</v>
      </c>
      <c r="Q81" s="2">
        <f ca="1">广告产出!J78</f>
        <v>0</v>
      </c>
    </row>
    <row r="82" s="1" customFormat="1" ht="18" customHeight="1" spans="2:17">
      <c r="B82" s="2">
        <v>54</v>
      </c>
      <c r="C82" s="2">
        <f t="shared" si="14"/>
        <v>1000</v>
      </c>
      <c r="D82" s="2">
        <f t="shared" si="9"/>
        <v>54000</v>
      </c>
      <c r="E82" s="2">
        <f>ROUND($C$8*$C$5+$C$8*$C$4*(1-$L$5),0)</f>
        <v>88</v>
      </c>
      <c r="F82" s="2">
        <f t="shared" si="10"/>
        <v>4752</v>
      </c>
      <c r="G82" s="2">
        <f ca="1" t="shared" si="11"/>
        <v>41</v>
      </c>
      <c r="H82" s="2">
        <f ca="1" t="shared" si="13"/>
        <v>6526</v>
      </c>
      <c r="I82" s="2">
        <f>每日任务产出!$G79</f>
        <v>25</v>
      </c>
      <c r="J82" s="2">
        <f>每周任务产出!$G79</f>
        <v>0</v>
      </c>
      <c r="K82" s="2">
        <f>每日活跃度宝箱产出!$G79</f>
        <v>6</v>
      </c>
      <c r="L82" s="2">
        <f>每周活跃度宝箱产出!$G79</f>
        <v>0</v>
      </c>
      <c r="M82" s="2">
        <f>成就产出!$G79</f>
        <v>0</v>
      </c>
      <c r="P82" s="2">
        <f ca="1">广告产出!I79</f>
        <v>10</v>
      </c>
      <c r="Q82" s="2">
        <f ca="1">广告产出!J79</f>
        <v>0</v>
      </c>
    </row>
    <row r="83" s="1" customFormat="1" ht="18" customHeight="1" spans="2:17">
      <c r="B83" s="2">
        <v>55</v>
      </c>
      <c r="C83" s="2">
        <f t="shared" si="14"/>
        <v>1000</v>
      </c>
      <c r="D83" s="2">
        <f t="shared" si="9"/>
        <v>55000</v>
      </c>
      <c r="E83" s="2">
        <f>ROUND($C$8*$C$5+$C$8*$C$4*(1-$L$5),0)</f>
        <v>88</v>
      </c>
      <c r="F83" s="2">
        <f t="shared" si="10"/>
        <v>4840</v>
      </c>
      <c r="G83" s="2">
        <f ca="1" t="shared" si="11"/>
        <v>176</v>
      </c>
      <c r="H83" s="2">
        <f ca="1" t="shared" si="13"/>
        <v>6702</v>
      </c>
      <c r="I83" s="2">
        <f>每日任务产出!$G80</f>
        <v>25</v>
      </c>
      <c r="J83" s="2">
        <f>每周任务产出!$G80</f>
        <v>100</v>
      </c>
      <c r="K83" s="2">
        <f>每日活跃度宝箱产出!$G80</f>
        <v>6</v>
      </c>
      <c r="L83" s="2">
        <f>每周活跃度宝箱产出!$G80</f>
        <v>35</v>
      </c>
      <c r="M83" s="2">
        <f>成就产出!$G80</f>
        <v>0</v>
      </c>
      <c r="P83" s="2">
        <f ca="1">广告产出!I80</f>
        <v>10</v>
      </c>
      <c r="Q83" s="2">
        <f ca="1">广告产出!J80</f>
        <v>0</v>
      </c>
    </row>
    <row r="84" s="1" customFormat="1" ht="18" customHeight="1" spans="2:17">
      <c r="B84" s="2">
        <v>56</v>
      </c>
      <c r="C84" s="2">
        <f t="shared" si="14"/>
        <v>1000</v>
      </c>
      <c r="D84" s="2">
        <f t="shared" si="9"/>
        <v>56000</v>
      </c>
      <c r="E84" s="2">
        <f>ROUND($C$8*$C$5+$C$8*$C$4*(1-$L$5),0)</f>
        <v>88</v>
      </c>
      <c r="F84" s="2">
        <f t="shared" si="10"/>
        <v>4928</v>
      </c>
      <c r="G84" s="2">
        <f ca="1" t="shared" si="11"/>
        <v>41</v>
      </c>
      <c r="H84" s="2">
        <f ca="1" t="shared" si="13"/>
        <v>6743</v>
      </c>
      <c r="I84" s="2">
        <f>每日任务产出!$G81</f>
        <v>25</v>
      </c>
      <c r="J84" s="2">
        <f>每周任务产出!$G81</f>
        <v>0</v>
      </c>
      <c r="K84" s="2">
        <f>每日活跃度宝箱产出!$G81</f>
        <v>6</v>
      </c>
      <c r="L84" s="2">
        <f>每周活跃度宝箱产出!$G81</f>
        <v>0</v>
      </c>
      <c r="M84" s="2">
        <f>成就产出!$G81</f>
        <v>0</v>
      </c>
      <c r="P84" s="2">
        <f ca="1">广告产出!I81</f>
        <v>10</v>
      </c>
      <c r="Q84" s="2">
        <f ca="1">广告产出!J81</f>
        <v>0</v>
      </c>
    </row>
    <row r="85" s="1" customFormat="1" ht="18" customHeight="1" spans="2:17">
      <c r="B85" s="2">
        <v>57</v>
      </c>
      <c r="C85" s="2">
        <f t="shared" si="14"/>
        <v>1000</v>
      </c>
      <c r="D85" s="2">
        <f t="shared" si="9"/>
        <v>57000</v>
      </c>
      <c r="E85" s="2">
        <f>ROUND($C$8*$C$5+$C$8*$C$4*(1-$L$5),0)</f>
        <v>88</v>
      </c>
      <c r="F85" s="2">
        <f t="shared" si="10"/>
        <v>5016</v>
      </c>
      <c r="G85" s="2">
        <f ca="1" t="shared" si="11"/>
        <v>41</v>
      </c>
      <c r="H85" s="2">
        <f ca="1" t="shared" si="13"/>
        <v>6784</v>
      </c>
      <c r="I85" s="2">
        <f>每日任务产出!$G82</f>
        <v>25</v>
      </c>
      <c r="J85" s="2">
        <f>每周任务产出!$G82</f>
        <v>0</v>
      </c>
      <c r="K85" s="2">
        <f>每日活跃度宝箱产出!$G82</f>
        <v>6</v>
      </c>
      <c r="L85" s="2">
        <f>每周活跃度宝箱产出!$G82</f>
        <v>0</v>
      </c>
      <c r="M85" s="2">
        <f>成就产出!$G82</f>
        <v>0</v>
      </c>
      <c r="P85" s="2">
        <f ca="1">广告产出!I82</f>
        <v>10</v>
      </c>
      <c r="Q85" s="2">
        <f ca="1">广告产出!J82</f>
        <v>0</v>
      </c>
    </row>
    <row r="86" s="1" customFormat="1" ht="18" customHeight="1" spans="2:17">
      <c r="B86" s="2">
        <v>58</v>
      </c>
      <c r="C86" s="2">
        <f t="shared" si="14"/>
        <v>1000</v>
      </c>
      <c r="D86" s="2">
        <f t="shared" si="9"/>
        <v>58000</v>
      </c>
      <c r="E86" s="2">
        <f>ROUND($C$8*$C$5+$C$8*$C$4*(1-$L$5),0)</f>
        <v>88</v>
      </c>
      <c r="F86" s="2">
        <f t="shared" si="10"/>
        <v>5104</v>
      </c>
      <c r="G86" s="2">
        <f ca="1" t="shared" si="11"/>
        <v>41</v>
      </c>
      <c r="H86" s="2">
        <f ca="1" t="shared" si="13"/>
        <v>6825</v>
      </c>
      <c r="I86" s="2">
        <f>每日任务产出!$G83</f>
        <v>25</v>
      </c>
      <c r="J86" s="2">
        <f>每周任务产出!$G83</f>
        <v>0</v>
      </c>
      <c r="K86" s="2">
        <f>每日活跃度宝箱产出!$G83</f>
        <v>6</v>
      </c>
      <c r="L86" s="2">
        <f>每周活跃度宝箱产出!$G83</f>
        <v>0</v>
      </c>
      <c r="M86" s="2">
        <f>成就产出!$G83</f>
        <v>0</v>
      </c>
      <c r="P86" s="2">
        <f ca="1">广告产出!I83</f>
        <v>10</v>
      </c>
      <c r="Q86" s="2">
        <f ca="1">广告产出!J83</f>
        <v>0</v>
      </c>
    </row>
    <row r="87" s="1" customFormat="1" ht="18" customHeight="1" spans="2:17">
      <c r="B87" s="2">
        <v>59</v>
      </c>
      <c r="C87" s="2">
        <f t="shared" si="14"/>
        <v>1000</v>
      </c>
      <c r="D87" s="2">
        <f t="shared" si="9"/>
        <v>59000</v>
      </c>
      <c r="E87" s="2">
        <f>ROUND($C$8*$C$5+$C$8*$C$4*(1-$L$5),0)</f>
        <v>88</v>
      </c>
      <c r="F87" s="2">
        <f t="shared" si="10"/>
        <v>5192</v>
      </c>
      <c r="G87" s="2">
        <f ca="1" t="shared" si="11"/>
        <v>171</v>
      </c>
      <c r="H87" s="2">
        <f ca="1" t="shared" si="13"/>
        <v>6996</v>
      </c>
      <c r="I87" s="2">
        <f>每日任务产出!$G84</f>
        <v>25</v>
      </c>
      <c r="J87" s="2">
        <f>每周任务产出!$G84</f>
        <v>100</v>
      </c>
      <c r="K87" s="2">
        <f>每日活跃度宝箱产出!$G84</f>
        <v>6</v>
      </c>
      <c r="L87" s="2">
        <f>每周活跃度宝箱产出!$G84</f>
        <v>30</v>
      </c>
      <c r="M87" s="2">
        <f>成就产出!$G84</f>
        <v>0</v>
      </c>
      <c r="P87" s="2">
        <f ca="1">广告产出!I84</f>
        <v>10</v>
      </c>
      <c r="Q87" s="2">
        <f ca="1">广告产出!J84</f>
        <v>0</v>
      </c>
    </row>
    <row r="88" s="1" customFormat="1" ht="18" customHeight="1" spans="2:17">
      <c r="B88" s="2">
        <v>60</v>
      </c>
      <c r="C88" s="2">
        <f t="shared" si="14"/>
        <v>1000</v>
      </c>
      <c r="D88" s="2">
        <f t="shared" si="9"/>
        <v>60000</v>
      </c>
      <c r="E88" s="2">
        <f>ROUND($C$8*$C$5+$C$8*$C$4*(1-$L$5),0)</f>
        <v>88</v>
      </c>
      <c r="F88" s="2">
        <f t="shared" si="10"/>
        <v>5280</v>
      </c>
      <c r="G88" s="2">
        <f ca="1" t="shared" si="11"/>
        <v>41</v>
      </c>
      <c r="H88" s="2">
        <f ca="1" t="shared" si="13"/>
        <v>7037</v>
      </c>
      <c r="I88" s="2">
        <f>每日任务产出!$G85</f>
        <v>25</v>
      </c>
      <c r="J88" s="2">
        <f>每周任务产出!$G85</f>
        <v>0</v>
      </c>
      <c r="K88" s="2">
        <f>每日活跃度宝箱产出!$G85</f>
        <v>6</v>
      </c>
      <c r="L88" s="2">
        <f>每周活跃度宝箱产出!$G85</f>
        <v>0</v>
      </c>
      <c r="M88" s="2">
        <f>成就产出!$G85</f>
        <v>0</v>
      </c>
      <c r="P88" s="2">
        <f ca="1">广告产出!I85</f>
        <v>10</v>
      </c>
      <c r="Q88" s="2">
        <f ca="1">广告产出!J85</f>
        <v>0</v>
      </c>
    </row>
    <row r="89" s="1" customFormat="1" ht="18" customHeight="1" spans="2:17">
      <c r="B89" s="2">
        <v>61</v>
      </c>
      <c r="C89" s="2">
        <f t="shared" si="14"/>
        <v>1000</v>
      </c>
      <c r="D89" s="2">
        <f t="shared" si="9"/>
        <v>61000</v>
      </c>
      <c r="E89" s="2">
        <f>ROUND($C$8*$C$5+$C$8*$C$4*(1-$L$5),0)</f>
        <v>88</v>
      </c>
      <c r="F89" s="2">
        <f t="shared" si="10"/>
        <v>5368</v>
      </c>
      <c r="G89" s="2">
        <f ca="1" t="shared" si="11"/>
        <v>41</v>
      </c>
      <c r="H89" s="2">
        <f ca="1" t="shared" si="13"/>
        <v>7078</v>
      </c>
      <c r="I89" s="2">
        <f>每日任务产出!$G86</f>
        <v>25</v>
      </c>
      <c r="J89" s="2">
        <f>每周任务产出!$G86</f>
        <v>0</v>
      </c>
      <c r="K89" s="2">
        <f>每日活跃度宝箱产出!$G86</f>
        <v>6</v>
      </c>
      <c r="L89" s="2">
        <f>每周活跃度宝箱产出!$G86</f>
        <v>0</v>
      </c>
      <c r="M89" s="2">
        <f>成就产出!$G86</f>
        <v>0</v>
      </c>
      <c r="P89" s="2">
        <f ca="1">广告产出!I86</f>
        <v>10</v>
      </c>
      <c r="Q89" s="2">
        <f ca="1">广告产出!J86</f>
        <v>0</v>
      </c>
    </row>
    <row r="90" s="1" customFormat="1" ht="18" customHeight="1" spans="2:17">
      <c r="B90" s="2">
        <v>62</v>
      </c>
      <c r="C90" s="2">
        <f t="shared" ref="C90:C99" si="15">$C$8</f>
        <v>1000</v>
      </c>
      <c r="D90" s="2">
        <f t="shared" si="9"/>
        <v>62000</v>
      </c>
      <c r="E90" s="2">
        <f>ROUND($C$8*$C$5+$C$8*$C$4*(1-$L$5),0)</f>
        <v>88</v>
      </c>
      <c r="F90" s="2">
        <f t="shared" si="10"/>
        <v>5456</v>
      </c>
      <c r="G90" s="2">
        <f ca="1" t="shared" si="11"/>
        <v>176</v>
      </c>
      <c r="H90" s="2">
        <f ca="1" t="shared" si="13"/>
        <v>7254</v>
      </c>
      <c r="I90" s="2">
        <f>每日任务产出!$G87</f>
        <v>25</v>
      </c>
      <c r="J90" s="2">
        <f>每周任务产出!$G87</f>
        <v>100</v>
      </c>
      <c r="K90" s="2">
        <f>每日活跃度宝箱产出!$G87</f>
        <v>6</v>
      </c>
      <c r="L90" s="2">
        <f>每周活跃度宝箱产出!$G87</f>
        <v>35</v>
      </c>
      <c r="M90" s="2">
        <f>成就产出!$G87</f>
        <v>0</v>
      </c>
      <c r="P90" s="2">
        <f ca="1">广告产出!I87</f>
        <v>10</v>
      </c>
      <c r="Q90" s="2">
        <f ca="1">广告产出!J87</f>
        <v>0</v>
      </c>
    </row>
    <row r="91" s="1" customFormat="1" ht="18" customHeight="1" spans="2:17">
      <c r="B91" s="2">
        <v>63</v>
      </c>
      <c r="C91" s="2">
        <f t="shared" si="15"/>
        <v>1000</v>
      </c>
      <c r="D91" s="2">
        <f t="shared" si="9"/>
        <v>63000</v>
      </c>
      <c r="E91" s="2">
        <f>ROUND($C$8*$C$5+$C$8*$C$4*(1-$L$5),0)</f>
        <v>88</v>
      </c>
      <c r="F91" s="2">
        <f t="shared" si="10"/>
        <v>5544</v>
      </c>
      <c r="G91" s="2">
        <f ca="1" t="shared" si="11"/>
        <v>41</v>
      </c>
      <c r="H91" s="2">
        <f ca="1" t="shared" si="13"/>
        <v>7295</v>
      </c>
      <c r="I91" s="2">
        <f>每日任务产出!$G88</f>
        <v>25</v>
      </c>
      <c r="J91" s="2">
        <f>每周任务产出!$G88</f>
        <v>0</v>
      </c>
      <c r="K91" s="2">
        <f>每日活跃度宝箱产出!$G88</f>
        <v>6</v>
      </c>
      <c r="L91" s="2">
        <f>每周活跃度宝箱产出!$G88</f>
        <v>0</v>
      </c>
      <c r="M91" s="2">
        <f>成就产出!$G88</f>
        <v>0</v>
      </c>
      <c r="P91" s="2">
        <f ca="1">广告产出!I88</f>
        <v>10</v>
      </c>
      <c r="Q91" s="2">
        <f ca="1">广告产出!J88</f>
        <v>0</v>
      </c>
    </row>
    <row r="92" s="1" customFormat="1" ht="18" customHeight="1" spans="2:17">
      <c r="B92" s="2">
        <v>64</v>
      </c>
      <c r="C92" s="2">
        <f t="shared" si="15"/>
        <v>1000</v>
      </c>
      <c r="D92" s="2">
        <f t="shared" si="9"/>
        <v>64000</v>
      </c>
      <c r="E92" s="2">
        <f>ROUND($C$8*$C$5+$C$8*$C$4*(1-$L$5),0)</f>
        <v>88</v>
      </c>
      <c r="F92" s="2">
        <f t="shared" si="10"/>
        <v>5632</v>
      </c>
      <c r="G92" s="2">
        <f ca="1" t="shared" si="11"/>
        <v>41</v>
      </c>
      <c r="H92" s="2">
        <f ca="1" t="shared" si="13"/>
        <v>7336</v>
      </c>
      <c r="I92" s="2">
        <f>每日任务产出!$G89</f>
        <v>25</v>
      </c>
      <c r="J92" s="2">
        <f>每周任务产出!$G89</f>
        <v>0</v>
      </c>
      <c r="K92" s="2">
        <f>每日活跃度宝箱产出!$G89</f>
        <v>6</v>
      </c>
      <c r="L92" s="2">
        <f>每周活跃度宝箱产出!$G89</f>
        <v>0</v>
      </c>
      <c r="M92" s="2">
        <f>成就产出!$G89</f>
        <v>0</v>
      </c>
      <c r="P92" s="2">
        <f ca="1">广告产出!I89</f>
        <v>10</v>
      </c>
      <c r="Q92" s="2">
        <f ca="1">广告产出!J89</f>
        <v>0</v>
      </c>
    </row>
    <row r="93" s="1" customFormat="1" ht="18" customHeight="1" spans="2:17">
      <c r="B93" s="2">
        <v>65</v>
      </c>
      <c r="C93" s="2">
        <f t="shared" si="15"/>
        <v>1000</v>
      </c>
      <c r="D93" s="2">
        <f t="shared" si="9"/>
        <v>65000</v>
      </c>
      <c r="E93" s="2">
        <f>ROUND($C$8*$C$5+$C$8*$C$4*(1-$L$5),0)</f>
        <v>88</v>
      </c>
      <c r="F93" s="2">
        <f t="shared" si="10"/>
        <v>5720</v>
      </c>
      <c r="G93" s="2">
        <f ca="1" t="shared" si="11"/>
        <v>41</v>
      </c>
      <c r="H93" s="2">
        <f ca="1" t="shared" si="13"/>
        <v>7377</v>
      </c>
      <c r="I93" s="2">
        <f>每日任务产出!$G90</f>
        <v>25</v>
      </c>
      <c r="J93" s="2">
        <f>每周任务产出!$G90</f>
        <v>0</v>
      </c>
      <c r="K93" s="2">
        <f>每日活跃度宝箱产出!$G90</f>
        <v>6</v>
      </c>
      <c r="L93" s="2">
        <f>每周活跃度宝箱产出!$G90</f>
        <v>0</v>
      </c>
      <c r="M93" s="2">
        <f>成就产出!$G90</f>
        <v>0</v>
      </c>
      <c r="P93" s="2">
        <f ca="1">广告产出!I90</f>
        <v>10</v>
      </c>
      <c r="Q93" s="2">
        <f ca="1">广告产出!J90</f>
        <v>0</v>
      </c>
    </row>
    <row r="94" s="1" customFormat="1" ht="18" customHeight="1" spans="2:17">
      <c r="B94" s="2">
        <v>66</v>
      </c>
      <c r="C94" s="2">
        <f t="shared" si="15"/>
        <v>1000</v>
      </c>
      <c r="D94" s="2">
        <f t="shared" ref="D94:D128" si="16">C94*B94</f>
        <v>66000</v>
      </c>
      <c r="E94" s="2">
        <f>ROUND($C$8*$C$5+$C$8*$C$4*(1-$L$5),0)</f>
        <v>88</v>
      </c>
      <c r="F94" s="2">
        <f t="shared" ref="F94:F128" si="17">E94*B94</f>
        <v>5808</v>
      </c>
      <c r="G94" s="2">
        <f ca="1" t="shared" ref="G94:G128" si="18">SUM(I94:W94)</f>
        <v>171</v>
      </c>
      <c r="H94" s="2">
        <f ca="1" t="shared" si="13"/>
        <v>7548</v>
      </c>
      <c r="I94" s="2">
        <f>每日任务产出!$G91</f>
        <v>25</v>
      </c>
      <c r="J94" s="2">
        <f>每周任务产出!$G91</f>
        <v>100</v>
      </c>
      <c r="K94" s="2">
        <f>每日活跃度宝箱产出!$G91</f>
        <v>6</v>
      </c>
      <c r="L94" s="2">
        <f>每周活跃度宝箱产出!$G91</f>
        <v>30</v>
      </c>
      <c r="M94" s="2">
        <f>成就产出!$G91</f>
        <v>0</v>
      </c>
      <c r="P94" s="2">
        <f ca="1">广告产出!I91</f>
        <v>10</v>
      </c>
      <c r="Q94" s="2">
        <f ca="1">广告产出!J91</f>
        <v>0</v>
      </c>
    </row>
    <row r="95" s="1" customFormat="1" ht="18" customHeight="1" spans="2:17">
      <c r="B95" s="2">
        <v>67</v>
      </c>
      <c r="C95" s="2">
        <f t="shared" si="15"/>
        <v>1000</v>
      </c>
      <c r="D95" s="2">
        <f t="shared" si="16"/>
        <v>67000</v>
      </c>
      <c r="E95" s="2">
        <f>ROUND($C$8*$C$5+$C$8*$C$4*(1-$L$5),0)</f>
        <v>88</v>
      </c>
      <c r="F95" s="2">
        <f t="shared" si="17"/>
        <v>5896</v>
      </c>
      <c r="G95" s="2">
        <f ca="1" t="shared" si="18"/>
        <v>41</v>
      </c>
      <c r="H95" s="2">
        <f ca="1" t="shared" si="13"/>
        <v>7589</v>
      </c>
      <c r="I95" s="2">
        <f>每日任务产出!$G92</f>
        <v>25</v>
      </c>
      <c r="J95" s="2">
        <f>每周任务产出!$G92</f>
        <v>0</v>
      </c>
      <c r="K95" s="2">
        <f>每日活跃度宝箱产出!$G92</f>
        <v>6</v>
      </c>
      <c r="L95" s="2">
        <f>每周活跃度宝箱产出!$G92</f>
        <v>0</v>
      </c>
      <c r="M95" s="2">
        <f>成就产出!$G92</f>
        <v>0</v>
      </c>
      <c r="P95" s="2">
        <f ca="1">广告产出!I92</f>
        <v>10</v>
      </c>
      <c r="Q95" s="2">
        <f ca="1">广告产出!J92</f>
        <v>0</v>
      </c>
    </row>
    <row r="96" s="1" customFormat="1" ht="18" customHeight="1" spans="2:17">
      <c r="B96" s="2">
        <v>68</v>
      </c>
      <c r="C96" s="2">
        <f t="shared" si="15"/>
        <v>1000</v>
      </c>
      <c r="D96" s="2">
        <f t="shared" si="16"/>
        <v>68000</v>
      </c>
      <c r="E96" s="2">
        <f>ROUND($C$8*$C$5+$C$8*$C$4*(1-$L$5),0)</f>
        <v>88</v>
      </c>
      <c r="F96" s="2">
        <f t="shared" si="17"/>
        <v>5984</v>
      </c>
      <c r="G96" s="2">
        <f ca="1" t="shared" si="18"/>
        <v>41</v>
      </c>
      <c r="H96" s="2">
        <f ca="1" t="shared" si="13"/>
        <v>7630</v>
      </c>
      <c r="I96" s="2">
        <f>每日任务产出!$G93</f>
        <v>25</v>
      </c>
      <c r="J96" s="2">
        <f>每周任务产出!$G93</f>
        <v>0</v>
      </c>
      <c r="K96" s="2">
        <f>每日活跃度宝箱产出!$G93</f>
        <v>6</v>
      </c>
      <c r="L96" s="2">
        <f>每周活跃度宝箱产出!$G93</f>
        <v>0</v>
      </c>
      <c r="M96" s="2">
        <f>成就产出!$G93</f>
        <v>0</v>
      </c>
      <c r="P96" s="2">
        <f ca="1">广告产出!I93</f>
        <v>10</v>
      </c>
      <c r="Q96" s="2">
        <f ca="1">广告产出!J93</f>
        <v>0</v>
      </c>
    </row>
    <row r="97" s="1" customFormat="1" ht="18" customHeight="1" spans="2:17">
      <c r="B97" s="2">
        <v>69</v>
      </c>
      <c r="C97" s="2">
        <f t="shared" si="15"/>
        <v>1000</v>
      </c>
      <c r="D97" s="2">
        <f t="shared" si="16"/>
        <v>69000</v>
      </c>
      <c r="E97" s="2">
        <f>ROUND($C$8*$C$5+$C$8*$C$4*(1-$L$5),0)</f>
        <v>88</v>
      </c>
      <c r="F97" s="2">
        <f t="shared" si="17"/>
        <v>6072</v>
      </c>
      <c r="G97" s="2">
        <f ca="1" t="shared" si="18"/>
        <v>176</v>
      </c>
      <c r="H97" s="2">
        <f ca="1" t="shared" si="13"/>
        <v>7806</v>
      </c>
      <c r="I97" s="2">
        <f>每日任务产出!$G94</f>
        <v>25</v>
      </c>
      <c r="J97" s="2">
        <f>每周任务产出!$G94</f>
        <v>100</v>
      </c>
      <c r="K97" s="2">
        <f>每日活跃度宝箱产出!$G94</f>
        <v>6</v>
      </c>
      <c r="L97" s="2">
        <f>每周活跃度宝箱产出!$G94</f>
        <v>35</v>
      </c>
      <c r="M97" s="2">
        <f>成就产出!$G94</f>
        <v>0</v>
      </c>
      <c r="P97" s="2">
        <f ca="1">广告产出!I94</f>
        <v>10</v>
      </c>
      <c r="Q97" s="2">
        <f ca="1">广告产出!J94</f>
        <v>0</v>
      </c>
    </row>
    <row r="98" s="1" customFormat="1" ht="18" customHeight="1" spans="2:17">
      <c r="B98" s="2">
        <v>70</v>
      </c>
      <c r="C98" s="2">
        <f t="shared" si="15"/>
        <v>1000</v>
      </c>
      <c r="D98" s="2">
        <f t="shared" si="16"/>
        <v>70000</v>
      </c>
      <c r="E98" s="2">
        <f>ROUND($C$8*$C$5+$C$8*$C$4*(1-$L$5),0)</f>
        <v>88</v>
      </c>
      <c r="F98" s="2">
        <f t="shared" si="17"/>
        <v>6160</v>
      </c>
      <c r="G98" s="2">
        <f ca="1" t="shared" si="18"/>
        <v>41</v>
      </c>
      <c r="H98" s="2">
        <f ca="1" t="shared" si="13"/>
        <v>7847</v>
      </c>
      <c r="I98" s="2">
        <f>每日任务产出!$G95</f>
        <v>25</v>
      </c>
      <c r="J98" s="2">
        <f>每周任务产出!$G95</f>
        <v>0</v>
      </c>
      <c r="K98" s="2">
        <f>每日活跃度宝箱产出!$G95</f>
        <v>6</v>
      </c>
      <c r="L98" s="2">
        <f>每周活跃度宝箱产出!$G95</f>
        <v>0</v>
      </c>
      <c r="M98" s="2">
        <f>成就产出!$G95</f>
        <v>0</v>
      </c>
      <c r="P98" s="2">
        <f ca="1">广告产出!I95</f>
        <v>10</v>
      </c>
      <c r="Q98" s="2">
        <f ca="1">广告产出!J95</f>
        <v>0</v>
      </c>
    </row>
    <row r="99" s="1" customFormat="1" ht="18" customHeight="1" spans="2:17">
      <c r="B99" s="2">
        <v>71</v>
      </c>
      <c r="C99" s="2">
        <f t="shared" si="15"/>
        <v>1000</v>
      </c>
      <c r="D99" s="2">
        <f t="shared" si="16"/>
        <v>71000</v>
      </c>
      <c r="E99" s="2">
        <f>ROUND($C$8*$C$5+$C$8*$C$4*(1-$L$5),0)</f>
        <v>88</v>
      </c>
      <c r="F99" s="2">
        <f t="shared" si="17"/>
        <v>6248</v>
      </c>
      <c r="G99" s="2">
        <f ca="1" t="shared" si="18"/>
        <v>41</v>
      </c>
      <c r="H99" s="2">
        <f ca="1" t="shared" si="13"/>
        <v>7888</v>
      </c>
      <c r="I99" s="2">
        <f>每日任务产出!$G96</f>
        <v>25</v>
      </c>
      <c r="J99" s="2">
        <f>每周任务产出!$G96</f>
        <v>0</v>
      </c>
      <c r="K99" s="2">
        <f>每日活跃度宝箱产出!$G96</f>
        <v>6</v>
      </c>
      <c r="L99" s="2">
        <f>每周活跃度宝箱产出!$G96</f>
        <v>0</v>
      </c>
      <c r="M99" s="2">
        <f>成就产出!$G96</f>
        <v>0</v>
      </c>
      <c r="P99" s="2">
        <f ca="1">广告产出!I96</f>
        <v>10</v>
      </c>
      <c r="Q99" s="2">
        <f ca="1">广告产出!J96</f>
        <v>0</v>
      </c>
    </row>
    <row r="100" s="1" customFormat="1" ht="18" customHeight="1" spans="2:17">
      <c r="B100" s="2">
        <v>72</v>
      </c>
      <c r="C100" s="2">
        <f t="shared" ref="C100:C109" si="19">$C$8</f>
        <v>1000</v>
      </c>
      <c r="D100" s="2">
        <f t="shared" si="16"/>
        <v>72000</v>
      </c>
      <c r="E100" s="2">
        <f>ROUND($C$8*$C$5+$C$8*$C$4*(1-$L$5),0)</f>
        <v>88</v>
      </c>
      <c r="F100" s="2">
        <f t="shared" si="17"/>
        <v>6336</v>
      </c>
      <c r="G100" s="2">
        <f ca="1" t="shared" si="18"/>
        <v>41</v>
      </c>
      <c r="H100" s="2">
        <f ca="1" t="shared" si="13"/>
        <v>7929</v>
      </c>
      <c r="I100" s="2">
        <f>每日任务产出!$G97</f>
        <v>25</v>
      </c>
      <c r="J100" s="2">
        <f>每周任务产出!$G97</f>
        <v>0</v>
      </c>
      <c r="K100" s="2">
        <f>每日活跃度宝箱产出!$G97</f>
        <v>6</v>
      </c>
      <c r="L100" s="2">
        <f>每周活跃度宝箱产出!$G97</f>
        <v>0</v>
      </c>
      <c r="M100" s="2">
        <f>成就产出!$G97</f>
        <v>0</v>
      </c>
      <c r="P100" s="2">
        <f ca="1">广告产出!I97</f>
        <v>10</v>
      </c>
      <c r="Q100" s="2">
        <f ca="1">广告产出!J97</f>
        <v>0</v>
      </c>
    </row>
    <row r="101" s="1" customFormat="1" ht="18" customHeight="1" spans="2:17">
      <c r="B101" s="2">
        <v>73</v>
      </c>
      <c r="C101" s="2">
        <f t="shared" si="19"/>
        <v>1000</v>
      </c>
      <c r="D101" s="2">
        <f t="shared" si="16"/>
        <v>73000</v>
      </c>
      <c r="E101" s="2">
        <f>ROUND($C$8*$C$5+$C$8*$C$4*(1-$L$5),0)</f>
        <v>88</v>
      </c>
      <c r="F101" s="2">
        <f t="shared" si="17"/>
        <v>6424</v>
      </c>
      <c r="G101" s="2">
        <f ca="1" t="shared" si="18"/>
        <v>171</v>
      </c>
      <c r="H101" s="2">
        <f ca="1" t="shared" si="13"/>
        <v>8100</v>
      </c>
      <c r="I101" s="2">
        <f>每日任务产出!$G98</f>
        <v>25</v>
      </c>
      <c r="J101" s="2">
        <f>每周任务产出!$G98</f>
        <v>100</v>
      </c>
      <c r="K101" s="2">
        <f>每日活跃度宝箱产出!$G98</f>
        <v>6</v>
      </c>
      <c r="L101" s="2">
        <f>每周活跃度宝箱产出!$G98</f>
        <v>30</v>
      </c>
      <c r="M101" s="2">
        <f>成就产出!$G98</f>
        <v>0</v>
      </c>
      <c r="P101" s="2">
        <f ca="1">广告产出!I98</f>
        <v>10</v>
      </c>
      <c r="Q101" s="2">
        <f ca="1">广告产出!J98</f>
        <v>0</v>
      </c>
    </row>
    <row r="102" s="1" customFormat="1" ht="18" customHeight="1" spans="2:17">
      <c r="B102" s="2">
        <v>74</v>
      </c>
      <c r="C102" s="2">
        <f t="shared" si="19"/>
        <v>1000</v>
      </c>
      <c r="D102" s="2">
        <f t="shared" si="16"/>
        <v>74000</v>
      </c>
      <c r="E102" s="2">
        <f>ROUND($C$8*$C$5+$C$8*$C$4*(1-$L$5),0)</f>
        <v>88</v>
      </c>
      <c r="F102" s="2">
        <f t="shared" si="17"/>
        <v>6512</v>
      </c>
      <c r="G102" s="2">
        <f ca="1" t="shared" si="18"/>
        <v>41</v>
      </c>
      <c r="H102" s="2">
        <f ca="1" t="shared" ref="H102:H128" si="20">H101+G102</f>
        <v>8141</v>
      </c>
      <c r="I102" s="2">
        <f>每日任务产出!$G99</f>
        <v>25</v>
      </c>
      <c r="J102" s="2">
        <f>每周任务产出!$G99</f>
        <v>0</v>
      </c>
      <c r="K102" s="2">
        <f>每日活跃度宝箱产出!$G99</f>
        <v>6</v>
      </c>
      <c r="L102" s="2">
        <f>每周活跃度宝箱产出!$G99</f>
        <v>0</v>
      </c>
      <c r="M102" s="2">
        <f>成就产出!$G99</f>
        <v>0</v>
      </c>
      <c r="P102" s="2">
        <f ca="1">广告产出!I99</f>
        <v>10</v>
      </c>
      <c r="Q102" s="2">
        <f ca="1">广告产出!J99</f>
        <v>0</v>
      </c>
    </row>
    <row r="103" s="1" customFormat="1" ht="18" customHeight="1" spans="2:17">
      <c r="B103" s="2">
        <v>75</v>
      </c>
      <c r="C103" s="2">
        <f t="shared" si="19"/>
        <v>1000</v>
      </c>
      <c r="D103" s="2">
        <f t="shared" si="16"/>
        <v>75000</v>
      </c>
      <c r="E103" s="2">
        <f>ROUND($C$8*$C$5+$C$8*$C$4*(1-$L$5),0)</f>
        <v>88</v>
      </c>
      <c r="F103" s="2">
        <f t="shared" si="17"/>
        <v>6600</v>
      </c>
      <c r="G103" s="2">
        <f ca="1" t="shared" si="18"/>
        <v>41</v>
      </c>
      <c r="H103" s="2">
        <f ca="1" t="shared" si="20"/>
        <v>8182</v>
      </c>
      <c r="I103" s="2">
        <f>每日任务产出!$G100</f>
        <v>25</v>
      </c>
      <c r="J103" s="2">
        <f>每周任务产出!$G100</f>
        <v>0</v>
      </c>
      <c r="K103" s="2">
        <f>每日活跃度宝箱产出!$G100</f>
        <v>6</v>
      </c>
      <c r="L103" s="2">
        <f>每周活跃度宝箱产出!$G100</f>
        <v>0</v>
      </c>
      <c r="M103" s="2">
        <f>成就产出!$G100</f>
        <v>0</v>
      </c>
      <c r="P103" s="2">
        <f ca="1">广告产出!I100</f>
        <v>10</v>
      </c>
      <c r="Q103" s="2">
        <f ca="1">广告产出!J100</f>
        <v>0</v>
      </c>
    </row>
    <row r="104" s="1" customFormat="1" ht="18" customHeight="1" spans="2:17">
      <c r="B104" s="2">
        <v>76</v>
      </c>
      <c r="C104" s="2">
        <f t="shared" si="19"/>
        <v>1000</v>
      </c>
      <c r="D104" s="2">
        <f t="shared" si="16"/>
        <v>76000</v>
      </c>
      <c r="E104" s="2">
        <f>ROUND($C$8*$C$5+$C$8*$C$4*(1-$L$5),0)</f>
        <v>88</v>
      </c>
      <c r="F104" s="2">
        <f t="shared" si="17"/>
        <v>6688</v>
      </c>
      <c r="G104" s="2">
        <f ca="1" t="shared" si="18"/>
        <v>176</v>
      </c>
      <c r="H104" s="2">
        <f ca="1" t="shared" si="20"/>
        <v>8358</v>
      </c>
      <c r="I104" s="2">
        <f>每日任务产出!$G101</f>
        <v>25</v>
      </c>
      <c r="J104" s="2">
        <f>每周任务产出!$G101</f>
        <v>100</v>
      </c>
      <c r="K104" s="2">
        <f>每日活跃度宝箱产出!$G101</f>
        <v>6</v>
      </c>
      <c r="L104" s="2">
        <f>每周活跃度宝箱产出!$G101</f>
        <v>35</v>
      </c>
      <c r="M104" s="2">
        <f>成就产出!$G101</f>
        <v>0</v>
      </c>
      <c r="P104" s="2">
        <f ca="1">广告产出!I101</f>
        <v>10</v>
      </c>
      <c r="Q104" s="2">
        <f ca="1">广告产出!J101</f>
        <v>0</v>
      </c>
    </row>
    <row r="105" s="1" customFormat="1" ht="18" customHeight="1" spans="2:17">
      <c r="B105" s="2">
        <v>77</v>
      </c>
      <c r="C105" s="2">
        <f t="shared" si="19"/>
        <v>1000</v>
      </c>
      <c r="D105" s="2">
        <f t="shared" si="16"/>
        <v>77000</v>
      </c>
      <c r="E105" s="2">
        <f>ROUND($C$8*$C$5+$C$8*$C$4*(1-$L$5),0)</f>
        <v>88</v>
      </c>
      <c r="F105" s="2">
        <f t="shared" si="17"/>
        <v>6776</v>
      </c>
      <c r="G105" s="2">
        <f ca="1" t="shared" si="18"/>
        <v>41</v>
      </c>
      <c r="H105" s="2">
        <f ca="1" t="shared" si="20"/>
        <v>8399</v>
      </c>
      <c r="I105" s="2">
        <f>每日任务产出!$G102</f>
        <v>25</v>
      </c>
      <c r="J105" s="2">
        <f>每周任务产出!$G102</f>
        <v>0</v>
      </c>
      <c r="K105" s="2">
        <f>每日活跃度宝箱产出!$G102</f>
        <v>6</v>
      </c>
      <c r="L105" s="2">
        <f>每周活跃度宝箱产出!$G102</f>
        <v>0</v>
      </c>
      <c r="M105" s="2">
        <f>成就产出!$G102</f>
        <v>0</v>
      </c>
      <c r="P105" s="2">
        <f ca="1">广告产出!I102</f>
        <v>10</v>
      </c>
      <c r="Q105" s="2">
        <f ca="1">广告产出!J102</f>
        <v>0</v>
      </c>
    </row>
    <row r="106" s="1" customFormat="1" ht="18" customHeight="1" spans="2:17">
      <c r="B106" s="2">
        <v>78</v>
      </c>
      <c r="C106" s="2">
        <f t="shared" si="19"/>
        <v>1000</v>
      </c>
      <c r="D106" s="2">
        <f t="shared" si="16"/>
        <v>78000</v>
      </c>
      <c r="E106" s="2">
        <f>ROUND($C$8*$C$5+$C$8*$C$4*(1-$L$5),0)</f>
        <v>88</v>
      </c>
      <c r="F106" s="2">
        <f t="shared" si="17"/>
        <v>6864</v>
      </c>
      <c r="G106" s="2">
        <f ca="1" t="shared" si="18"/>
        <v>41</v>
      </c>
      <c r="H106" s="2">
        <f ca="1" t="shared" si="20"/>
        <v>8440</v>
      </c>
      <c r="I106" s="2">
        <f>每日任务产出!$G103</f>
        <v>25</v>
      </c>
      <c r="J106" s="2">
        <f>每周任务产出!$G103</f>
        <v>0</v>
      </c>
      <c r="K106" s="2">
        <f>每日活跃度宝箱产出!$G103</f>
        <v>6</v>
      </c>
      <c r="L106" s="2">
        <f>每周活跃度宝箱产出!$G103</f>
        <v>0</v>
      </c>
      <c r="M106" s="2">
        <f>成就产出!$G103</f>
        <v>0</v>
      </c>
      <c r="P106" s="2">
        <f ca="1">广告产出!I103</f>
        <v>10</v>
      </c>
      <c r="Q106" s="2">
        <f ca="1">广告产出!J103</f>
        <v>0</v>
      </c>
    </row>
    <row r="107" s="1" customFormat="1" ht="18" customHeight="1" spans="2:17">
      <c r="B107" s="2">
        <v>79</v>
      </c>
      <c r="C107" s="2">
        <f t="shared" si="19"/>
        <v>1000</v>
      </c>
      <c r="D107" s="2">
        <f t="shared" si="16"/>
        <v>79000</v>
      </c>
      <c r="E107" s="2">
        <f>ROUND($C$8*$C$5+$C$8*$C$4*(1-$L$5),0)</f>
        <v>88</v>
      </c>
      <c r="F107" s="2">
        <f t="shared" si="17"/>
        <v>6952</v>
      </c>
      <c r="G107" s="2">
        <f ca="1" t="shared" si="18"/>
        <v>41</v>
      </c>
      <c r="H107" s="2">
        <f ca="1" t="shared" si="20"/>
        <v>8481</v>
      </c>
      <c r="I107" s="2">
        <f>每日任务产出!$G104</f>
        <v>25</v>
      </c>
      <c r="J107" s="2">
        <f>每周任务产出!$G104</f>
        <v>0</v>
      </c>
      <c r="K107" s="2">
        <f>每日活跃度宝箱产出!$G104</f>
        <v>6</v>
      </c>
      <c r="L107" s="2">
        <f>每周活跃度宝箱产出!$G104</f>
        <v>0</v>
      </c>
      <c r="M107" s="2">
        <f>成就产出!$G104</f>
        <v>0</v>
      </c>
      <c r="P107" s="2">
        <f ca="1">广告产出!I104</f>
        <v>10</v>
      </c>
      <c r="Q107" s="2">
        <f ca="1">广告产出!J104</f>
        <v>0</v>
      </c>
    </row>
    <row r="108" s="1" customFormat="1" ht="18" customHeight="1" spans="2:17">
      <c r="B108" s="2">
        <v>80</v>
      </c>
      <c r="C108" s="2">
        <f t="shared" si="19"/>
        <v>1000</v>
      </c>
      <c r="D108" s="2">
        <f t="shared" si="16"/>
        <v>80000</v>
      </c>
      <c r="E108" s="2">
        <f>ROUND($C$8*$C$5+$C$8*$C$4*(1-$L$5),0)</f>
        <v>88</v>
      </c>
      <c r="F108" s="2">
        <f t="shared" si="17"/>
        <v>7040</v>
      </c>
      <c r="G108" s="2">
        <f ca="1" t="shared" si="18"/>
        <v>171</v>
      </c>
      <c r="H108" s="2">
        <f ca="1" t="shared" si="20"/>
        <v>8652</v>
      </c>
      <c r="I108" s="2">
        <f>每日任务产出!$G105</f>
        <v>25</v>
      </c>
      <c r="J108" s="2">
        <f>每周任务产出!$G105</f>
        <v>100</v>
      </c>
      <c r="K108" s="2">
        <f>每日活跃度宝箱产出!$G105</f>
        <v>6</v>
      </c>
      <c r="L108" s="2">
        <f>每周活跃度宝箱产出!$G105</f>
        <v>30</v>
      </c>
      <c r="M108" s="2">
        <f>成就产出!$G105</f>
        <v>0</v>
      </c>
      <c r="P108" s="2">
        <f ca="1">广告产出!I105</f>
        <v>10</v>
      </c>
      <c r="Q108" s="2">
        <f ca="1">广告产出!J105</f>
        <v>0</v>
      </c>
    </row>
    <row r="109" s="1" customFormat="1" ht="18" customHeight="1" spans="2:17">
      <c r="B109" s="2">
        <v>81</v>
      </c>
      <c r="C109" s="2">
        <f t="shared" si="19"/>
        <v>1000</v>
      </c>
      <c r="D109" s="2">
        <f t="shared" si="16"/>
        <v>81000</v>
      </c>
      <c r="E109" s="2">
        <f>ROUND($C$8*$C$5+$C$8*$C$4*(1-$L$5),0)</f>
        <v>88</v>
      </c>
      <c r="F109" s="2">
        <f t="shared" si="17"/>
        <v>7128</v>
      </c>
      <c r="G109" s="2">
        <f ca="1" t="shared" si="18"/>
        <v>41</v>
      </c>
      <c r="H109" s="2">
        <f ca="1" t="shared" si="20"/>
        <v>8693</v>
      </c>
      <c r="I109" s="2">
        <f>每日任务产出!$G106</f>
        <v>25</v>
      </c>
      <c r="J109" s="2">
        <f>每周任务产出!$G106</f>
        <v>0</v>
      </c>
      <c r="K109" s="2">
        <f>每日活跃度宝箱产出!$G106</f>
        <v>6</v>
      </c>
      <c r="L109" s="2">
        <f>每周活跃度宝箱产出!$G106</f>
        <v>0</v>
      </c>
      <c r="M109" s="2">
        <f>成就产出!$G106</f>
        <v>0</v>
      </c>
      <c r="P109" s="2">
        <f ca="1">广告产出!I106</f>
        <v>10</v>
      </c>
      <c r="Q109" s="2">
        <f ca="1">广告产出!J106</f>
        <v>0</v>
      </c>
    </row>
    <row r="110" s="1" customFormat="1" ht="18" customHeight="1" spans="2:17">
      <c r="B110" s="2">
        <v>82</v>
      </c>
      <c r="C110" s="2">
        <f t="shared" ref="C110:C119" si="21">$C$8</f>
        <v>1000</v>
      </c>
      <c r="D110" s="2">
        <f t="shared" si="16"/>
        <v>82000</v>
      </c>
      <c r="E110" s="2">
        <f>ROUND($C$8*$C$5+$C$8*$C$4*(1-$L$5),0)</f>
        <v>88</v>
      </c>
      <c r="F110" s="2">
        <f t="shared" si="17"/>
        <v>7216</v>
      </c>
      <c r="G110" s="2">
        <f ca="1" t="shared" si="18"/>
        <v>41</v>
      </c>
      <c r="H110" s="2">
        <f ca="1" t="shared" si="20"/>
        <v>8734</v>
      </c>
      <c r="I110" s="2">
        <f>每日任务产出!$G107</f>
        <v>25</v>
      </c>
      <c r="J110" s="2">
        <f>每周任务产出!$G107</f>
        <v>0</v>
      </c>
      <c r="K110" s="2">
        <f>每日活跃度宝箱产出!$G107</f>
        <v>6</v>
      </c>
      <c r="L110" s="2">
        <f>每周活跃度宝箱产出!$G107</f>
        <v>0</v>
      </c>
      <c r="M110" s="2">
        <f>成就产出!$G107</f>
        <v>0</v>
      </c>
      <c r="P110" s="2">
        <f ca="1">广告产出!I107</f>
        <v>10</v>
      </c>
      <c r="Q110" s="2">
        <f ca="1">广告产出!J107</f>
        <v>0</v>
      </c>
    </row>
    <row r="111" s="1" customFormat="1" ht="18" customHeight="1" spans="2:17">
      <c r="B111" s="2">
        <v>83</v>
      </c>
      <c r="C111" s="2">
        <f t="shared" si="21"/>
        <v>1000</v>
      </c>
      <c r="D111" s="2">
        <f t="shared" si="16"/>
        <v>83000</v>
      </c>
      <c r="E111" s="2">
        <f>ROUND($C$8*$C$5+$C$8*$C$4*(1-$L$5),0)</f>
        <v>88</v>
      </c>
      <c r="F111" s="2">
        <f t="shared" si="17"/>
        <v>7304</v>
      </c>
      <c r="G111" s="2">
        <f ca="1" t="shared" si="18"/>
        <v>176</v>
      </c>
      <c r="H111" s="2">
        <f ca="1" t="shared" si="20"/>
        <v>8910</v>
      </c>
      <c r="I111" s="2">
        <f>每日任务产出!$G108</f>
        <v>25</v>
      </c>
      <c r="J111" s="2">
        <f>每周任务产出!$G108</f>
        <v>100</v>
      </c>
      <c r="K111" s="2">
        <f>每日活跃度宝箱产出!$G108</f>
        <v>6</v>
      </c>
      <c r="L111" s="2">
        <f>每周活跃度宝箱产出!$G108</f>
        <v>35</v>
      </c>
      <c r="M111" s="2">
        <f>成就产出!$G108</f>
        <v>0</v>
      </c>
      <c r="P111" s="2">
        <f ca="1">广告产出!I108</f>
        <v>10</v>
      </c>
      <c r="Q111" s="2">
        <f ca="1">广告产出!J108</f>
        <v>0</v>
      </c>
    </row>
    <row r="112" s="1" customFormat="1" ht="18" customHeight="1" spans="2:17">
      <c r="B112" s="2">
        <v>84</v>
      </c>
      <c r="C112" s="2">
        <f t="shared" si="21"/>
        <v>1000</v>
      </c>
      <c r="D112" s="2">
        <f t="shared" si="16"/>
        <v>84000</v>
      </c>
      <c r="E112" s="2">
        <f>ROUND($C$8*$C$5+$C$8*$C$4*(1-$L$5),0)</f>
        <v>88</v>
      </c>
      <c r="F112" s="2">
        <f t="shared" si="17"/>
        <v>7392</v>
      </c>
      <c r="G112" s="2">
        <f ca="1" t="shared" si="18"/>
        <v>41</v>
      </c>
      <c r="H112" s="2">
        <f ca="1" t="shared" si="20"/>
        <v>8951</v>
      </c>
      <c r="I112" s="2">
        <f>每日任务产出!$G109</f>
        <v>25</v>
      </c>
      <c r="J112" s="2">
        <f>每周任务产出!$G109</f>
        <v>0</v>
      </c>
      <c r="K112" s="2">
        <f>每日活跃度宝箱产出!$G109</f>
        <v>6</v>
      </c>
      <c r="L112" s="2">
        <f>每周活跃度宝箱产出!$G109</f>
        <v>0</v>
      </c>
      <c r="M112" s="2">
        <f>成就产出!$G109</f>
        <v>0</v>
      </c>
      <c r="P112" s="2">
        <f ca="1">广告产出!I109</f>
        <v>10</v>
      </c>
      <c r="Q112" s="2">
        <f ca="1">广告产出!J109</f>
        <v>0</v>
      </c>
    </row>
    <row r="113" s="1" customFormat="1" ht="18" customHeight="1" spans="2:17">
      <c r="B113" s="2">
        <v>85</v>
      </c>
      <c r="C113" s="2">
        <f t="shared" si="21"/>
        <v>1000</v>
      </c>
      <c r="D113" s="2">
        <f t="shared" si="16"/>
        <v>85000</v>
      </c>
      <c r="E113" s="2">
        <f>ROUND($C$8*$C$5+$C$8*$C$4*(1-$L$5),0)</f>
        <v>88</v>
      </c>
      <c r="F113" s="2">
        <f t="shared" si="17"/>
        <v>7480</v>
      </c>
      <c r="G113" s="2">
        <f ca="1" t="shared" si="18"/>
        <v>41</v>
      </c>
      <c r="H113" s="2">
        <f ca="1" t="shared" si="20"/>
        <v>8992</v>
      </c>
      <c r="I113" s="2">
        <f>每日任务产出!$G110</f>
        <v>25</v>
      </c>
      <c r="J113" s="2">
        <f>每周任务产出!$G110</f>
        <v>0</v>
      </c>
      <c r="K113" s="2">
        <f>每日活跃度宝箱产出!$G110</f>
        <v>6</v>
      </c>
      <c r="L113" s="2">
        <f>每周活跃度宝箱产出!$G110</f>
        <v>0</v>
      </c>
      <c r="M113" s="2">
        <f>成就产出!$G110</f>
        <v>0</v>
      </c>
      <c r="P113" s="2">
        <f ca="1">广告产出!I110</f>
        <v>10</v>
      </c>
      <c r="Q113" s="2">
        <f ca="1">广告产出!J110</f>
        <v>0</v>
      </c>
    </row>
    <row r="114" s="1" customFormat="1" ht="18" customHeight="1" spans="2:17">
      <c r="B114" s="2">
        <v>86</v>
      </c>
      <c r="C114" s="2">
        <f t="shared" si="21"/>
        <v>1000</v>
      </c>
      <c r="D114" s="2">
        <f t="shared" si="16"/>
        <v>86000</v>
      </c>
      <c r="E114" s="2">
        <f>ROUND($C$8*$C$5+$C$8*$C$4*(1-$L$5),0)</f>
        <v>88</v>
      </c>
      <c r="F114" s="2">
        <f t="shared" si="17"/>
        <v>7568</v>
      </c>
      <c r="G114" s="2">
        <f ca="1" t="shared" si="18"/>
        <v>41</v>
      </c>
      <c r="H114" s="2">
        <f ca="1" t="shared" si="20"/>
        <v>9033</v>
      </c>
      <c r="I114" s="2">
        <f>每日任务产出!$G111</f>
        <v>25</v>
      </c>
      <c r="J114" s="2">
        <f>每周任务产出!$G111</f>
        <v>0</v>
      </c>
      <c r="K114" s="2">
        <f>每日活跃度宝箱产出!$G111</f>
        <v>6</v>
      </c>
      <c r="L114" s="2">
        <f>每周活跃度宝箱产出!$G111</f>
        <v>0</v>
      </c>
      <c r="M114" s="2">
        <f>成就产出!$G111</f>
        <v>0</v>
      </c>
      <c r="P114" s="2">
        <f ca="1">广告产出!I111</f>
        <v>10</v>
      </c>
      <c r="Q114" s="2">
        <f ca="1">广告产出!J111</f>
        <v>0</v>
      </c>
    </row>
    <row r="115" s="1" customFormat="1" ht="18" customHeight="1" spans="2:17">
      <c r="B115" s="2">
        <v>87</v>
      </c>
      <c r="C115" s="2">
        <f t="shared" si="21"/>
        <v>1000</v>
      </c>
      <c r="D115" s="2">
        <f t="shared" si="16"/>
        <v>87000</v>
      </c>
      <c r="E115" s="2">
        <f>ROUND($C$8*$C$5+$C$8*$C$4*(1-$L$5),0)</f>
        <v>88</v>
      </c>
      <c r="F115" s="2">
        <f t="shared" si="17"/>
        <v>7656</v>
      </c>
      <c r="G115" s="2">
        <f ca="1" t="shared" si="18"/>
        <v>171</v>
      </c>
      <c r="H115" s="2">
        <f ca="1" t="shared" si="20"/>
        <v>9204</v>
      </c>
      <c r="I115" s="2">
        <f>每日任务产出!$G112</f>
        <v>25</v>
      </c>
      <c r="J115" s="2">
        <f>每周任务产出!$G112</f>
        <v>100</v>
      </c>
      <c r="K115" s="2">
        <f>每日活跃度宝箱产出!$G112</f>
        <v>6</v>
      </c>
      <c r="L115" s="2">
        <f>每周活跃度宝箱产出!$G112</f>
        <v>30</v>
      </c>
      <c r="M115" s="2">
        <f>成就产出!$G112</f>
        <v>0</v>
      </c>
      <c r="P115" s="2">
        <f ca="1">广告产出!I112</f>
        <v>10</v>
      </c>
      <c r="Q115" s="2">
        <f ca="1">广告产出!J112</f>
        <v>0</v>
      </c>
    </row>
    <row r="116" s="1" customFormat="1" ht="18" customHeight="1" spans="2:17">
      <c r="B116" s="2">
        <v>88</v>
      </c>
      <c r="C116" s="2">
        <f t="shared" si="21"/>
        <v>1000</v>
      </c>
      <c r="D116" s="2">
        <f t="shared" si="16"/>
        <v>88000</v>
      </c>
      <c r="E116" s="2">
        <f>ROUND($C$8*$C$5+$C$8*$C$4*(1-$L$5),0)</f>
        <v>88</v>
      </c>
      <c r="F116" s="2">
        <f t="shared" si="17"/>
        <v>7744</v>
      </c>
      <c r="G116" s="2">
        <f ca="1" t="shared" si="18"/>
        <v>41</v>
      </c>
      <c r="H116" s="2">
        <f ca="1" t="shared" si="20"/>
        <v>9245</v>
      </c>
      <c r="I116" s="2">
        <f>每日任务产出!$G113</f>
        <v>25</v>
      </c>
      <c r="J116" s="2">
        <f>每周任务产出!$G113</f>
        <v>0</v>
      </c>
      <c r="K116" s="2">
        <f>每日活跃度宝箱产出!$G113</f>
        <v>6</v>
      </c>
      <c r="L116" s="2">
        <f>每周活跃度宝箱产出!$G113</f>
        <v>0</v>
      </c>
      <c r="M116" s="2">
        <f>成就产出!$G113</f>
        <v>0</v>
      </c>
      <c r="P116" s="2">
        <f ca="1">广告产出!I113</f>
        <v>10</v>
      </c>
      <c r="Q116" s="2">
        <f ca="1">广告产出!J113</f>
        <v>0</v>
      </c>
    </row>
    <row r="117" s="1" customFormat="1" ht="18" customHeight="1" spans="2:17">
      <c r="B117" s="2">
        <v>89</v>
      </c>
      <c r="C117" s="2">
        <f t="shared" si="21"/>
        <v>1000</v>
      </c>
      <c r="D117" s="2">
        <f t="shared" si="16"/>
        <v>89000</v>
      </c>
      <c r="E117" s="2">
        <f>ROUND($C$8*$C$5+$C$8*$C$4*(1-$L$5),0)</f>
        <v>88</v>
      </c>
      <c r="F117" s="2">
        <f t="shared" si="17"/>
        <v>7832</v>
      </c>
      <c r="G117" s="2">
        <f ca="1" t="shared" si="18"/>
        <v>41</v>
      </c>
      <c r="H117" s="2">
        <f ca="1" t="shared" si="20"/>
        <v>9286</v>
      </c>
      <c r="I117" s="2">
        <f>每日任务产出!$G114</f>
        <v>25</v>
      </c>
      <c r="J117" s="2">
        <f>每周任务产出!$G114</f>
        <v>0</v>
      </c>
      <c r="K117" s="2">
        <f>每日活跃度宝箱产出!$G114</f>
        <v>6</v>
      </c>
      <c r="L117" s="2">
        <f>每周活跃度宝箱产出!$G114</f>
        <v>0</v>
      </c>
      <c r="M117" s="2">
        <f>成就产出!$G114</f>
        <v>0</v>
      </c>
      <c r="P117" s="2">
        <f ca="1">广告产出!I114</f>
        <v>10</v>
      </c>
      <c r="Q117" s="2">
        <f ca="1">广告产出!J114</f>
        <v>0</v>
      </c>
    </row>
    <row r="118" s="1" customFormat="1" ht="18" customHeight="1" spans="2:17">
      <c r="B118" s="2">
        <v>90</v>
      </c>
      <c r="C118" s="2">
        <f t="shared" si="21"/>
        <v>1000</v>
      </c>
      <c r="D118" s="2">
        <f t="shared" si="16"/>
        <v>90000</v>
      </c>
      <c r="E118" s="2">
        <f>ROUND($C$8*$C$5+$C$8*$C$4*(1-$L$5),0)</f>
        <v>88</v>
      </c>
      <c r="F118" s="2">
        <f t="shared" si="17"/>
        <v>7920</v>
      </c>
      <c r="G118" s="2">
        <f ca="1" t="shared" si="18"/>
        <v>626</v>
      </c>
      <c r="H118" s="2">
        <f ca="1" t="shared" si="20"/>
        <v>9912</v>
      </c>
      <c r="I118" s="2">
        <f>每日任务产出!$G115</f>
        <v>25</v>
      </c>
      <c r="J118" s="2">
        <f>每周任务产出!$G115</f>
        <v>100</v>
      </c>
      <c r="K118" s="2">
        <f>每日活跃度宝箱产出!$G115</f>
        <v>6</v>
      </c>
      <c r="L118" s="2">
        <f>每周活跃度宝箱产出!$G115</f>
        <v>35</v>
      </c>
      <c r="M118" s="2">
        <f>成就产出!$G115</f>
        <v>450</v>
      </c>
      <c r="P118" s="2">
        <f ca="1">广告产出!I115</f>
        <v>10</v>
      </c>
      <c r="Q118" s="2">
        <f ca="1">广告产出!J115</f>
        <v>0</v>
      </c>
    </row>
    <row r="119" s="1" customFormat="1" ht="18" customHeight="1" spans="2:17">
      <c r="B119" s="2">
        <v>91</v>
      </c>
      <c r="C119" s="2">
        <f t="shared" si="21"/>
        <v>1000</v>
      </c>
      <c r="D119" s="2">
        <f t="shared" si="16"/>
        <v>91000</v>
      </c>
      <c r="E119" s="2">
        <f>ROUND($C$8*$C$5+$C$8*$C$4*(1-$L$5),0)</f>
        <v>88</v>
      </c>
      <c r="F119" s="2">
        <f t="shared" si="17"/>
        <v>8008</v>
      </c>
      <c r="G119" s="2">
        <f ca="1" t="shared" si="18"/>
        <v>41</v>
      </c>
      <c r="H119" s="2">
        <f ca="1" t="shared" si="20"/>
        <v>9953</v>
      </c>
      <c r="I119" s="2">
        <f>每日任务产出!$G116</f>
        <v>25</v>
      </c>
      <c r="J119" s="2">
        <f>每周任务产出!$G116</f>
        <v>0</v>
      </c>
      <c r="K119" s="2">
        <f>每日活跃度宝箱产出!$G116</f>
        <v>6</v>
      </c>
      <c r="L119" s="2">
        <f>每周活跃度宝箱产出!$G116</f>
        <v>0</v>
      </c>
      <c r="M119" s="2">
        <f>成就产出!$G116</f>
        <v>0</v>
      </c>
      <c r="P119" s="2">
        <f ca="1">广告产出!I116</f>
        <v>10</v>
      </c>
      <c r="Q119" s="2">
        <f ca="1">广告产出!J116</f>
        <v>0</v>
      </c>
    </row>
    <row r="120" s="1" customFormat="1" ht="18" customHeight="1" spans="2:17">
      <c r="B120" s="2">
        <v>92</v>
      </c>
      <c r="C120" s="2">
        <f t="shared" ref="C120:C128" si="22">$C$8</f>
        <v>1000</v>
      </c>
      <c r="D120" s="2">
        <f t="shared" si="16"/>
        <v>92000</v>
      </c>
      <c r="E120" s="2">
        <f>ROUND($C$8*$C$5+$C$8*$C$4*(1-$L$5),0)</f>
        <v>88</v>
      </c>
      <c r="F120" s="2">
        <f t="shared" si="17"/>
        <v>8096</v>
      </c>
      <c r="G120" s="2">
        <f ca="1" t="shared" si="18"/>
        <v>41</v>
      </c>
      <c r="H120" s="2">
        <f ca="1" t="shared" si="20"/>
        <v>9994</v>
      </c>
      <c r="I120" s="2">
        <f>每日任务产出!$G117</f>
        <v>25</v>
      </c>
      <c r="J120" s="2">
        <f>每周任务产出!$G117</f>
        <v>0</v>
      </c>
      <c r="K120" s="2">
        <f>每日活跃度宝箱产出!$G117</f>
        <v>6</v>
      </c>
      <c r="L120" s="2">
        <f>每周活跃度宝箱产出!$G117</f>
        <v>0</v>
      </c>
      <c r="M120" s="2">
        <f>成就产出!$G117</f>
        <v>0</v>
      </c>
      <c r="P120" s="2">
        <f ca="1">广告产出!I117</f>
        <v>10</v>
      </c>
      <c r="Q120" s="2">
        <f ca="1">广告产出!J117</f>
        <v>0</v>
      </c>
    </row>
    <row r="121" s="1" customFormat="1" ht="18" customHeight="1" spans="2:17">
      <c r="B121" s="2">
        <v>93</v>
      </c>
      <c r="C121" s="2">
        <f t="shared" si="22"/>
        <v>1000</v>
      </c>
      <c r="D121" s="2">
        <f t="shared" si="16"/>
        <v>93000</v>
      </c>
      <c r="E121" s="2">
        <f>ROUND($C$8*$C$5+$C$8*$C$4*(1-$L$5),0)</f>
        <v>88</v>
      </c>
      <c r="F121" s="2">
        <f t="shared" si="17"/>
        <v>8184</v>
      </c>
      <c r="G121" s="2">
        <f ca="1" t="shared" si="18"/>
        <v>41</v>
      </c>
      <c r="H121" s="2">
        <f ca="1" t="shared" si="20"/>
        <v>10035</v>
      </c>
      <c r="I121" s="2">
        <f>每日任务产出!$G118</f>
        <v>25</v>
      </c>
      <c r="J121" s="2">
        <f>每周任务产出!$G118</f>
        <v>0</v>
      </c>
      <c r="K121" s="2">
        <f>每日活跃度宝箱产出!$G118</f>
        <v>6</v>
      </c>
      <c r="L121" s="2">
        <f>每周活跃度宝箱产出!$G118</f>
        <v>0</v>
      </c>
      <c r="M121" s="2">
        <f>成就产出!$G118</f>
        <v>0</v>
      </c>
      <c r="P121" s="2">
        <f ca="1">广告产出!I118</f>
        <v>10</v>
      </c>
      <c r="Q121" s="2">
        <f ca="1">广告产出!J118</f>
        <v>0</v>
      </c>
    </row>
    <row r="122" s="1" customFormat="1" ht="18" customHeight="1" spans="2:17">
      <c r="B122" s="2">
        <v>94</v>
      </c>
      <c r="C122" s="2">
        <f t="shared" si="22"/>
        <v>1000</v>
      </c>
      <c r="D122" s="2">
        <f t="shared" si="16"/>
        <v>94000</v>
      </c>
      <c r="E122" s="2">
        <f>ROUND($C$8*$C$5+$C$8*$C$4*(1-$L$5),0)</f>
        <v>88</v>
      </c>
      <c r="F122" s="2">
        <f t="shared" si="17"/>
        <v>8272</v>
      </c>
      <c r="G122" s="2">
        <f ca="1" t="shared" si="18"/>
        <v>171</v>
      </c>
      <c r="H122" s="2">
        <f ca="1" t="shared" si="20"/>
        <v>10206</v>
      </c>
      <c r="I122" s="2">
        <f>每日任务产出!$G119</f>
        <v>25</v>
      </c>
      <c r="J122" s="2">
        <f>每周任务产出!$G119</f>
        <v>100</v>
      </c>
      <c r="K122" s="2">
        <f>每日活跃度宝箱产出!$G119</f>
        <v>6</v>
      </c>
      <c r="L122" s="2">
        <f>每周活跃度宝箱产出!$G119</f>
        <v>30</v>
      </c>
      <c r="M122" s="2">
        <f>成就产出!$G119</f>
        <v>0</v>
      </c>
      <c r="P122" s="2">
        <f ca="1">广告产出!I119</f>
        <v>10</v>
      </c>
      <c r="Q122" s="2">
        <f ca="1">广告产出!J119</f>
        <v>0</v>
      </c>
    </row>
    <row r="123" s="1" customFormat="1" ht="18" customHeight="1" spans="2:17">
      <c r="B123" s="2">
        <v>95</v>
      </c>
      <c r="C123" s="2">
        <f t="shared" si="22"/>
        <v>1000</v>
      </c>
      <c r="D123" s="2">
        <f t="shared" si="16"/>
        <v>95000</v>
      </c>
      <c r="E123" s="2">
        <f>ROUND($C$8*$C$5+$C$8*$C$4*(1-$L$5),0)</f>
        <v>88</v>
      </c>
      <c r="F123" s="2">
        <f t="shared" si="17"/>
        <v>8360</v>
      </c>
      <c r="G123" s="2">
        <f ca="1" t="shared" si="18"/>
        <v>41</v>
      </c>
      <c r="H123" s="2">
        <f ca="1" t="shared" si="20"/>
        <v>10247</v>
      </c>
      <c r="I123" s="2">
        <f>每日任务产出!$G120</f>
        <v>25</v>
      </c>
      <c r="J123" s="2">
        <f>每周任务产出!$G120</f>
        <v>0</v>
      </c>
      <c r="K123" s="2">
        <f>每日活跃度宝箱产出!$G120</f>
        <v>6</v>
      </c>
      <c r="L123" s="2">
        <f>每周活跃度宝箱产出!$G120</f>
        <v>0</v>
      </c>
      <c r="M123" s="2">
        <f>成就产出!$G120</f>
        <v>0</v>
      </c>
      <c r="P123" s="2">
        <f ca="1">广告产出!I120</f>
        <v>10</v>
      </c>
      <c r="Q123" s="2">
        <f ca="1">广告产出!J120</f>
        <v>0</v>
      </c>
    </row>
    <row r="124" s="1" customFormat="1" ht="18" customHeight="1" spans="2:17">
      <c r="B124" s="2">
        <v>96</v>
      </c>
      <c r="C124" s="2">
        <f t="shared" si="22"/>
        <v>1000</v>
      </c>
      <c r="D124" s="2">
        <f t="shared" si="16"/>
        <v>96000</v>
      </c>
      <c r="E124" s="2">
        <f>ROUND($C$8*$C$5+$C$8*$C$4*(1-$L$5),0)</f>
        <v>88</v>
      </c>
      <c r="F124" s="2">
        <f t="shared" si="17"/>
        <v>8448</v>
      </c>
      <c r="G124" s="2">
        <f ca="1" t="shared" si="18"/>
        <v>41</v>
      </c>
      <c r="H124" s="2">
        <f ca="1" t="shared" si="20"/>
        <v>10288</v>
      </c>
      <c r="I124" s="2">
        <f>每日任务产出!$G121</f>
        <v>25</v>
      </c>
      <c r="J124" s="2">
        <f>每周任务产出!$G121</f>
        <v>0</v>
      </c>
      <c r="K124" s="2">
        <f>每日活跃度宝箱产出!$G121</f>
        <v>6</v>
      </c>
      <c r="L124" s="2">
        <f>每周活跃度宝箱产出!$G121</f>
        <v>0</v>
      </c>
      <c r="M124" s="2">
        <f>成就产出!$G121</f>
        <v>0</v>
      </c>
      <c r="P124" s="2">
        <f ca="1">广告产出!I121</f>
        <v>10</v>
      </c>
      <c r="Q124" s="2">
        <f ca="1">广告产出!J121</f>
        <v>0</v>
      </c>
    </row>
    <row r="125" s="1" customFormat="1" ht="18" customHeight="1" spans="2:17">
      <c r="B125" s="2">
        <v>97</v>
      </c>
      <c r="C125" s="2">
        <f t="shared" si="22"/>
        <v>1000</v>
      </c>
      <c r="D125" s="2">
        <f t="shared" si="16"/>
        <v>97000</v>
      </c>
      <c r="E125" s="2">
        <f>ROUND($C$8*$C$5+$C$8*$C$4*(1-$L$5),0)</f>
        <v>88</v>
      </c>
      <c r="F125" s="2">
        <f t="shared" si="17"/>
        <v>8536</v>
      </c>
      <c r="G125" s="2">
        <f ca="1" t="shared" si="18"/>
        <v>176</v>
      </c>
      <c r="H125" s="2">
        <f ca="1" t="shared" si="20"/>
        <v>10464</v>
      </c>
      <c r="I125" s="2">
        <f>每日任务产出!$G122</f>
        <v>25</v>
      </c>
      <c r="J125" s="2">
        <f>每周任务产出!$G122</f>
        <v>100</v>
      </c>
      <c r="K125" s="2">
        <f>每日活跃度宝箱产出!$G122</f>
        <v>6</v>
      </c>
      <c r="L125" s="2">
        <f>每周活跃度宝箱产出!$G122</f>
        <v>35</v>
      </c>
      <c r="M125" s="2">
        <f>成就产出!$G122</f>
        <v>0</v>
      </c>
      <c r="P125" s="2">
        <f ca="1">广告产出!I122</f>
        <v>10</v>
      </c>
      <c r="Q125" s="2">
        <f ca="1">广告产出!J122</f>
        <v>0</v>
      </c>
    </row>
    <row r="126" s="1" customFormat="1" ht="18" customHeight="1" spans="2:17">
      <c r="B126" s="2">
        <v>98</v>
      </c>
      <c r="C126" s="2">
        <f t="shared" si="22"/>
        <v>1000</v>
      </c>
      <c r="D126" s="2">
        <f t="shared" si="16"/>
        <v>98000</v>
      </c>
      <c r="E126" s="2">
        <f>ROUND($C$8*$C$5+$C$8*$C$4*(1-$L$5),0)</f>
        <v>88</v>
      </c>
      <c r="F126" s="2">
        <f t="shared" si="17"/>
        <v>8624</v>
      </c>
      <c r="G126" s="2">
        <f ca="1" t="shared" si="18"/>
        <v>41</v>
      </c>
      <c r="H126" s="2">
        <f ca="1" t="shared" si="20"/>
        <v>10505</v>
      </c>
      <c r="I126" s="2">
        <f>每日任务产出!$G123</f>
        <v>25</v>
      </c>
      <c r="J126" s="2">
        <f>每周任务产出!$G123</f>
        <v>0</v>
      </c>
      <c r="K126" s="2">
        <f>每日活跃度宝箱产出!$G123</f>
        <v>6</v>
      </c>
      <c r="L126" s="2">
        <f>每周活跃度宝箱产出!$G123</f>
        <v>0</v>
      </c>
      <c r="M126" s="2">
        <f>成就产出!$G123</f>
        <v>0</v>
      </c>
      <c r="P126" s="2">
        <f ca="1">广告产出!I123</f>
        <v>10</v>
      </c>
      <c r="Q126" s="2">
        <f ca="1">广告产出!J123</f>
        <v>0</v>
      </c>
    </row>
    <row r="127" s="1" customFormat="1" ht="18" customHeight="1" spans="2:17">
      <c r="B127" s="2">
        <v>99</v>
      </c>
      <c r="C127" s="2">
        <f t="shared" si="22"/>
        <v>1000</v>
      </c>
      <c r="D127" s="2">
        <f t="shared" si="16"/>
        <v>99000</v>
      </c>
      <c r="E127" s="2">
        <f>ROUND($C$8*$C$5+$C$8*$C$4*(1-$L$5),0)</f>
        <v>88</v>
      </c>
      <c r="F127" s="2">
        <f t="shared" si="17"/>
        <v>8712</v>
      </c>
      <c r="G127" s="2">
        <f ca="1" t="shared" si="18"/>
        <v>41</v>
      </c>
      <c r="H127" s="2">
        <f ca="1" t="shared" si="20"/>
        <v>10546</v>
      </c>
      <c r="I127" s="2">
        <f>每日任务产出!$G124</f>
        <v>25</v>
      </c>
      <c r="J127" s="2">
        <f>每周任务产出!$G124</f>
        <v>0</v>
      </c>
      <c r="K127" s="2">
        <f>每日活跃度宝箱产出!$G124</f>
        <v>6</v>
      </c>
      <c r="L127" s="2">
        <f>每周活跃度宝箱产出!$G124</f>
        <v>0</v>
      </c>
      <c r="M127" s="2">
        <f>成就产出!$G124</f>
        <v>0</v>
      </c>
      <c r="P127" s="2">
        <f ca="1">广告产出!I124</f>
        <v>10</v>
      </c>
      <c r="Q127" s="2">
        <f ca="1">广告产出!J124</f>
        <v>0</v>
      </c>
    </row>
    <row r="128" s="1" customFormat="1" ht="18" customHeight="1" spans="2:17">
      <c r="B128" s="2">
        <v>100</v>
      </c>
      <c r="C128" s="2">
        <f t="shared" si="22"/>
        <v>1000</v>
      </c>
      <c r="D128" s="2">
        <f t="shared" si="16"/>
        <v>100000</v>
      </c>
      <c r="E128" s="2">
        <f>ROUND($C$8*$C$5+$C$8*$C$4*(1-$L$5),0)</f>
        <v>88</v>
      </c>
      <c r="F128" s="2">
        <f t="shared" si="17"/>
        <v>8800</v>
      </c>
      <c r="G128" s="2">
        <f ca="1" t="shared" si="18"/>
        <v>41</v>
      </c>
      <c r="H128" s="2">
        <f ca="1" t="shared" si="20"/>
        <v>10587</v>
      </c>
      <c r="I128" s="2">
        <f>每日任务产出!$G125</f>
        <v>25</v>
      </c>
      <c r="J128" s="2">
        <f>每周任务产出!$G125</f>
        <v>0</v>
      </c>
      <c r="K128" s="2">
        <f>每日活跃度宝箱产出!$G125</f>
        <v>6</v>
      </c>
      <c r="L128" s="2">
        <f>每周活跃度宝箱产出!$G125</f>
        <v>0</v>
      </c>
      <c r="M128" s="2">
        <f>成就产出!$G125</f>
        <v>0</v>
      </c>
      <c r="P128" s="2">
        <f ca="1">广告产出!I125</f>
        <v>10</v>
      </c>
      <c r="Q128" s="2">
        <f ca="1">广告产出!J125</f>
        <v>0</v>
      </c>
    </row>
  </sheetData>
  <mergeCells count="7">
    <mergeCell ref="B2:C3"/>
    <mergeCell ref="H2:I3"/>
    <mergeCell ref="T2:U3"/>
    <mergeCell ref="E2:F3"/>
    <mergeCell ref="K2:L3"/>
    <mergeCell ref="H4:I5"/>
    <mergeCell ref="N2:Q3"/>
  </mergeCells>
  <dataValidations count="7">
    <dataValidation type="list" allowBlank="1" showInputMessage="1" showErrorMessage="1" sqref="F4">
      <formula1>"VIP0,VIP1,VIP2,VIP3,VIP4,VIP5,VIP6,VIP7,VIP8"</formula1>
    </dataValidation>
    <dataValidation type="list" allowBlank="1" showInputMessage="1" showErrorMessage="1" sqref="C19">
      <formula1>"0,6,12,18,24,30,36"</formula1>
    </dataValidation>
    <dataValidation type="list" allowBlank="1" showInputMessage="1" showErrorMessage="1" sqref="C20">
      <formula1>"0,6,30,98,198,328,648"</formula1>
    </dataValidation>
    <dataValidation type="list" allowBlank="1" showInputMessage="1" showErrorMessage="1" sqref="C21">
      <formula1>"0,10,20,30,40,50,60"</formula1>
    </dataValidation>
    <dataValidation type="list" allowBlank="1" showInputMessage="1" showErrorMessage="1" sqref="C22">
      <formula1>"0,20,40,60,80,100,120"</formula1>
    </dataValidation>
    <dataValidation type="list" allowBlank="1" showInputMessage="1" showErrorMessage="1" sqref="C23">
      <formula1>"0,30,60,90,120,150,180"</formula1>
    </dataValidation>
    <dataValidation type="list" allowBlank="1" showInputMessage="1" showErrorMessage="1" sqref="C24">
      <formula1>"0,60,120,180,240,300,360"</formula1>
    </dataValidation>
  </dataValidations>
  <pageMargins left="0.7" right="0.7" top="0.75" bottom="0.75" header="0.3" footer="0.3"/>
  <pageSetup paperSize="9" orientation="portrait"/>
  <headerFooter/>
  <ignoredErrors>
    <ignoredError sqref="C10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4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7.25"/>
  <cols>
    <col min="1" max="1" width="9" style="1"/>
    <col min="2" max="2" width="11.2583333333333" style="1" customWidth="1"/>
    <col min="3" max="20" width="16.625" style="1" customWidth="1"/>
    <col min="21" max="22" width="13.5" style="1" customWidth="1"/>
  </cols>
  <sheetData>
    <row r="1" s="18" customFormat="1" ht="30" customHeight="1" spans="1:47">
      <c r="A1" s="22" t="s">
        <v>72</v>
      </c>
      <c r="B1" s="22" t="s">
        <v>7</v>
      </c>
      <c r="C1" s="22" t="s">
        <v>73</v>
      </c>
      <c r="D1" s="22" t="s">
        <v>74</v>
      </c>
      <c r="E1" s="22" t="s">
        <v>75</v>
      </c>
      <c r="F1" s="22" t="s">
        <v>76</v>
      </c>
      <c r="G1" s="22" t="s">
        <v>77</v>
      </c>
      <c r="H1" s="22" t="s">
        <v>78</v>
      </c>
      <c r="I1" s="22" t="s">
        <v>79</v>
      </c>
      <c r="J1" s="22" t="s">
        <v>80</v>
      </c>
      <c r="K1" s="22" t="s">
        <v>81</v>
      </c>
      <c r="L1" s="22" t="s">
        <v>82</v>
      </c>
      <c r="M1" s="22" t="s">
        <v>83</v>
      </c>
      <c r="N1" s="22" t="s">
        <v>84</v>
      </c>
      <c r="O1" s="22" t="s">
        <v>85</v>
      </c>
      <c r="P1" s="22" t="s">
        <v>86</v>
      </c>
      <c r="Q1" s="22" t="s">
        <v>87</v>
      </c>
      <c r="R1" s="22" t="s">
        <v>88</v>
      </c>
      <c r="S1" s="22" t="s">
        <v>89</v>
      </c>
      <c r="T1" s="22" t="s">
        <v>90</v>
      </c>
      <c r="U1" s="22" t="s">
        <v>91</v>
      </c>
      <c r="V1" s="22" t="s">
        <v>92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</row>
    <row r="2" s="19" customFormat="1" ht="30" customHeight="1" spans="1:47">
      <c r="A2" s="24" t="s">
        <v>93</v>
      </c>
      <c r="B2" s="24" t="s">
        <v>94</v>
      </c>
      <c r="C2" s="24" t="s">
        <v>95</v>
      </c>
      <c r="D2" s="24" t="s">
        <v>96</v>
      </c>
      <c r="E2" s="24" t="s">
        <v>97</v>
      </c>
      <c r="F2" s="24" t="s">
        <v>98</v>
      </c>
      <c r="G2" s="24" t="s">
        <v>99</v>
      </c>
      <c r="H2" s="24" t="s">
        <v>100</v>
      </c>
      <c r="I2" s="24" t="s">
        <v>101</v>
      </c>
      <c r="J2" s="24" t="s">
        <v>102</v>
      </c>
      <c r="K2" s="24" t="s">
        <v>103</v>
      </c>
      <c r="L2" s="24" t="s">
        <v>104</v>
      </c>
      <c r="M2" s="24" t="s">
        <v>105</v>
      </c>
      <c r="N2" s="24" t="s">
        <v>106</v>
      </c>
      <c r="O2" s="24" t="s">
        <v>107</v>
      </c>
      <c r="P2" s="24" t="s">
        <v>108</v>
      </c>
      <c r="Q2" s="24" t="s">
        <v>109</v>
      </c>
      <c r="R2" s="24" t="s">
        <v>110</v>
      </c>
      <c r="S2" s="24" t="s">
        <v>111</v>
      </c>
      <c r="T2" s="24" t="s">
        <v>112</v>
      </c>
      <c r="U2" s="24" t="s">
        <v>113</v>
      </c>
      <c r="V2" s="24" t="s">
        <v>114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="20" customFormat="1" ht="30" customHeight="1" spans="1:22">
      <c r="A3" s="26" t="s">
        <v>115</v>
      </c>
      <c r="B3" s="26" t="s">
        <v>115</v>
      </c>
      <c r="C3" s="26" t="s">
        <v>115</v>
      </c>
      <c r="D3" s="26" t="s">
        <v>116</v>
      </c>
      <c r="E3" s="26" t="s">
        <v>117</v>
      </c>
      <c r="F3" s="26" t="s">
        <v>118</v>
      </c>
      <c r="G3" s="26" t="s">
        <v>115</v>
      </c>
      <c r="H3" s="26" t="s">
        <v>115</v>
      </c>
      <c r="I3" s="26" t="s">
        <v>119</v>
      </c>
      <c r="J3" s="26" t="s">
        <v>119</v>
      </c>
      <c r="K3" s="26" t="s">
        <v>119</v>
      </c>
      <c r="L3" s="26" t="s">
        <v>119</v>
      </c>
      <c r="M3" s="26" t="s">
        <v>116</v>
      </c>
      <c r="N3" s="26" t="s">
        <v>119</v>
      </c>
      <c r="O3" s="26" t="s">
        <v>116</v>
      </c>
      <c r="P3" s="26" t="s">
        <v>115</v>
      </c>
      <c r="Q3" s="26" t="s">
        <v>119</v>
      </c>
      <c r="R3" s="26" t="s">
        <v>119</v>
      </c>
      <c r="S3" s="26" t="s">
        <v>119</v>
      </c>
      <c r="T3" s="26" t="s">
        <v>115</v>
      </c>
      <c r="U3" s="26" t="s">
        <v>115</v>
      </c>
      <c r="V3" s="26" t="s">
        <v>115</v>
      </c>
    </row>
    <row r="4" ht="20" customHeight="1" spans="1:47">
      <c r="A4" s="1">
        <v>10001</v>
      </c>
      <c r="B4" s="1">
        <v>0</v>
      </c>
      <c r="C4" s="1">
        <v>0</v>
      </c>
      <c r="D4" s="53">
        <v>0.0486111111111111</v>
      </c>
      <c r="E4" s="1">
        <v>0</v>
      </c>
      <c r="F4" s="1" t="b">
        <v>0</v>
      </c>
      <c r="G4" s="1">
        <v>0</v>
      </c>
      <c r="H4" s="1">
        <v>0</v>
      </c>
      <c r="I4" s="1">
        <v>1</v>
      </c>
      <c r="J4" s="21">
        <v>0</v>
      </c>
      <c r="K4" s="1">
        <v>0</v>
      </c>
      <c r="L4" s="1">
        <v>0</v>
      </c>
      <c r="M4" s="1" t="s">
        <v>120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 ht="20" customHeight="1" spans="1:47">
      <c r="A5" s="1">
        <v>10002</v>
      </c>
      <c r="B5" s="1">
        <v>1</v>
      </c>
      <c r="C5" s="1">
        <v>100</v>
      </c>
      <c r="D5" s="53">
        <v>0.0486111111111111</v>
      </c>
      <c r="E5" s="21">
        <f t="shared" ref="E5:E12" si="0">C5/10</f>
        <v>10</v>
      </c>
      <c r="F5" s="1" t="b">
        <v>0</v>
      </c>
      <c r="G5" s="1">
        <v>1</v>
      </c>
      <c r="H5" s="1">
        <v>1</v>
      </c>
      <c r="I5" s="1">
        <v>1.5</v>
      </c>
      <c r="J5" s="56">
        <v>0.1</v>
      </c>
      <c r="K5" s="56">
        <v>0.02</v>
      </c>
      <c r="L5" s="56">
        <v>0.02</v>
      </c>
      <c r="M5" s="1" t="s">
        <v>121</v>
      </c>
      <c r="N5" s="1">
        <v>1.1</v>
      </c>
      <c r="O5" s="1">
        <v>1</v>
      </c>
      <c r="P5" s="1">
        <v>0</v>
      </c>
      <c r="Q5" s="56">
        <v>0.05</v>
      </c>
      <c r="R5" s="56">
        <f t="shared" ref="R5:R12" si="1">Q5*2</f>
        <v>0.1</v>
      </c>
      <c r="S5" s="56">
        <v>0.1</v>
      </c>
      <c r="T5" s="1">
        <v>2</v>
      </c>
      <c r="U5" s="1">
        <v>30</v>
      </c>
      <c r="V5" s="1">
        <v>10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 ht="20" customHeight="1" spans="1:47">
      <c r="A6" s="1">
        <v>10003</v>
      </c>
      <c r="B6" s="1">
        <v>2</v>
      </c>
      <c r="C6" s="1">
        <v>2000</v>
      </c>
      <c r="D6" s="53">
        <v>0.0486111111111111</v>
      </c>
      <c r="E6" s="21">
        <f t="shared" si="0"/>
        <v>200</v>
      </c>
      <c r="F6" s="1" t="b">
        <v>0</v>
      </c>
      <c r="G6" s="1">
        <v>2</v>
      </c>
      <c r="H6" s="1">
        <v>1</v>
      </c>
      <c r="I6" s="1">
        <v>2</v>
      </c>
      <c r="J6" s="56">
        <v>0.2</v>
      </c>
      <c r="K6" s="56">
        <v>0.04</v>
      </c>
      <c r="L6" s="56">
        <v>0.04</v>
      </c>
      <c r="M6" s="1" t="s">
        <v>122</v>
      </c>
      <c r="N6" s="1">
        <v>1.2</v>
      </c>
      <c r="O6" s="1">
        <v>1</v>
      </c>
      <c r="P6" s="1">
        <v>0</v>
      </c>
      <c r="Q6" s="56">
        <v>0.07</v>
      </c>
      <c r="R6" s="56">
        <f t="shared" si="1"/>
        <v>0.14</v>
      </c>
      <c r="S6" s="56">
        <v>0.2</v>
      </c>
      <c r="T6" s="1">
        <v>3</v>
      </c>
      <c r="U6" s="1">
        <v>45</v>
      </c>
      <c r="V6" s="1">
        <v>9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 ht="20" customHeight="1" spans="1:47">
      <c r="A7" s="1">
        <v>10004</v>
      </c>
      <c r="B7" s="1">
        <v>3</v>
      </c>
      <c r="C7" s="1">
        <v>5000</v>
      </c>
      <c r="D7" s="53">
        <v>0.0486111111111111</v>
      </c>
      <c r="E7" s="21">
        <f t="shared" si="0"/>
        <v>500</v>
      </c>
      <c r="F7" s="1" t="b">
        <v>1</v>
      </c>
      <c r="G7" s="1">
        <v>3</v>
      </c>
      <c r="H7" s="1">
        <v>2</v>
      </c>
      <c r="I7" s="1">
        <v>2.5</v>
      </c>
      <c r="J7" s="56">
        <v>0.3</v>
      </c>
      <c r="K7" s="56">
        <v>0.06</v>
      </c>
      <c r="L7" s="56">
        <v>0.06</v>
      </c>
      <c r="M7" s="1" t="s">
        <v>123</v>
      </c>
      <c r="N7" s="1">
        <v>1.3</v>
      </c>
      <c r="O7" s="1">
        <v>1</v>
      </c>
      <c r="P7" s="1">
        <v>60</v>
      </c>
      <c r="Q7" s="56">
        <v>0.1</v>
      </c>
      <c r="R7" s="56">
        <f t="shared" si="1"/>
        <v>0.2</v>
      </c>
      <c r="S7" s="56">
        <v>0.3</v>
      </c>
      <c r="T7" s="1">
        <v>4</v>
      </c>
      <c r="U7" s="1">
        <v>60</v>
      </c>
      <c r="V7" s="1">
        <v>8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 ht="20" customHeight="1" spans="1:47">
      <c r="A8" s="1">
        <v>10005</v>
      </c>
      <c r="B8" s="1">
        <v>4</v>
      </c>
      <c r="C8" s="1">
        <v>10000</v>
      </c>
      <c r="D8" s="53">
        <v>0.0486111111111111</v>
      </c>
      <c r="E8" s="21">
        <f t="shared" si="0"/>
        <v>1000</v>
      </c>
      <c r="F8" s="1" t="b">
        <v>1</v>
      </c>
      <c r="G8" s="1">
        <v>4</v>
      </c>
      <c r="H8" s="1">
        <v>2</v>
      </c>
      <c r="I8" s="1">
        <v>3</v>
      </c>
      <c r="J8" s="56">
        <v>0.4</v>
      </c>
      <c r="K8" s="56">
        <v>0.08</v>
      </c>
      <c r="L8" s="56">
        <v>0.08</v>
      </c>
      <c r="M8" s="1" t="s">
        <v>124</v>
      </c>
      <c r="N8" s="1">
        <v>1.4</v>
      </c>
      <c r="O8" s="1">
        <v>1</v>
      </c>
      <c r="P8" s="1">
        <v>75</v>
      </c>
      <c r="Q8" s="56">
        <v>0.15</v>
      </c>
      <c r="R8" s="56">
        <f t="shared" si="1"/>
        <v>0.3</v>
      </c>
      <c r="S8" s="56">
        <v>0.4</v>
      </c>
      <c r="T8" s="1">
        <v>5</v>
      </c>
      <c r="U8" s="1">
        <v>75</v>
      </c>
      <c r="V8" s="1">
        <v>7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 ht="20" customHeight="1" spans="1:47">
      <c r="A9" s="1">
        <v>10006</v>
      </c>
      <c r="B9" s="1">
        <v>5</v>
      </c>
      <c r="C9" s="1">
        <v>20000</v>
      </c>
      <c r="D9" s="53">
        <v>0.0486111111111111</v>
      </c>
      <c r="E9" s="21">
        <f t="shared" si="0"/>
        <v>2000</v>
      </c>
      <c r="F9" s="1" t="b">
        <v>1</v>
      </c>
      <c r="G9" s="1">
        <v>5</v>
      </c>
      <c r="H9" s="1">
        <v>3</v>
      </c>
      <c r="I9" s="1">
        <v>3.5</v>
      </c>
      <c r="J9" s="56">
        <v>0.5</v>
      </c>
      <c r="K9" s="56">
        <v>0.1</v>
      </c>
      <c r="L9" s="56">
        <v>0.1</v>
      </c>
      <c r="M9" s="1" t="s">
        <v>125</v>
      </c>
      <c r="N9" s="1">
        <v>1.5</v>
      </c>
      <c r="O9" s="1" t="s">
        <v>126</v>
      </c>
      <c r="P9" s="1">
        <v>90</v>
      </c>
      <c r="Q9" s="56">
        <v>0.2</v>
      </c>
      <c r="R9" s="56">
        <f t="shared" si="1"/>
        <v>0.4</v>
      </c>
      <c r="S9" s="56">
        <v>0.5</v>
      </c>
      <c r="T9" s="21">
        <v>6</v>
      </c>
      <c r="U9" s="1">
        <v>90</v>
      </c>
      <c r="V9" s="1">
        <v>6</v>
      </c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 ht="20" customHeight="1" spans="1:47">
      <c r="A10" s="1">
        <v>10007</v>
      </c>
      <c r="B10" s="1">
        <v>6</v>
      </c>
      <c r="C10" s="1">
        <v>50000</v>
      </c>
      <c r="D10" s="53">
        <v>0.0486111111111111</v>
      </c>
      <c r="E10" s="21">
        <f t="shared" si="0"/>
        <v>5000</v>
      </c>
      <c r="F10" s="1" t="b">
        <v>1</v>
      </c>
      <c r="G10" s="1">
        <v>6</v>
      </c>
      <c r="H10" s="1">
        <v>4</v>
      </c>
      <c r="I10" s="1">
        <v>4</v>
      </c>
      <c r="J10" s="56">
        <v>0.6</v>
      </c>
      <c r="K10" s="56">
        <v>0.12</v>
      </c>
      <c r="L10" s="56">
        <v>0.12</v>
      </c>
      <c r="M10" s="1" t="s">
        <v>127</v>
      </c>
      <c r="N10" s="1">
        <v>1.6</v>
      </c>
      <c r="O10" s="1" t="s">
        <v>126</v>
      </c>
      <c r="P10" s="1">
        <v>105</v>
      </c>
      <c r="Q10" s="56">
        <v>0.3</v>
      </c>
      <c r="R10" s="56">
        <f t="shared" si="1"/>
        <v>0.6</v>
      </c>
      <c r="S10" s="56">
        <v>0.6</v>
      </c>
      <c r="T10" s="21">
        <v>7</v>
      </c>
      <c r="U10" s="1">
        <v>120</v>
      </c>
      <c r="V10" s="1">
        <v>5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 ht="20" customHeight="1" spans="1:47">
      <c r="A11" s="1">
        <v>10008</v>
      </c>
      <c r="B11" s="1">
        <v>7</v>
      </c>
      <c r="C11" s="1">
        <v>80000</v>
      </c>
      <c r="D11" s="53">
        <v>0.0486111111111111</v>
      </c>
      <c r="E11" s="21">
        <f t="shared" si="0"/>
        <v>8000</v>
      </c>
      <c r="F11" s="1" t="b">
        <v>1</v>
      </c>
      <c r="G11" s="1">
        <v>7</v>
      </c>
      <c r="H11" s="1">
        <v>5</v>
      </c>
      <c r="I11" s="1">
        <v>4.5</v>
      </c>
      <c r="J11" s="56">
        <v>0.7</v>
      </c>
      <c r="K11" s="56">
        <v>0.14</v>
      </c>
      <c r="L11" s="56">
        <v>0.14</v>
      </c>
      <c r="M11" s="1" t="s">
        <v>128</v>
      </c>
      <c r="N11" s="1">
        <v>1.7</v>
      </c>
      <c r="O11" s="1" t="s">
        <v>126</v>
      </c>
      <c r="P11" s="1">
        <v>120</v>
      </c>
      <c r="Q11" s="56">
        <v>0.4</v>
      </c>
      <c r="R11" s="56">
        <f t="shared" si="1"/>
        <v>0.8</v>
      </c>
      <c r="S11" s="56">
        <v>0.7</v>
      </c>
      <c r="T11" s="21">
        <v>8</v>
      </c>
      <c r="U11" s="1">
        <v>180</v>
      </c>
      <c r="V11" s="1">
        <v>4</v>
      </c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 ht="20" customHeight="1" spans="1:47">
      <c r="A12" s="1">
        <v>10009</v>
      </c>
      <c r="B12" s="1">
        <v>8</v>
      </c>
      <c r="C12" s="1">
        <v>100000</v>
      </c>
      <c r="D12" s="53">
        <v>0.0486111111111111</v>
      </c>
      <c r="E12" s="21">
        <f t="shared" si="0"/>
        <v>10000</v>
      </c>
      <c r="F12" s="1" t="b">
        <v>1</v>
      </c>
      <c r="G12" s="1">
        <v>8</v>
      </c>
      <c r="H12" s="1">
        <v>6</v>
      </c>
      <c r="I12" s="1">
        <v>5</v>
      </c>
      <c r="J12" s="56">
        <v>0.8</v>
      </c>
      <c r="K12" s="56">
        <v>0.18</v>
      </c>
      <c r="L12" s="56">
        <v>0.18</v>
      </c>
      <c r="M12" s="1" t="s">
        <v>129</v>
      </c>
      <c r="N12" s="1">
        <v>2</v>
      </c>
      <c r="O12" s="1" t="s">
        <v>130</v>
      </c>
      <c r="P12" s="1">
        <v>180</v>
      </c>
      <c r="Q12" s="56">
        <v>0.7</v>
      </c>
      <c r="R12" s="56">
        <f t="shared" si="1"/>
        <v>1.4</v>
      </c>
      <c r="S12" s="56">
        <v>1</v>
      </c>
      <c r="T12" s="21">
        <v>9</v>
      </c>
      <c r="U12" s="1">
        <v>360</v>
      </c>
      <c r="V12" s="1">
        <v>1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5" spans="4:8">
      <c r="D15" s="48"/>
      <c r="E15" s="9" t="s">
        <v>82</v>
      </c>
      <c r="F15" s="9" t="s">
        <v>83</v>
      </c>
      <c r="G15" s="9" t="s">
        <v>22</v>
      </c>
      <c r="H15" s="9" t="s">
        <v>27</v>
      </c>
    </row>
    <row r="16" spans="4:8">
      <c r="D16" s="9" t="s">
        <v>131</v>
      </c>
      <c r="E16" s="46">
        <f>L4</f>
        <v>0</v>
      </c>
      <c r="F16" s="54">
        <f>100/110</f>
        <v>0.909090909090909</v>
      </c>
      <c r="G16" s="9">
        <f>K4</f>
        <v>0</v>
      </c>
      <c r="H16" s="9">
        <f>N4</f>
        <v>1</v>
      </c>
    </row>
    <row r="17" spans="4:8">
      <c r="D17" s="9" t="s">
        <v>132</v>
      </c>
      <c r="E17" s="55">
        <f t="shared" ref="E17:E24" si="2">L5</f>
        <v>0.02</v>
      </c>
      <c r="F17" s="54">
        <f>101/110</f>
        <v>0.918181818181818</v>
      </c>
      <c r="G17" s="55">
        <f t="shared" ref="G17:G24" si="3">K5</f>
        <v>0.02</v>
      </c>
      <c r="H17" s="9">
        <f t="shared" ref="H17:H24" si="4">N5</f>
        <v>1.1</v>
      </c>
    </row>
    <row r="18" spans="4:8">
      <c r="D18" s="9" t="s">
        <v>133</v>
      </c>
      <c r="E18" s="55">
        <f t="shared" si="2"/>
        <v>0.04</v>
      </c>
      <c r="F18" s="54">
        <f>102/110</f>
        <v>0.927272727272727</v>
      </c>
      <c r="G18" s="55">
        <f t="shared" si="3"/>
        <v>0.04</v>
      </c>
      <c r="H18" s="9">
        <f t="shared" si="4"/>
        <v>1.2</v>
      </c>
    </row>
    <row r="19" spans="4:8">
      <c r="D19" s="9" t="s">
        <v>134</v>
      </c>
      <c r="E19" s="55">
        <f t="shared" si="2"/>
        <v>0.06</v>
      </c>
      <c r="F19" s="54">
        <f>103/110</f>
        <v>0.936363636363636</v>
      </c>
      <c r="G19" s="55">
        <f t="shared" si="3"/>
        <v>0.06</v>
      </c>
      <c r="H19" s="9">
        <f t="shared" si="4"/>
        <v>1.3</v>
      </c>
    </row>
    <row r="20" spans="4:8">
      <c r="D20" s="9" t="s">
        <v>135</v>
      </c>
      <c r="E20" s="55">
        <f t="shared" si="2"/>
        <v>0.08</v>
      </c>
      <c r="F20" s="54">
        <f>104/110</f>
        <v>0.945454545454545</v>
      </c>
      <c r="G20" s="55">
        <f t="shared" si="3"/>
        <v>0.08</v>
      </c>
      <c r="H20" s="9">
        <f t="shared" si="4"/>
        <v>1.4</v>
      </c>
    </row>
    <row r="21" spans="4:8">
      <c r="D21" s="9" t="s">
        <v>136</v>
      </c>
      <c r="E21" s="55">
        <f t="shared" si="2"/>
        <v>0.1</v>
      </c>
      <c r="F21" s="54">
        <f>105/110</f>
        <v>0.954545454545455</v>
      </c>
      <c r="G21" s="55">
        <f t="shared" si="3"/>
        <v>0.1</v>
      </c>
      <c r="H21" s="9">
        <f t="shared" si="4"/>
        <v>1.5</v>
      </c>
    </row>
    <row r="22" spans="4:8">
      <c r="D22" s="9" t="s">
        <v>137</v>
      </c>
      <c r="E22" s="55">
        <f t="shared" si="2"/>
        <v>0.12</v>
      </c>
      <c r="F22" s="54">
        <f>106/110</f>
        <v>0.963636363636364</v>
      </c>
      <c r="G22" s="55">
        <f t="shared" si="3"/>
        <v>0.12</v>
      </c>
      <c r="H22" s="9">
        <f t="shared" si="4"/>
        <v>1.6</v>
      </c>
    </row>
    <row r="23" spans="4:8">
      <c r="D23" s="9" t="s">
        <v>138</v>
      </c>
      <c r="E23" s="55">
        <f t="shared" si="2"/>
        <v>0.14</v>
      </c>
      <c r="F23" s="54">
        <f>107/110</f>
        <v>0.972727272727273</v>
      </c>
      <c r="G23" s="55">
        <f t="shared" si="3"/>
        <v>0.14</v>
      </c>
      <c r="H23" s="9">
        <f t="shared" si="4"/>
        <v>1.7</v>
      </c>
    </row>
    <row r="24" spans="4:8">
      <c r="D24" s="9" t="s">
        <v>8</v>
      </c>
      <c r="E24" s="55">
        <f t="shared" si="2"/>
        <v>0.18</v>
      </c>
      <c r="F24" s="54">
        <f>109/110</f>
        <v>0.990909090909091</v>
      </c>
      <c r="G24" s="55">
        <f t="shared" si="3"/>
        <v>0.18</v>
      </c>
      <c r="H24" s="9">
        <f t="shared" si="4"/>
        <v>2</v>
      </c>
    </row>
  </sheetData>
  <autoFilter xmlns:etc="http://www.wps.cn/officeDocument/2017/etCustomData" ref="A1:V12" etc:filterBottomFollowUsedRange="0">
    <extLst/>
  </autoFilter>
  <dataValidations count="2">
    <dataValidation type="list" allowBlank="1" showInputMessage="1" showErrorMessage="1" sqref="A3:D3 F3:V3">
      <formula1>"int,long,float,double,boolean,char,string"</formula1>
    </dataValidation>
    <dataValidation type="list" allowBlank="1" showInputMessage="1" showErrorMessage="1" sqref="E3">
      <formula1>"int,long,float,double,boolean,char,string,decimal"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"/>
  <sheetViews>
    <sheetView workbookViewId="0">
      <pane xSplit="2" ySplit="3" topLeftCell="C40" activePane="bottomRight" state="frozen"/>
      <selection/>
      <selection pane="topRight"/>
      <selection pane="bottomLeft"/>
      <selection pane="bottomRight" activeCell="H51" sqref="H51"/>
    </sheetView>
  </sheetViews>
  <sheetFormatPr defaultColWidth="9" defaultRowHeight="17.25"/>
  <cols>
    <col min="1" max="1" width="9" style="1"/>
    <col min="2" max="3" width="11.25" style="1" customWidth="1"/>
    <col min="4" max="4" width="30.625" style="1" customWidth="1"/>
    <col min="5" max="5" width="18.625" style="1" customWidth="1"/>
    <col min="6" max="7" width="16.375" style="1" customWidth="1"/>
    <col min="8" max="8" width="77.625" style="21" customWidth="1"/>
    <col min="9" max="10" width="20.25" style="1" customWidth="1"/>
    <col min="11" max="12" width="13.5" style="1" customWidth="1"/>
  </cols>
  <sheetData>
    <row r="1" s="18" customFormat="1" ht="30" customHeight="1" spans="1:28">
      <c r="A1" s="22" t="s">
        <v>72</v>
      </c>
      <c r="B1" s="22" t="s">
        <v>139</v>
      </c>
      <c r="C1" s="22" t="s">
        <v>140</v>
      </c>
      <c r="D1" s="22" t="s">
        <v>141</v>
      </c>
      <c r="E1" s="22" t="s">
        <v>142</v>
      </c>
      <c r="F1" s="22" t="s">
        <v>143</v>
      </c>
      <c r="G1" s="22" t="s">
        <v>144</v>
      </c>
      <c r="H1" s="23" t="s">
        <v>145</v>
      </c>
      <c r="I1" s="22" t="s">
        <v>146</v>
      </c>
      <c r="J1" s="22" t="s">
        <v>147</v>
      </c>
      <c r="K1" s="22" t="s">
        <v>148</v>
      </c>
      <c r="L1" s="22" t="s">
        <v>149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="19" customFormat="1" ht="30" customHeight="1" spans="1:28">
      <c r="A2" s="24" t="s">
        <v>93</v>
      </c>
      <c r="B2" s="24" t="s">
        <v>150</v>
      </c>
      <c r="C2" s="24" t="s">
        <v>151</v>
      </c>
      <c r="D2" s="24" t="s">
        <v>152</v>
      </c>
      <c r="E2" s="24" t="s">
        <v>153</v>
      </c>
      <c r="F2" s="24" t="s">
        <v>154</v>
      </c>
      <c r="G2" s="24" t="s">
        <v>155</v>
      </c>
      <c r="H2" s="25" t="s">
        <v>156</v>
      </c>
      <c r="I2" s="24" t="s">
        <v>157</v>
      </c>
      <c r="J2" s="24" t="s">
        <v>158</v>
      </c>
      <c r="K2" s="24" t="s">
        <v>159</v>
      </c>
      <c r="L2" s="24" t="s">
        <v>160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="20" customFormat="1" ht="30" customHeight="1" spans="1:12">
      <c r="A3" s="26" t="s">
        <v>115</v>
      </c>
      <c r="B3" s="26" t="s">
        <v>115</v>
      </c>
      <c r="C3" s="26" t="s">
        <v>115</v>
      </c>
      <c r="D3" s="26" t="s">
        <v>116</v>
      </c>
      <c r="E3" s="26" t="s">
        <v>115</v>
      </c>
      <c r="F3" s="26" t="s">
        <v>118</v>
      </c>
      <c r="G3" s="26" t="s">
        <v>115</v>
      </c>
      <c r="H3" s="27" t="s">
        <v>116</v>
      </c>
      <c r="I3" s="26" t="s">
        <v>115</v>
      </c>
      <c r="J3" s="26" t="s">
        <v>115</v>
      </c>
      <c r="K3" s="26" t="s">
        <v>115</v>
      </c>
      <c r="L3" s="26" t="s">
        <v>161</v>
      </c>
    </row>
    <row r="4" ht="20" customHeight="1" spans="1:28">
      <c r="A4" s="1">
        <v>10001</v>
      </c>
      <c r="B4" s="1">
        <v>1</v>
      </c>
      <c r="C4" s="1">
        <v>1</v>
      </c>
      <c r="D4" s="1" t="s">
        <v>162</v>
      </c>
      <c r="F4" s="1" t="b">
        <v>1</v>
      </c>
      <c r="G4" s="1">
        <v>10</v>
      </c>
      <c r="H4" s="28" t="s">
        <v>163</v>
      </c>
      <c r="I4" s="1">
        <v>1</v>
      </c>
      <c r="J4" s="1">
        <v>1</v>
      </c>
      <c r="K4" s="1">
        <v>1</v>
      </c>
      <c r="L4" s="45">
        <v>45791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ht="20" customHeight="1" spans="1:28">
      <c r="A5" s="1">
        <v>10002</v>
      </c>
      <c r="B5" s="1">
        <v>1</v>
      </c>
      <c r="C5" s="1">
        <v>1</v>
      </c>
      <c r="D5" s="1" t="s">
        <v>162</v>
      </c>
      <c r="E5" s="1">
        <f t="shared" ref="E5:E9" si="0">A4</f>
        <v>10001</v>
      </c>
      <c r="F5" s="1" t="b">
        <v>0</v>
      </c>
      <c r="G5" s="1">
        <v>20</v>
      </c>
      <c r="H5" s="28" t="s">
        <v>163</v>
      </c>
      <c r="I5" s="1">
        <v>1</v>
      </c>
      <c r="J5" s="1">
        <v>1</v>
      </c>
      <c r="K5" s="1">
        <v>1</v>
      </c>
      <c r="L5" s="45">
        <v>45791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ht="20" customHeight="1" spans="1:28">
      <c r="A6" s="1">
        <v>10003</v>
      </c>
      <c r="B6" s="1">
        <v>1</v>
      </c>
      <c r="C6" s="1">
        <v>1</v>
      </c>
      <c r="D6" s="1" t="s">
        <v>162</v>
      </c>
      <c r="E6" s="1">
        <f t="shared" si="0"/>
        <v>10002</v>
      </c>
      <c r="F6" s="1" t="b">
        <v>0</v>
      </c>
      <c r="G6" s="1">
        <v>30</v>
      </c>
      <c r="H6" s="28" t="s">
        <v>163</v>
      </c>
      <c r="I6" s="1">
        <v>1</v>
      </c>
      <c r="J6" s="1">
        <v>1</v>
      </c>
      <c r="K6" s="1">
        <v>1</v>
      </c>
      <c r="L6" s="45">
        <v>45791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ht="20" customHeight="1" spans="1:28">
      <c r="A7" s="1">
        <v>10004</v>
      </c>
      <c r="B7" s="1">
        <v>1</v>
      </c>
      <c r="C7" s="1">
        <v>2</v>
      </c>
      <c r="D7" s="1" t="s">
        <v>164</v>
      </c>
      <c r="F7" s="1" t="b">
        <v>1</v>
      </c>
      <c r="G7" s="1">
        <v>100</v>
      </c>
      <c r="H7" s="28" t="s">
        <v>163</v>
      </c>
      <c r="I7" s="1">
        <v>1</v>
      </c>
      <c r="J7" s="1">
        <v>1</v>
      </c>
      <c r="K7" s="1">
        <v>1</v>
      </c>
      <c r="L7" s="1">
        <v>-1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ht="20" customHeight="1" spans="1:28">
      <c r="A8" s="1">
        <v>10005</v>
      </c>
      <c r="B8" s="1">
        <v>1</v>
      </c>
      <c r="C8" s="1">
        <v>2</v>
      </c>
      <c r="D8" s="1" t="s">
        <v>164</v>
      </c>
      <c r="E8" s="1">
        <f t="shared" si="0"/>
        <v>10004</v>
      </c>
      <c r="F8" s="1" t="b">
        <v>0</v>
      </c>
      <c r="G8" s="1">
        <v>200</v>
      </c>
      <c r="H8" s="28" t="s">
        <v>163</v>
      </c>
      <c r="I8" s="1">
        <v>1</v>
      </c>
      <c r="J8" s="1">
        <v>1</v>
      </c>
      <c r="K8" s="1">
        <v>1</v>
      </c>
      <c r="L8" s="1">
        <v>-1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ht="20" customHeight="1" spans="1:28">
      <c r="A9" s="1">
        <v>10006</v>
      </c>
      <c r="B9" s="1">
        <v>1</v>
      </c>
      <c r="C9" s="1">
        <v>2</v>
      </c>
      <c r="D9" s="1" t="s">
        <v>164</v>
      </c>
      <c r="E9" s="1">
        <f t="shared" si="0"/>
        <v>10005</v>
      </c>
      <c r="F9" s="1" t="b">
        <v>0</v>
      </c>
      <c r="G9" s="1">
        <v>300</v>
      </c>
      <c r="H9" s="28" t="s">
        <v>163</v>
      </c>
      <c r="I9" s="1">
        <v>1</v>
      </c>
      <c r="J9" s="1">
        <v>1</v>
      </c>
      <c r="K9" s="1">
        <v>1</v>
      </c>
      <c r="L9" s="1">
        <v>-1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ht="20" customHeight="1" spans="1:28">
      <c r="A10" s="1">
        <v>10007</v>
      </c>
      <c r="B10" s="1">
        <v>1</v>
      </c>
      <c r="C10" s="1">
        <v>3</v>
      </c>
      <c r="D10" s="1" t="s">
        <v>165</v>
      </c>
      <c r="F10" s="1" t="b">
        <v>1</v>
      </c>
      <c r="G10" s="1">
        <v>200</v>
      </c>
      <c r="H10" s="28" t="s">
        <v>163</v>
      </c>
      <c r="I10" s="1">
        <v>1</v>
      </c>
      <c r="J10" s="1">
        <v>1</v>
      </c>
      <c r="K10" s="1">
        <v>1</v>
      </c>
      <c r="L10" s="1">
        <v>-1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ht="20" customHeight="1" spans="1:28">
      <c r="A11" s="1">
        <v>10008</v>
      </c>
      <c r="B11" s="1">
        <v>1</v>
      </c>
      <c r="C11" s="1">
        <v>3</v>
      </c>
      <c r="D11" s="1" t="s">
        <v>165</v>
      </c>
      <c r="E11" s="1">
        <f>A10</f>
        <v>10007</v>
      </c>
      <c r="F11" s="1" t="b">
        <v>0</v>
      </c>
      <c r="G11" s="1">
        <v>400</v>
      </c>
      <c r="H11" s="28" t="s">
        <v>163</v>
      </c>
      <c r="I11" s="1">
        <v>1</v>
      </c>
      <c r="J11" s="1">
        <v>1</v>
      </c>
      <c r="K11" s="1">
        <v>1</v>
      </c>
      <c r="L11" s="1">
        <v>-1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ht="20" customHeight="1" spans="1:28">
      <c r="A12" s="1">
        <v>10009</v>
      </c>
      <c r="B12" s="1">
        <v>1</v>
      </c>
      <c r="C12" s="1">
        <v>3</v>
      </c>
      <c r="D12" s="1" t="s">
        <v>165</v>
      </c>
      <c r="E12" s="1">
        <f>A11</f>
        <v>10008</v>
      </c>
      <c r="F12" s="1" t="b">
        <v>0</v>
      </c>
      <c r="G12" s="1">
        <v>600</v>
      </c>
      <c r="H12" s="28" t="s">
        <v>163</v>
      </c>
      <c r="I12" s="1">
        <v>1</v>
      </c>
      <c r="J12" s="1">
        <v>1</v>
      </c>
      <c r="K12" s="1">
        <v>1</v>
      </c>
      <c r="L12" s="1">
        <v>-1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ht="20" customHeight="1" spans="1:28">
      <c r="A13" s="1">
        <v>10010</v>
      </c>
      <c r="B13" s="1">
        <v>1</v>
      </c>
      <c r="C13" s="1">
        <v>4</v>
      </c>
      <c r="D13" s="1" t="s">
        <v>166</v>
      </c>
      <c r="F13" s="1" t="b">
        <v>1</v>
      </c>
      <c r="G13" s="1">
        <v>50</v>
      </c>
      <c r="H13" s="28" t="s">
        <v>167</v>
      </c>
      <c r="I13" s="1">
        <v>1</v>
      </c>
      <c r="J13" s="1">
        <v>1</v>
      </c>
      <c r="K13" s="1">
        <v>1</v>
      </c>
      <c r="L13" s="1">
        <v>-1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ht="20" customHeight="1" spans="1:28">
      <c r="A14" s="1">
        <v>10011</v>
      </c>
      <c r="B14" s="1">
        <v>1</v>
      </c>
      <c r="C14" s="1">
        <v>5</v>
      </c>
      <c r="D14" s="1" t="s">
        <v>168</v>
      </c>
      <c r="F14" s="1" t="b">
        <v>1</v>
      </c>
      <c r="G14" s="1">
        <v>5</v>
      </c>
      <c r="H14" s="28" t="s">
        <v>169</v>
      </c>
      <c r="I14" s="1">
        <v>1</v>
      </c>
      <c r="J14" s="1">
        <v>1</v>
      </c>
      <c r="K14" s="1">
        <v>1</v>
      </c>
      <c r="L14" s="1">
        <v>-1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ht="20" customHeight="1" spans="1:28">
      <c r="A15" s="1">
        <v>10012</v>
      </c>
      <c r="B15" s="1">
        <v>1</v>
      </c>
      <c r="C15" s="1">
        <v>6</v>
      </c>
      <c r="D15" s="1" t="s">
        <v>170</v>
      </c>
      <c r="F15" s="1" t="b">
        <v>1</v>
      </c>
      <c r="G15" s="1">
        <v>3</v>
      </c>
      <c r="H15" s="28" t="s">
        <v>167</v>
      </c>
      <c r="I15" s="1">
        <v>2</v>
      </c>
      <c r="J15" s="1">
        <v>1</v>
      </c>
      <c r="K15" s="1">
        <v>1</v>
      </c>
      <c r="L15" s="1">
        <v>-1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ht="20" customHeight="1" spans="1:28">
      <c r="A16" s="1">
        <v>10013</v>
      </c>
      <c r="B16" s="1">
        <v>1</v>
      </c>
      <c r="C16" s="1">
        <v>7</v>
      </c>
      <c r="D16" s="1" t="s">
        <v>171</v>
      </c>
      <c r="F16" s="1" t="b">
        <v>1</v>
      </c>
      <c r="G16" s="1">
        <v>10</v>
      </c>
      <c r="H16" s="28" t="s">
        <v>167</v>
      </c>
      <c r="I16" s="1">
        <v>3</v>
      </c>
      <c r="J16" s="1">
        <v>1</v>
      </c>
      <c r="K16" s="1">
        <v>1</v>
      </c>
      <c r="L16" s="1">
        <v>-1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ht="20" customHeight="1" spans="1:28">
      <c r="A17" s="1">
        <v>10014</v>
      </c>
      <c r="B17" s="1">
        <v>1</v>
      </c>
      <c r="C17" s="1">
        <v>8</v>
      </c>
      <c r="D17" s="1" t="s">
        <v>172</v>
      </c>
      <c r="F17" s="1" t="b">
        <v>1</v>
      </c>
      <c r="G17" s="1">
        <v>10</v>
      </c>
      <c r="H17" s="28" t="s">
        <v>173</v>
      </c>
      <c r="I17" s="1">
        <v>3</v>
      </c>
      <c r="J17" s="1">
        <v>1</v>
      </c>
      <c r="K17" s="1">
        <v>1</v>
      </c>
      <c r="L17" s="1">
        <v>-1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="34" customFormat="1" ht="20" customHeight="1" spans="1:28">
      <c r="A18" s="10">
        <v>10015</v>
      </c>
      <c r="B18" s="10">
        <v>1</v>
      </c>
      <c r="C18" s="10">
        <v>9</v>
      </c>
      <c r="D18" s="10" t="s">
        <v>174</v>
      </c>
      <c r="E18" s="10"/>
      <c r="F18" s="10" t="b">
        <v>1</v>
      </c>
      <c r="G18" s="10">
        <v>1</v>
      </c>
      <c r="H18" s="37" t="s">
        <v>167</v>
      </c>
      <c r="I18" s="10">
        <v>0</v>
      </c>
      <c r="J18" s="10">
        <v>1</v>
      </c>
      <c r="K18" s="10">
        <v>1</v>
      </c>
      <c r="L18" s="10">
        <v>-1</v>
      </c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20" customHeight="1" spans="1:28">
      <c r="A19" s="1">
        <v>20001</v>
      </c>
      <c r="B19" s="1">
        <v>2</v>
      </c>
      <c r="C19" s="1">
        <v>1</v>
      </c>
      <c r="D19" s="1" t="s">
        <v>175</v>
      </c>
      <c r="F19" s="1" t="b">
        <v>1</v>
      </c>
      <c r="G19" s="1">
        <v>200</v>
      </c>
      <c r="H19" s="28" t="s">
        <v>176</v>
      </c>
      <c r="I19" s="1">
        <v>1</v>
      </c>
      <c r="J19" s="1">
        <v>1</v>
      </c>
      <c r="K19" s="1">
        <v>7</v>
      </c>
      <c r="L19" s="1">
        <v>-1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0" customHeight="1" spans="1:28">
      <c r="A20" s="1">
        <v>20002</v>
      </c>
      <c r="B20" s="1">
        <v>2</v>
      </c>
      <c r="C20" s="1">
        <v>1</v>
      </c>
      <c r="D20" s="1" t="s">
        <v>175</v>
      </c>
      <c r="E20" s="1">
        <f t="shared" ref="E20:E23" si="1">A19</f>
        <v>20001</v>
      </c>
      <c r="F20" s="1" t="b">
        <v>0</v>
      </c>
      <c r="G20" s="1">
        <v>400</v>
      </c>
      <c r="H20" s="28" t="s">
        <v>176</v>
      </c>
      <c r="I20" s="1">
        <v>1</v>
      </c>
      <c r="J20" s="1">
        <v>1</v>
      </c>
      <c r="K20" s="1">
        <v>7</v>
      </c>
      <c r="L20" s="1">
        <v>-1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0" customHeight="1" spans="1:28">
      <c r="A21" s="1">
        <v>20003</v>
      </c>
      <c r="B21" s="1">
        <v>2</v>
      </c>
      <c r="C21" s="1">
        <v>1</v>
      </c>
      <c r="D21" s="1" t="s">
        <v>175</v>
      </c>
      <c r="E21" s="1">
        <f t="shared" si="1"/>
        <v>20002</v>
      </c>
      <c r="F21" s="1" t="b">
        <v>0</v>
      </c>
      <c r="G21" s="1">
        <v>600</v>
      </c>
      <c r="H21" s="28" t="s">
        <v>176</v>
      </c>
      <c r="I21" s="1">
        <v>1</v>
      </c>
      <c r="J21" s="1">
        <v>1</v>
      </c>
      <c r="K21" s="1">
        <v>7</v>
      </c>
      <c r="L21" s="1">
        <v>-1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0" customHeight="1" spans="1:28">
      <c r="A22" s="1">
        <v>20004</v>
      </c>
      <c r="B22" s="1">
        <v>2</v>
      </c>
      <c r="C22" s="1">
        <v>1</v>
      </c>
      <c r="D22" s="1" t="s">
        <v>175</v>
      </c>
      <c r="E22" s="1">
        <f t="shared" si="1"/>
        <v>20003</v>
      </c>
      <c r="F22" s="1" t="b">
        <v>0</v>
      </c>
      <c r="G22" s="1">
        <v>800</v>
      </c>
      <c r="H22" s="28" t="s">
        <v>176</v>
      </c>
      <c r="I22" s="1">
        <v>1</v>
      </c>
      <c r="J22" s="1">
        <v>1</v>
      </c>
      <c r="K22" s="1">
        <v>7</v>
      </c>
      <c r="L22" s="1">
        <v>-1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0" customHeight="1" spans="1:28">
      <c r="A23" s="1">
        <v>20005</v>
      </c>
      <c r="B23" s="1">
        <v>2</v>
      </c>
      <c r="C23" s="1">
        <v>1</v>
      </c>
      <c r="D23" s="1" t="s">
        <v>175</v>
      </c>
      <c r="E23" s="1">
        <f t="shared" si="1"/>
        <v>20004</v>
      </c>
      <c r="F23" s="1" t="b">
        <v>0</v>
      </c>
      <c r="G23" s="1">
        <v>1000</v>
      </c>
      <c r="H23" s="28" t="s">
        <v>176</v>
      </c>
      <c r="I23" s="1">
        <v>1</v>
      </c>
      <c r="J23" s="1">
        <v>1</v>
      </c>
      <c r="K23" s="1">
        <v>7</v>
      </c>
      <c r="L23" s="1">
        <v>-1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0" customHeight="1" spans="1:28">
      <c r="A24" s="1">
        <v>20006</v>
      </c>
      <c r="B24" s="1">
        <v>2</v>
      </c>
      <c r="C24" s="1">
        <v>2</v>
      </c>
      <c r="D24" s="1" t="s">
        <v>177</v>
      </c>
      <c r="F24" s="1" t="b">
        <v>1</v>
      </c>
      <c r="G24" s="1">
        <v>2000</v>
      </c>
      <c r="H24" s="28" t="s">
        <v>176</v>
      </c>
      <c r="I24" s="1">
        <v>1</v>
      </c>
      <c r="J24" s="1">
        <v>1</v>
      </c>
      <c r="K24" s="1">
        <v>7</v>
      </c>
      <c r="L24" s="1">
        <v>-1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0" customHeight="1" spans="1:28">
      <c r="A25" s="1">
        <v>20007</v>
      </c>
      <c r="B25" s="1">
        <v>2</v>
      </c>
      <c r="C25" s="1">
        <v>2</v>
      </c>
      <c r="D25" s="1" t="s">
        <v>177</v>
      </c>
      <c r="E25" s="1">
        <f t="shared" ref="E25:E28" si="2">A24</f>
        <v>20006</v>
      </c>
      <c r="F25" s="1" t="b">
        <v>0</v>
      </c>
      <c r="G25" s="1">
        <v>4000</v>
      </c>
      <c r="H25" s="28" t="s">
        <v>176</v>
      </c>
      <c r="I25" s="1">
        <v>1</v>
      </c>
      <c r="J25" s="1">
        <v>1</v>
      </c>
      <c r="K25" s="1">
        <v>7</v>
      </c>
      <c r="L25" s="1">
        <v>-1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0" customHeight="1" spans="1:28">
      <c r="A26" s="1">
        <v>20008</v>
      </c>
      <c r="B26" s="1">
        <v>2</v>
      </c>
      <c r="C26" s="1">
        <v>2</v>
      </c>
      <c r="D26" s="1" t="s">
        <v>177</v>
      </c>
      <c r="E26" s="1">
        <f t="shared" si="2"/>
        <v>20007</v>
      </c>
      <c r="F26" s="1" t="b">
        <v>0</v>
      </c>
      <c r="G26" s="1">
        <v>6000</v>
      </c>
      <c r="H26" s="28" t="s">
        <v>176</v>
      </c>
      <c r="I26" s="1">
        <v>1</v>
      </c>
      <c r="J26" s="1">
        <v>1</v>
      </c>
      <c r="K26" s="1">
        <v>7</v>
      </c>
      <c r="L26" s="1">
        <v>-1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0" customHeight="1" spans="1:28">
      <c r="A27" s="1">
        <v>20009</v>
      </c>
      <c r="B27" s="1">
        <v>2</v>
      </c>
      <c r="C27" s="1">
        <v>2</v>
      </c>
      <c r="D27" s="1" t="s">
        <v>177</v>
      </c>
      <c r="E27" s="1">
        <f t="shared" si="2"/>
        <v>20008</v>
      </c>
      <c r="F27" s="1" t="b">
        <v>0</v>
      </c>
      <c r="G27" s="1">
        <v>8000</v>
      </c>
      <c r="H27" s="28" t="s">
        <v>176</v>
      </c>
      <c r="I27" s="1">
        <v>1</v>
      </c>
      <c r="J27" s="1">
        <v>1</v>
      </c>
      <c r="K27" s="1">
        <v>7</v>
      </c>
      <c r="L27" s="1">
        <v>-1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0" customHeight="1" spans="1:28">
      <c r="A28" s="1">
        <v>20010</v>
      </c>
      <c r="B28" s="1">
        <v>2</v>
      </c>
      <c r="C28" s="1">
        <v>2</v>
      </c>
      <c r="D28" s="1" t="s">
        <v>177</v>
      </c>
      <c r="E28" s="1">
        <f t="shared" si="2"/>
        <v>20009</v>
      </c>
      <c r="F28" s="1" t="b">
        <v>0</v>
      </c>
      <c r="G28" s="1">
        <v>10000</v>
      </c>
      <c r="H28" s="28" t="s">
        <v>176</v>
      </c>
      <c r="I28" s="1">
        <v>1</v>
      </c>
      <c r="J28" s="1">
        <v>1</v>
      </c>
      <c r="K28" s="1">
        <v>7</v>
      </c>
      <c r="L28" s="1">
        <v>-1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0" customHeight="1" spans="1:28">
      <c r="A29" s="1">
        <v>20011</v>
      </c>
      <c r="B29" s="1">
        <v>2</v>
      </c>
      <c r="C29" s="1">
        <v>3</v>
      </c>
      <c r="D29" s="1" t="s">
        <v>178</v>
      </c>
      <c r="F29" s="1" t="b">
        <v>1</v>
      </c>
      <c r="G29" s="1">
        <v>4000</v>
      </c>
      <c r="H29" s="28" t="s">
        <v>176</v>
      </c>
      <c r="I29" s="1">
        <v>1</v>
      </c>
      <c r="J29" s="1">
        <v>1</v>
      </c>
      <c r="K29" s="1">
        <v>7</v>
      </c>
      <c r="L29" s="1">
        <v>-1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0" customHeight="1" spans="1:28">
      <c r="A30" s="1">
        <v>20012</v>
      </c>
      <c r="B30" s="1">
        <v>2</v>
      </c>
      <c r="C30" s="1">
        <v>3</v>
      </c>
      <c r="D30" s="1" t="s">
        <v>178</v>
      </c>
      <c r="E30" s="1">
        <f t="shared" ref="E30:E33" si="3">A29</f>
        <v>20011</v>
      </c>
      <c r="F30" s="1" t="b">
        <v>0</v>
      </c>
      <c r="G30" s="1">
        <v>8000</v>
      </c>
      <c r="H30" s="28" t="s">
        <v>176</v>
      </c>
      <c r="I30" s="1">
        <v>1</v>
      </c>
      <c r="J30" s="1">
        <v>1</v>
      </c>
      <c r="K30" s="1">
        <v>7</v>
      </c>
      <c r="L30" s="1">
        <v>-1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0" customHeight="1" spans="1:28">
      <c r="A31" s="1">
        <v>20013</v>
      </c>
      <c r="B31" s="1">
        <v>2</v>
      </c>
      <c r="C31" s="1">
        <v>3</v>
      </c>
      <c r="D31" s="1" t="s">
        <v>178</v>
      </c>
      <c r="E31" s="1">
        <f t="shared" si="3"/>
        <v>20012</v>
      </c>
      <c r="F31" s="1" t="b">
        <v>0</v>
      </c>
      <c r="G31" s="1">
        <v>12000</v>
      </c>
      <c r="H31" s="28" t="s">
        <v>176</v>
      </c>
      <c r="I31" s="1">
        <v>1</v>
      </c>
      <c r="J31" s="1">
        <v>1</v>
      </c>
      <c r="K31" s="1">
        <v>7</v>
      </c>
      <c r="L31" s="1">
        <v>-1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0" customHeight="1" spans="1:28">
      <c r="A32" s="1">
        <v>20014</v>
      </c>
      <c r="B32" s="1">
        <v>2</v>
      </c>
      <c r="C32" s="1">
        <v>3</v>
      </c>
      <c r="D32" s="1" t="s">
        <v>178</v>
      </c>
      <c r="E32" s="1">
        <f t="shared" si="3"/>
        <v>20013</v>
      </c>
      <c r="F32" s="1" t="b">
        <v>0</v>
      </c>
      <c r="G32" s="1">
        <v>16000</v>
      </c>
      <c r="H32" s="28" t="s">
        <v>176</v>
      </c>
      <c r="I32" s="1">
        <v>1</v>
      </c>
      <c r="J32" s="1">
        <v>1</v>
      </c>
      <c r="K32" s="1">
        <v>7</v>
      </c>
      <c r="L32" s="1">
        <v>-1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="34" customFormat="1" ht="20" customHeight="1" spans="1:28">
      <c r="A33" s="10">
        <v>20015</v>
      </c>
      <c r="B33" s="10">
        <v>2</v>
      </c>
      <c r="C33" s="10">
        <v>3</v>
      </c>
      <c r="D33" s="10" t="s">
        <v>178</v>
      </c>
      <c r="E33" s="10">
        <f t="shared" si="3"/>
        <v>20014</v>
      </c>
      <c r="F33" s="10" t="b">
        <v>0</v>
      </c>
      <c r="G33" s="10">
        <v>20000</v>
      </c>
      <c r="H33" s="37" t="s">
        <v>176</v>
      </c>
      <c r="I33" s="10">
        <v>1</v>
      </c>
      <c r="J33" s="10">
        <v>1</v>
      </c>
      <c r="K33" s="10">
        <v>7</v>
      </c>
      <c r="L33" s="10">
        <v>-1</v>
      </c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 ht="20" customHeight="1" spans="1:28">
      <c r="A34" s="1">
        <v>30001</v>
      </c>
      <c r="B34" s="1">
        <v>3</v>
      </c>
      <c r="C34" s="1">
        <v>10</v>
      </c>
      <c r="D34" s="1" t="s">
        <v>179</v>
      </c>
      <c r="F34" s="1" t="b">
        <v>1</v>
      </c>
      <c r="G34" s="1">
        <v>7</v>
      </c>
      <c r="H34" s="28" t="s">
        <v>180</v>
      </c>
      <c r="I34" s="1">
        <v>0</v>
      </c>
      <c r="J34" s="1">
        <v>1</v>
      </c>
      <c r="K34" s="1">
        <v>0</v>
      </c>
      <c r="L34" s="1">
        <v>-1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ht="20" customHeight="1" spans="1:28">
      <c r="A35" s="1">
        <v>30002</v>
      </c>
      <c r="B35" s="1">
        <v>3</v>
      </c>
      <c r="C35" s="1">
        <v>10</v>
      </c>
      <c r="D35" s="1" t="s">
        <v>179</v>
      </c>
      <c r="E35" s="1">
        <f t="shared" ref="E35:E38" si="4">A34</f>
        <v>30001</v>
      </c>
      <c r="F35" s="1" t="b">
        <v>0</v>
      </c>
      <c r="G35" s="1">
        <v>10</v>
      </c>
      <c r="H35" s="28" t="s">
        <v>181</v>
      </c>
      <c r="I35" s="1">
        <v>0</v>
      </c>
      <c r="J35" s="1">
        <v>1</v>
      </c>
      <c r="K35" s="1">
        <v>0</v>
      </c>
      <c r="L35" s="1">
        <v>-1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ht="20" customHeight="1" spans="1:28">
      <c r="A36" s="1">
        <v>30003</v>
      </c>
      <c r="B36" s="1">
        <v>3</v>
      </c>
      <c r="C36" s="1">
        <v>10</v>
      </c>
      <c r="D36" s="1" t="s">
        <v>179</v>
      </c>
      <c r="E36" s="1">
        <f t="shared" si="4"/>
        <v>30002</v>
      </c>
      <c r="F36" s="1" t="b">
        <v>0</v>
      </c>
      <c r="G36" s="1">
        <v>14</v>
      </c>
      <c r="H36" s="28" t="s">
        <v>182</v>
      </c>
      <c r="I36" s="1">
        <v>0</v>
      </c>
      <c r="J36" s="1">
        <v>1</v>
      </c>
      <c r="K36" s="1">
        <v>0</v>
      </c>
      <c r="L36" s="1">
        <v>-1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ht="20" customHeight="1" spans="1:28">
      <c r="A37" s="1">
        <v>30004</v>
      </c>
      <c r="B37" s="1">
        <v>3</v>
      </c>
      <c r="C37" s="1">
        <v>10</v>
      </c>
      <c r="D37" s="1" t="s">
        <v>179</v>
      </c>
      <c r="E37" s="1">
        <f t="shared" si="4"/>
        <v>30003</v>
      </c>
      <c r="F37" s="1" t="b">
        <v>0</v>
      </c>
      <c r="G37" s="1">
        <v>20</v>
      </c>
      <c r="H37" s="28" t="s">
        <v>183</v>
      </c>
      <c r="I37" s="1">
        <v>0</v>
      </c>
      <c r="J37" s="1">
        <v>1</v>
      </c>
      <c r="K37" s="1">
        <v>0</v>
      </c>
      <c r="L37" s="1">
        <v>-1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ht="20" customHeight="1" spans="1:28">
      <c r="A38" s="1">
        <v>30005</v>
      </c>
      <c r="B38" s="1">
        <v>3</v>
      </c>
      <c r="C38" s="1">
        <v>10</v>
      </c>
      <c r="D38" s="1" t="s">
        <v>179</v>
      </c>
      <c r="E38" s="1">
        <f t="shared" si="4"/>
        <v>30004</v>
      </c>
      <c r="F38" s="1" t="b">
        <v>0</v>
      </c>
      <c r="G38" s="1">
        <v>30</v>
      </c>
      <c r="H38" s="28" t="s">
        <v>184</v>
      </c>
      <c r="I38" s="1">
        <v>0</v>
      </c>
      <c r="J38" s="1">
        <v>1</v>
      </c>
      <c r="K38" s="1">
        <v>0</v>
      </c>
      <c r="L38" s="1">
        <v>-1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44" spans="4:8">
      <c r="D44" s="9" t="s">
        <v>13</v>
      </c>
      <c r="E44" s="9"/>
      <c r="F44" s="9"/>
      <c r="G44" s="9"/>
      <c r="H44" s="9"/>
    </row>
    <row r="45" spans="4:8">
      <c r="D45" s="35"/>
      <c r="E45" s="35" t="s">
        <v>185</v>
      </c>
      <c r="F45" s="35" t="s">
        <v>186</v>
      </c>
      <c r="G45" s="35" t="s">
        <v>187</v>
      </c>
      <c r="H45" s="46" t="s">
        <v>188</v>
      </c>
    </row>
    <row r="46" spans="4:8">
      <c r="D46" s="35" t="s">
        <v>189</v>
      </c>
      <c r="E46" s="35">
        <v>5</v>
      </c>
      <c r="F46" s="9">
        <v>50</v>
      </c>
      <c r="G46" s="35">
        <v>20</v>
      </c>
      <c r="H46" s="46" cm="1">
        <f t="array" ref="H46">IF(VLOOKUP(每日任务产出!$I$25,mission!$D$46:$F$60,3,FALSE)&lt;=每日任务产出!$F$5*60/每日任务产出!$C$7,INDEX(mission!$G$46:$G$60,MATCH(每日任务产出!$I$25,mission!$D$46:$D$60,0)),0)</f>
        <v>20</v>
      </c>
    </row>
    <row r="47" spans="4:8">
      <c r="D47" s="35" t="s">
        <v>190</v>
      </c>
      <c r="E47" s="9">
        <v>5</v>
      </c>
      <c r="F47" s="9">
        <v>100</v>
      </c>
      <c r="G47" s="35">
        <v>20</v>
      </c>
      <c r="H47" s="46" cm="1">
        <f t="array" ref="H47">IF(VLOOKUP(每日任务产出!$J$25,mission!$D$46:$F$60,3,FALSE)&lt;=每日任务产出!$F$5*60/每日任务产出!$C$7,INDEX(mission!$G$46:$G$60,MATCH(每日任务产出!$J$25,mission!$D$46:$D$60,0)),0)</f>
        <v>0</v>
      </c>
    </row>
    <row r="48" spans="4:8">
      <c r="D48" s="35" t="s">
        <v>191</v>
      </c>
      <c r="E48" s="35">
        <v>5</v>
      </c>
      <c r="F48" s="9">
        <v>150</v>
      </c>
      <c r="G48" s="35">
        <v>20</v>
      </c>
      <c r="H48" s="46" cm="1">
        <f t="array" ref="H48">IF(VLOOKUP(每日任务产出!$K$25,mission!$D$46:$F$60,3,FALSE)&lt;=每日任务产出!$F$5*60/每日任务产出!$C$7,INDEX(mission!$G$46:$G$60,MATCH(每日任务产出!$K$25,mission!$D$46:$D$60,0)),0)</f>
        <v>0</v>
      </c>
    </row>
    <row r="49" spans="4:8">
      <c r="D49" s="35" t="s">
        <v>192</v>
      </c>
      <c r="E49" s="9">
        <v>5</v>
      </c>
      <c r="F49" s="9">
        <v>1000</v>
      </c>
      <c r="G49" s="35">
        <v>20</v>
      </c>
      <c r="H49" s="46" cm="1">
        <f t="array" ref="H49">IF(VLOOKUP(每日任务产出!$L$25,mission!$D$46:$F$60,3,FALSE)&lt;=每日任务产出!$C$8,INDEX(mission!$G$46:$G$60,MATCH(每日任务产出!$L$25,mission!$D$46:$D$60,0)),0)</f>
        <v>20</v>
      </c>
    </row>
    <row r="50" spans="4:8">
      <c r="D50" s="35" t="s">
        <v>193</v>
      </c>
      <c r="E50" s="35">
        <v>5</v>
      </c>
      <c r="F50" s="9">
        <v>2000</v>
      </c>
      <c r="G50" s="35">
        <v>20</v>
      </c>
      <c r="H50" s="46" cm="1">
        <f t="array" ref="H50">IF(VLOOKUP(每日任务产出!$M$25,mission!$D$46:$F$60,3,FALSE)&lt;=每日任务产出!$C$8,INDEX(mission!$G$46:$G$60,MATCH(每日任务产出!$M$25,mission!$D$46:$D$60,0)),0)</f>
        <v>0</v>
      </c>
    </row>
    <row r="51" spans="4:8">
      <c r="D51" s="35" t="s">
        <v>194</v>
      </c>
      <c r="E51" s="9">
        <v>5</v>
      </c>
      <c r="F51" s="9">
        <v>3000</v>
      </c>
      <c r="G51" s="35">
        <v>20</v>
      </c>
      <c r="H51" s="46" cm="1">
        <f t="array" ref="H51">IF(VLOOKUP(每日任务产出!$N$25,mission!$D$46:$F$60,3,FALSE)&lt;=每日任务产出!$C$8,INDEX(mission!$G$46:$G$60,MATCH(每日任务产出!$N$25,mission!$D$46:$D$60,0)),0)</f>
        <v>0</v>
      </c>
    </row>
    <row r="52" spans="4:8">
      <c r="D52" s="35" t="s">
        <v>195</v>
      </c>
      <c r="E52" s="35">
        <v>5</v>
      </c>
      <c r="F52" s="9">
        <v>1000</v>
      </c>
      <c r="G52" s="35">
        <v>20</v>
      </c>
      <c r="H52" s="46" cm="1">
        <f t="array" ref="H52">IF(VLOOKUP(每日任务产出!$O$25,mission!$D$46:$F$60,3,FALSE)&lt;=每日任务产出!$C$8*每日任务产出!$C$4,INDEX(mission!$G$46:$G$60,MATCH(每日任务产出!$O$25,mission!$D$46:$D$60,0)),0)</f>
        <v>0</v>
      </c>
    </row>
    <row r="53" spans="4:8">
      <c r="D53" s="35" t="s">
        <v>196</v>
      </c>
      <c r="E53" s="9">
        <v>5</v>
      </c>
      <c r="F53" s="9">
        <v>2000</v>
      </c>
      <c r="G53" s="35">
        <v>20</v>
      </c>
      <c r="H53" s="46" cm="1">
        <f t="array" ref="H53">IF(VLOOKUP(每日任务产出!$P$25,mission!$D$46:$F$60,3,FALSE)&lt;=每日任务产出!$C$8*每日任务产出!$C$4,INDEX(mission!$G$46:$G$60,MATCH(每日任务产出!$P$25,mission!$D$46:$D$60,0)),0)</f>
        <v>0</v>
      </c>
    </row>
    <row r="54" spans="4:8">
      <c r="D54" s="35" t="s">
        <v>197</v>
      </c>
      <c r="E54" s="35">
        <v>5</v>
      </c>
      <c r="F54" s="9">
        <v>3000</v>
      </c>
      <c r="G54" s="35">
        <v>20</v>
      </c>
      <c r="H54" s="46" cm="1">
        <f t="array" ref="H54">IF(VLOOKUP(每日任务产出!$Q$25,mission!$D$46:$F$60,3,FALSE)&lt;=每日任务产出!$C$8*每日任务产出!$C$4,INDEX(mission!$G$46:$G$60,MATCH(每日任务产出!$Q$25,mission!$D$46:$D$60,0)),0)</f>
        <v>0</v>
      </c>
    </row>
    <row r="55" spans="4:8">
      <c r="D55" s="35" t="s">
        <v>198</v>
      </c>
      <c r="E55" s="9">
        <v>5</v>
      </c>
      <c r="F55" s="9">
        <v>20</v>
      </c>
      <c r="G55" s="35">
        <v>20</v>
      </c>
      <c r="H55" s="46" cm="1">
        <f t="array" ref="H55">IF(VLOOKUP(每日任务产出!$R$25,mission!$D$46:$F$60,3,FALSE)&lt;=每日任务产出!$F$5*60/每日任务产出!$C$7,INDEX(mission!$G$46:$G$60,MATCH(每日任务产出!$R$25,mission!$D$46:$D$60,0)),0)</f>
        <v>20</v>
      </c>
    </row>
    <row r="56" spans="4:8">
      <c r="D56" s="35" t="s">
        <v>199</v>
      </c>
      <c r="E56" s="35">
        <v>10</v>
      </c>
      <c r="F56" s="9">
        <v>100</v>
      </c>
      <c r="G56" s="35">
        <v>20</v>
      </c>
      <c r="H56" s="46" cm="1">
        <f t="array" ref="H56">IF(VLOOKUP(每日任务产出!$S$25,mission!$D$46:$F$60,3,FALSE)&lt;=每日任务产出!$F$5*60/每日任务产出!$C$7,INDEX(mission!$G$46:$G$60,MATCH(每日任务产出!$S$25,mission!$D$46:$D$60,0)),0)</f>
        <v>0</v>
      </c>
    </row>
    <row r="57" spans="4:8">
      <c r="D57" s="35" t="s">
        <v>200</v>
      </c>
      <c r="E57" s="9">
        <v>10</v>
      </c>
      <c r="F57" s="9">
        <v>180</v>
      </c>
      <c r="G57" s="35">
        <v>20</v>
      </c>
      <c r="H57" s="46" cm="1">
        <f t="array" ref="H57">IF(VLOOKUP(每日任务产出!$T$25,mission!$D$46:$F$60,3,FALSE)&lt;=每日任务产出!$F$5*60,INDEX(mission!$G$46:$G$60,MATCH(每日任务产出!$T$25,mission!$D$46:$D$60,0)),0)</f>
        <v>20</v>
      </c>
    </row>
    <row r="58" spans="4:8">
      <c r="D58" s="35" t="s">
        <v>201</v>
      </c>
      <c r="E58" s="35">
        <v>5</v>
      </c>
      <c r="F58" s="9">
        <v>1000</v>
      </c>
      <c r="G58" s="35">
        <v>20</v>
      </c>
      <c r="H58" s="46" cm="1">
        <f t="array" ref="H58">IF(VLOOKUP(每日任务产出!$U$25,mission!$D$46:$F$60,3,FALSE)&lt;=每日任务产出!$F$5*60,INDEX(mission!$G$46:$G$60,MATCH(每日任务产出!$U$25,mission!$D$46:$D$60,0)),0)</f>
        <v>0</v>
      </c>
    </row>
    <row r="59" spans="4:8">
      <c r="D59" s="35" t="s">
        <v>202</v>
      </c>
      <c r="E59" s="9">
        <v>5</v>
      </c>
      <c r="F59" s="9">
        <v>1000</v>
      </c>
      <c r="G59" s="35">
        <v>20</v>
      </c>
      <c r="H59" s="46" cm="1">
        <f t="array" ref="H59">IF(VLOOKUP(每日任务产出!$V$25,mission!$D$46:$F$60,3,FALSE)&lt;=每日任务产出!$F$5*60,INDEX(mission!$G$46:$G$60,MATCH(每日任务产出!$V$25,mission!$D$46:$D$60,0)),0)</f>
        <v>0</v>
      </c>
    </row>
    <row r="60" spans="4:8">
      <c r="D60" s="35" t="s">
        <v>203</v>
      </c>
      <c r="E60" s="35">
        <v>10</v>
      </c>
      <c r="F60" s="9">
        <v>1500</v>
      </c>
      <c r="G60" s="35">
        <v>20</v>
      </c>
      <c r="H60" s="46" cm="1">
        <f t="array" ref="H60">IF(VLOOKUP(每日任务产出!$W$25,mission!$D$46:$F$60,3,FALSE)&lt;=每日任务产出!$F$5*60,INDEX(mission!$G$46:$G$60,MATCH(每日任务产出!$W$25,mission!$D$46:$D$60,0)),0)</f>
        <v>0</v>
      </c>
    </row>
    <row r="62" spans="4:14">
      <c r="D62" s="9" t="s">
        <v>204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4:14">
      <c r="D63" s="35"/>
      <c r="E63" s="35" t="s">
        <v>185</v>
      </c>
      <c r="F63" s="35" t="s">
        <v>186</v>
      </c>
      <c r="G63" s="35" t="s">
        <v>187</v>
      </c>
      <c r="H63" s="46" t="s">
        <v>188</v>
      </c>
      <c r="I63" s="46"/>
      <c r="J63" s="46"/>
      <c r="K63" s="46"/>
      <c r="L63" s="46"/>
      <c r="M63" s="46"/>
      <c r="N63" s="46"/>
    </row>
    <row r="64" spans="4:14">
      <c r="D64" s="35" t="s">
        <v>205</v>
      </c>
      <c r="E64" s="35">
        <f>E46*5</f>
        <v>25</v>
      </c>
      <c r="F64" s="9">
        <v>200</v>
      </c>
      <c r="G64" s="35">
        <f>G46*2</f>
        <v>40</v>
      </c>
      <c r="H64" s="52" cm="1">
        <f t="array" ref="H64">IF(VLOOKUP(每周任务产出!$I$25,mission!$D$64:$F$78,3,FALSE)&lt;=每周任务产出!$F$5*60/每周任务产出!$C$7,INDEX(mission!$G$64:$G$78,MATCH(每周任务产出!$I$25,mission!$D$64:$D$78,0)),0)</f>
        <v>0</v>
      </c>
      <c r="I64" s="52" cm="1">
        <f t="array" ref="I64">IF(H64=0,IF(VLOOKUP(每周任务产出!$I$25,mission!$D$64:$F$78,3,FALSE)&lt;=每周任务产出!$F$5*60/每周任务产出!$C$7*(COLUMN()-7),INDEX(mission!$G$64:$G$78,MATCH(每周任务产出!$I$25,mission!$D$64:$D$78,0)),0),H64)</f>
        <v>0</v>
      </c>
      <c r="J64" s="52" cm="1">
        <f t="array" ref="J64">IF(I64=0,IF(VLOOKUP(每周任务产出!$I$25,mission!$D$64:$F$78,3,FALSE)&lt;=每周任务产出!$F$5*60/每周任务产出!$C$7*(COLUMN()-7),INDEX(mission!$G$64:$G$78,MATCH(每周任务产出!$I$25,mission!$D$64:$D$78,0)),0),I64)</f>
        <v>40</v>
      </c>
      <c r="K64" s="52" cm="1">
        <f t="array" ref="K64">IF(J64=0,IF(VLOOKUP(每周任务产出!$I$25,mission!$D$64:$F$78,3,FALSE)&lt;=每周任务产出!$F$5*60/每周任务产出!$C$7*(COLUMN()-7),INDEX(mission!$G$64:$G$78,MATCH(每周任务产出!$I$25,mission!$D$64:$D$78,0)),0),J64)</f>
        <v>40</v>
      </c>
      <c r="L64" s="52" cm="1">
        <f t="array" ref="L64">IF(K64=0,IF(VLOOKUP(每周任务产出!$I$25,mission!$D$64:$F$78,3,FALSE)&lt;=每周任务产出!$F$5*60/每周任务产出!$C$7*(COLUMN()-7),INDEX(mission!$G$64:$G$78,MATCH(每周任务产出!$I$25,mission!$D$64:$D$78,0)),0),K64)</f>
        <v>40</v>
      </c>
      <c r="M64" s="52" cm="1">
        <f t="array" ref="M64">IF(L64=0,IF(VLOOKUP(每周任务产出!$I$25,mission!$D$64:$F$78,3,FALSE)&lt;=每周任务产出!$F$5*60/每周任务产出!$C$7*(COLUMN()-7),INDEX(mission!$G$64:$G$78,MATCH(每周任务产出!$I$25,mission!$D$64:$D$78,0)),0),L64)</f>
        <v>40</v>
      </c>
      <c r="N64" s="52" cm="1">
        <f t="array" ref="N64">IF(M64=0,IF(VLOOKUP(每周任务产出!$I$25,mission!$D$64:$F$78,3,FALSE)&lt;=每周任务产出!$F$5*60/每周任务产出!$C$7*(COLUMN()-7),INDEX(mission!$G$64:$G$78,MATCH(每周任务产出!$I$25,mission!$D$64:$D$78,0)),0),M64)</f>
        <v>40</v>
      </c>
    </row>
    <row r="65" spans="4:14">
      <c r="D65" s="35" t="s">
        <v>206</v>
      </c>
      <c r="E65" s="35">
        <f t="shared" ref="E65:E78" si="5">E47*5</f>
        <v>25</v>
      </c>
      <c r="F65" s="9">
        <v>400</v>
      </c>
      <c r="G65" s="35">
        <f t="shared" ref="G65:G78" si="6">G47*2</f>
        <v>40</v>
      </c>
      <c r="H65" s="46" cm="1">
        <f t="array" ref="H65">IF(VLOOKUP(每周任务产出!$J$25,mission!$D$64:$F$78,3,FALSE)&lt;=每周任务产出!$F$5*60/每周任务产出!$C$7,INDEX(mission!$G$64:$G$78,MATCH(每周任务产出!$J$25,mission!$D$64:$D$78,0)),0)</f>
        <v>0</v>
      </c>
      <c r="I65" s="52" cm="1">
        <f t="array" ref="I65">IF(H65=0,IF(VLOOKUP(每周任务产出!$J$25,mission!$D$64:$F$78,3,FALSE)&lt;=每周任务产出!$F$5*60/每周任务产出!$C$7*(COLUMN()-7),INDEX(mission!$G$64:$G$78,MATCH(每周任务产出!$J$25,mission!$D$64:$D$78,0)),0),H65)</f>
        <v>0</v>
      </c>
      <c r="J65" s="52" cm="1">
        <f t="array" ref="J65">IF(I65=0,IF(VLOOKUP(每周任务产出!$J$25,mission!$D$64:$F$78,3,FALSE)&lt;=每周任务产出!$F$5*60/每周任务产出!$C$7*(COLUMN()-7),INDEX(mission!$G$64:$G$78,MATCH(每周任务产出!$J$25,mission!$D$64:$D$78,0)),0),I65)</f>
        <v>0</v>
      </c>
      <c r="K65" s="52" cm="1">
        <f t="array" ref="K65">IF(J65=0,IF(VLOOKUP(每周任务产出!$J$25,mission!$D$64:$F$78,3,FALSE)&lt;=每周任务产出!$F$5*60/每周任务产出!$C$7*(COLUMN()-7),INDEX(mission!$G$64:$G$78,MATCH(每周任务产出!$J$25,mission!$D$64:$D$78,0)),0),J65)</f>
        <v>0</v>
      </c>
      <c r="L65" s="52" cm="1">
        <f t="array" ref="L65">IF(K65=0,IF(VLOOKUP(每周任务产出!$J$25,mission!$D$64:$F$78,3,FALSE)&lt;=每周任务产出!$F$5*60/每周任务产出!$C$7*(COLUMN()-7),INDEX(mission!$G$64:$G$78,MATCH(每周任务产出!$J$25,mission!$D$64:$D$78,0)),0),K65)</f>
        <v>0</v>
      </c>
      <c r="M65" s="52" cm="1">
        <f t="array" ref="M65">IF(L65=0,IF(VLOOKUP(每周任务产出!$J$25,mission!$D$64:$F$78,3,FALSE)&lt;=每周任务产出!$F$5*60/每周任务产出!$C$7*(COLUMN()-7),INDEX(mission!$G$64:$G$78,MATCH(每周任务产出!$J$25,mission!$D$64:$D$78,0)),0),L65)</f>
        <v>40</v>
      </c>
      <c r="N65" s="52" cm="1">
        <f t="array" ref="N65">IF(M65=0,IF(VLOOKUP(每周任务产出!$J$25,mission!$D$64:$F$78,3,FALSE)&lt;=每周任务产出!$F$5*60/每周任务产出!$C$7*(COLUMN()-7),INDEX(mission!$G$64:$G$78,MATCH(每周任务产出!$J$25,mission!$D$64:$D$78,0)),0),M65)</f>
        <v>40</v>
      </c>
    </row>
    <row r="66" spans="4:14">
      <c r="D66" s="35" t="s">
        <v>207</v>
      </c>
      <c r="E66" s="35">
        <f t="shared" si="5"/>
        <v>25</v>
      </c>
      <c r="F66" s="9">
        <v>600</v>
      </c>
      <c r="G66" s="35">
        <f t="shared" si="6"/>
        <v>40</v>
      </c>
      <c r="H66" s="46" cm="1">
        <f t="array" ref="H66">IF(VLOOKUP(每周任务产出!$K$25,mission!$D$64:$F$78,3,FALSE)&lt;=每周任务产出!$F$5*60/每周任务产出!$C$7,INDEX(mission!$G$64:$G$78,MATCH(每周任务产出!$K$25,mission!$D$64:$D$78,0)),0)</f>
        <v>0</v>
      </c>
      <c r="I66" s="52" cm="1">
        <f t="array" ref="I66">IF(H66=0,IF(VLOOKUP(每周任务产出!$K$25,mission!$D$64:$F$78,3,FALSE)&lt;=每周任务产出!$F$5*60/每周任务产出!$C$7*(COLUMN()-7),INDEX(mission!$G$64:$G$78,MATCH(每周任务产出!$K$25,mission!$D$64:$D$78,0)),0),H66)</f>
        <v>0</v>
      </c>
      <c r="J66" s="52" cm="1">
        <f t="array" ref="J66">IF(I66=0,IF(VLOOKUP(每周任务产出!$K$25,mission!$D$64:$F$78,3,FALSE)&lt;=每周任务产出!$F$5*60/每周任务产出!$C$7*(COLUMN()-7),INDEX(mission!$G$64:$G$78,MATCH(每周任务产出!$K$25,mission!$D$64:$D$78,0)),0),I66)</f>
        <v>0</v>
      </c>
      <c r="K66" s="52" cm="1">
        <f t="array" ref="K66">IF(J66=0,IF(VLOOKUP(每周任务产出!$K$25,mission!$D$64:$F$78,3,FALSE)&lt;=每周任务产出!$F$5*60/每周任务产出!$C$7*(COLUMN()-7),INDEX(mission!$G$64:$G$78,MATCH(每周任务产出!$K$25,mission!$D$64:$D$78,0)),0),J66)</f>
        <v>0</v>
      </c>
      <c r="L66" s="52" cm="1">
        <f t="array" ref="L66">IF(K66=0,IF(VLOOKUP(每周任务产出!$K$25,mission!$D$64:$F$78,3,FALSE)&lt;=每周任务产出!$F$5*60/每周任务产出!$C$7*(COLUMN()-7),INDEX(mission!$G$64:$G$78,MATCH(每周任务产出!$K$25,mission!$D$64:$D$78,0)),0),K66)</f>
        <v>0</v>
      </c>
      <c r="M66" s="52" cm="1">
        <f t="array" ref="M66">IF(L66=0,IF(VLOOKUP(每周任务产出!$K$25,mission!$D$64:$F$78,3,FALSE)&lt;=每周任务产出!$F$5*60/每周任务产出!$C$7*(COLUMN()-7),INDEX(mission!$G$64:$G$78,MATCH(每周任务产出!$K$25,mission!$D$64:$D$78,0)),0),L66)</f>
        <v>0</v>
      </c>
      <c r="N66" s="52" cm="1">
        <f t="array" ref="N66">IF(M66=0,IF(VLOOKUP(每周任务产出!$K$25,mission!$D$64:$F$78,3,FALSE)&lt;=每周任务产出!$F$5*60/每周任务产出!$C$7*(COLUMN()-7),INDEX(mission!$G$64:$G$78,MATCH(每周任务产出!$K$25,mission!$D$64:$D$78,0)),0),M66)</f>
        <v>0</v>
      </c>
    </row>
    <row r="67" spans="4:14">
      <c r="D67" s="35" t="s">
        <v>208</v>
      </c>
      <c r="E67" s="35">
        <f t="shared" si="5"/>
        <v>25</v>
      </c>
      <c r="F67" s="9">
        <v>800</v>
      </c>
      <c r="G67" s="35">
        <f t="shared" si="6"/>
        <v>40</v>
      </c>
      <c r="H67" s="46" cm="1">
        <f t="array" ref="H67">IF(VLOOKUP(每周任务产出!$L$25,mission!$D$64:$F$78,3,FALSE)&lt;=每周任务产出!$F$5*60/每周任务产出!$C$7,INDEX(mission!$G$64:$G$78,MATCH(每周任务产出!$L$25,mission!$D$64:$D$78,0)),0)</f>
        <v>0</v>
      </c>
      <c r="I67" s="52" cm="1">
        <f t="array" ref="I67">IF(H67=0,IF(VLOOKUP(每周任务产出!$L$25,mission!$D$64:$F$78,3,FALSE)&lt;=每周任务产出!$F$5*60/每周任务产出!$C$7*(COLUMN()-7),INDEX(mission!$G$64:$G$78,MATCH(每周任务产出!$L$25,mission!$D$64:$D$78,0)),0),H67)</f>
        <v>0</v>
      </c>
      <c r="J67" s="52" cm="1">
        <f t="array" ref="J67">IF(I67=0,IF(VLOOKUP(每周任务产出!$L$25,mission!$D$64:$F$78,3,FALSE)&lt;=每周任务产出!$F$5*60/每周任务产出!$C$7*(COLUMN()-7),INDEX(mission!$G$64:$G$78,MATCH(每周任务产出!$L$25,mission!$D$64:$D$78,0)),0),I67)</f>
        <v>0</v>
      </c>
      <c r="K67" s="52" cm="1">
        <f t="array" ref="K67">IF(J67=0,IF(VLOOKUP(每周任务产出!$L$25,mission!$D$64:$F$78,3,FALSE)&lt;=每周任务产出!$F$5*60/每周任务产出!$C$7*(COLUMN()-7),INDEX(mission!$G$64:$G$78,MATCH(每周任务产出!$L$25,mission!$D$64:$D$78,0)),0),J67)</f>
        <v>0</v>
      </c>
      <c r="L67" s="52" cm="1">
        <f t="array" ref="L67">IF(K67=0,IF(VLOOKUP(每周任务产出!$L$25,mission!$D$64:$F$78,3,FALSE)&lt;=每周任务产出!$F$5*60/每周任务产出!$C$7*(COLUMN()-7),INDEX(mission!$G$64:$G$78,MATCH(每周任务产出!$L$25,mission!$D$64:$D$78,0)),0),K67)</f>
        <v>0</v>
      </c>
      <c r="M67" s="52" cm="1">
        <f t="array" ref="M67">IF(L67=0,IF(VLOOKUP(每周任务产出!$L$25,mission!$D$64:$F$78,3,FALSE)&lt;=每周任务产出!$F$5*60/每周任务产出!$C$7*(COLUMN()-7),INDEX(mission!$G$64:$G$78,MATCH(每周任务产出!$L$25,mission!$D$64:$D$78,0)),0),L67)</f>
        <v>0</v>
      </c>
      <c r="N67" s="52" cm="1">
        <f t="array" ref="N67">IF(M67=0,IF(VLOOKUP(每周任务产出!$L$25,mission!$D$64:$F$78,3,FALSE)&lt;=每周任务产出!$F$5*60/每周任务产出!$C$7*(COLUMN()-7),INDEX(mission!$G$64:$G$78,MATCH(每周任务产出!$L$25,mission!$D$64:$D$78,0)),0),M67)</f>
        <v>0</v>
      </c>
    </row>
    <row r="68" spans="4:14">
      <c r="D68" s="35" t="s">
        <v>209</v>
      </c>
      <c r="E68" s="35">
        <f t="shared" si="5"/>
        <v>25</v>
      </c>
      <c r="F68" s="9">
        <v>1000</v>
      </c>
      <c r="G68" s="35">
        <f t="shared" si="6"/>
        <v>40</v>
      </c>
      <c r="H68" s="46" cm="1">
        <f t="array" ref="H68">IF(VLOOKUP(每周任务产出!$M$25,mission!$D$64:$F$78,3,FALSE)&lt;=每周任务产出!$F$5*60/每周任务产出!$C$7,INDEX(mission!$G$64:$G$78,MATCH(每周任务产出!$M$25,mission!$D$64:$D$78,0)),0)</f>
        <v>0</v>
      </c>
      <c r="I68" s="52" cm="1">
        <f t="array" ref="I68">IF(H68=0,IF(VLOOKUP(每周任务产出!$M$25,mission!$D$64:$F$78,3,FALSE)&lt;=每周任务产出!$F$5*60/每周任务产出!$C$7*(COLUMN()-7),INDEX(mission!$G$64:$G$78,MATCH(每周任务产出!$M$25,mission!$D$64:$D$78,0)),0),H68)</f>
        <v>0</v>
      </c>
      <c r="J68" s="52" cm="1">
        <f t="array" ref="J68">IF(I68=0,IF(VLOOKUP(每周任务产出!$M$25,mission!$D$64:$F$78,3,FALSE)&lt;=每周任务产出!$F$5*60/每周任务产出!$C$7*(COLUMN()-7),INDEX(mission!$G$64:$G$78,MATCH(每周任务产出!$M$25,mission!$D$64:$D$78,0)),0),I68)</f>
        <v>0</v>
      </c>
      <c r="K68" s="52" cm="1">
        <f t="array" ref="K68">IF(J68=0,IF(VLOOKUP(每周任务产出!$M$25,mission!$D$64:$F$78,3,FALSE)&lt;=每周任务产出!$F$5*60/每周任务产出!$C$7*(COLUMN()-7),INDEX(mission!$G$64:$G$78,MATCH(每周任务产出!$M$25,mission!$D$64:$D$78,0)),0),J68)</f>
        <v>0</v>
      </c>
      <c r="L68" s="52" cm="1">
        <f t="array" ref="L68">IF(K68=0,IF(VLOOKUP(每周任务产出!$M$25,mission!$D$64:$F$78,3,FALSE)&lt;=每周任务产出!$F$5*60/每周任务产出!$C$7*(COLUMN()-7),INDEX(mission!$G$64:$G$78,MATCH(每周任务产出!$M$25,mission!$D$64:$D$78,0)),0),K68)</f>
        <v>0</v>
      </c>
      <c r="M68" s="52" cm="1">
        <f t="array" ref="M68">IF(L68=0,IF(VLOOKUP(每周任务产出!$M$25,mission!$D$64:$F$78,3,FALSE)&lt;=每周任务产出!$F$5*60/每周任务产出!$C$7*(COLUMN()-7),INDEX(mission!$G$64:$G$78,MATCH(每周任务产出!$M$25,mission!$D$64:$D$78,0)),0),L68)</f>
        <v>0</v>
      </c>
      <c r="N68" s="52" cm="1">
        <f t="array" ref="N68">IF(M68=0,IF(VLOOKUP(每周任务产出!$M$25,mission!$D$64:$F$78,3,FALSE)&lt;=每周任务产出!$F$5*60/每周任务产出!$C$7*(COLUMN()-7),INDEX(mission!$G$64:$G$78,MATCH(每周任务产出!$M$25,mission!$D$64:$D$78,0)),0),M68)</f>
        <v>0</v>
      </c>
    </row>
    <row r="69" spans="4:14">
      <c r="D69" s="35" t="s">
        <v>210</v>
      </c>
      <c r="E69" s="35">
        <f t="shared" si="5"/>
        <v>25</v>
      </c>
      <c r="F69" s="9">
        <f>F64*10</f>
        <v>2000</v>
      </c>
      <c r="G69" s="35">
        <f t="shared" si="6"/>
        <v>40</v>
      </c>
      <c r="H69" s="46" cm="1">
        <f t="array" ref="H69">IF(VLOOKUP(每周任务产出!$N$25,mission!$D$64:$F$78,3,FALSE)&lt;=每周任务产出!$F$5*60/每周任务产出!$C$7*每周任务产出!$C$6,INDEX(mission!$G$64:$G$78,MATCH(每周任务产出!$N$25,mission!$D$64:$D$78,0)),0)</f>
        <v>0</v>
      </c>
      <c r="I69" s="52" cm="1">
        <f t="array" ref="I69">IF(H69=0,IF(VLOOKUP(每周任务产出!$N$25,mission!$D$64:$F$78,3,FALSE)&lt;=每周任务产出!$F$5*60/每周任务产出!$C$7*每周任务产出!$C$6*(COLUMN()-7),INDEX(mission!$G$64:$G$78,MATCH(每周任务产出!$N$25,mission!$D$64:$D$78,0)),0),H69)</f>
        <v>0</v>
      </c>
      <c r="J69" s="52" cm="1">
        <f t="array" ref="J69">IF(I69=0,IF(VLOOKUP(每周任务产出!$N$25,mission!$D$64:$F$78,3,FALSE)&lt;=每周任务产出!$F$5*60/每周任务产出!$C$7*每周任务产出!$C$6*(COLUMN()-7),INDEX(mission!$G$64:$G$78,MATCH(每周任务产出!$N$25,mission!$D$64:$D$78,0)),0),I69)</f>
        <v>40</v>
      </c>
      <c r="K69" s="52" cm="1">
        <f t="array" ref="K69">IF(J69=0,IF(VLOOKUP(每周任务产出!$N$25,mission!$D$64:$F$78,3,FALSE)&lt;=每周任务产出!$F$5*60/每周任务产出!$C$7*每周任务产出!$C$6*(COLUMN()-7),INDEX(mission!$G$64:$G$78,MATCH(每周任务产出!$N$25,mission!$D$64:$D$78,0)),0),J69)</f>
        <v>40</v>
      </c>
      <c r="L69" s="52" cm="1">
        <f t="array" ref="L69">IF(K69=0,IF(VLOOKUP(每周任务产出!$N$25,mission!$D$64:$F$78,3,FALSE)&lt;=每周任务产出!$F$5*60/每周任务产出!$C$7*每周任务产出!$C$6*(COLUMN()-7),INDEX(mission!$G$64:$G$78,MATCH(每周任务产出!$N$25,mission!$D$64:$D$78,0)),0),K69)</f>
        <v>40</v>
      </c>
      <c r="M69" s="52" cm="1">
        <f t="array" ref="M69">IF(L69=0,IF(VLOOKUP(每周任务产出!$N$25,mission!$D$64:$F$78,3,FALSE)&lt;=每周任务产出!$F$5*60/每周任务产出!$C$7*每周任务产出!$C$6*(COLUMN()-7),INDEX(mission!$G$64:$G$78,MATCH(每周任务产出!$N$25,mission!$D$64:$D$78,0)),0),L69)</f>
        <v>40</v>
      </c>
      <c r="N69" s="52" cm="1">
        <f t="array" ref="N69">IF(M69=0,IF(VLOOKUP(每周任务产出!$N$25,mission!$D$64:$F$78,3,FALSE)&lt;=每周任务产出!$F$5*60/每周任务产出!$C$7*每周任务产出!$C$6*(COLUMN()-7),INDEX(mission!$G$64:$G$78,MATCH(每周任务产出!$N$25,mission!$D$64:$D$78,0)),0),M69)</f>
        <v>40</v>
      </c>
    </row>
    <row r="70" spans="4:14">
      <c r="D70" s="35" t="s">
        <v>211</v>
      </c>
      <c r="E70" s="35">
        <f t="shared" si="5"/>
        <v>25</v>
      </c>
      <c r="F70" s="9">
        <f>F65*10</f>
        <v>4000</v>
      </c>
      <c r="G70" s="35">
        <f t="shared" si="6"/>
        <v>40</v>
      </c>
      <c r="H70" s="46" cm="1">
        <f t="array" ref="H70">IF(VLOOKUP(每周任务产出!$O$25,mission!$D$64:$F$78,3,FALSE)&lt;=每周任务产出!$F$5*60/每周任务产出!$C$7*每周任务产出!$C$6,INDEX(mission!$G$64:$G$78,MATCH(每周任务产出!$O$25,mission!$D$64:$D$78,0)),0)</f>
        <v>0</v>
      </c>
      <c r="I70" s="52" cm="1">
        <f t="array" ref="I70">IF(H70=0,IF(VLOOKUP(每周任务产出!$O$25,mission!$D$64:$F$78,3,FALSE)&lt;=每周任务产出!$F$5*60/每周任务产出!$C$7*每周任务产出!$C$6*(COLUMN()-7),INDEX(mission!$G$64:$G$78,MATCH(每周任务产出!$O$25,mission!$D$64:$D$78,0)),0),H70)</f>
        <v>0</v>
      </c>
      <c r="J70" s="52" cm="1">
        <f t="array" ref="J70">IF(I70=0,IF(VLOOKUP(每周任务产出!$O$25,mission!$D$64:$F$78,3,FALSE)&lt;=每周任务产出!$F$5*60/每周任务产出!$C$7*每周任务产出!$C$6*(COLUMN()-7),INDEX(mission!$G$64:$G$78,MATCH(每周任务产出!$O$25,mission!$D$64:$D$78,0)),0),I70)</f>
        <v>0</v>
      </c>
      <c r="K70" s="52" cm="1">
        <f t="array" ref="K70">IF(J70=0,IF(VLOOKUP(每周任务产出!$O$25,mission!$D$64:$F$78,3,FALSE)&lt;=每周任务产出!$F$5*60/每周任务产出!$C$7*每周任务产出!$C$6*(COLUMN()-7),INDEX(mission!$G$64:$G$78,MATCH(每周任务产出!$O$25,mission!$D$64:$D$78,0)),0),J70)</f>
        <v>0</v>
      </c>
      <c r="L70" s="52" cm="1">
        <f t="array" ref="L70">IF(K70=0,IF(VLOOKUP(每周任务产出!$O$25,mission!$D$64:$F$78,3,FALSE)&lt;=每周任务产出!$F$5*60/每周任务产出!$C$7*每周任务产出!$C$6*(COLUMN()-7),INDEX(mission!$G$64:$G$78,MATCH(每周任务产出!$O$25,mission!$D$64:$D$78,0)),0),K70)</f>
        <v>0</v>
      </c>
      <c r="M70" s="52" cm="1">
        <f t="array" ref="M70">IF(L70=0,IF(VLOOKUP(每周任务产出!$O$25,mission!$D$64:$F$78,3,FALSE)&lt;=每周任务产出!$F$5*60/每周任务产出!$C$7*每周任务产出!$C$6*(COLUMN()-7),INDEX(mission!$G$64:$G$78,MATCH(每周任务产出!$O$25,mission!$D$64:$D$78,0)),0),L70)</f>
        <v>40</v>
      </c>
      <c r="N70" s="52" cm="1">
        <f t="array" ref="N70">IF(M70=0,IF(VLOOKUP(每周任务产出!$O$25,mission!$D$64:$F$78,3,FALSE)&lt;=每周任务产出!$F$5*60/每周任务产出!$C$7*每周任务产出!$C$6*(COLUMN()-7),INDEX(mission!$G$64:$G$78,MATCH(每周任务产出!$O$25,mission!$D$64:$D$78,0)),0),M70)</f>
        <v>40</v>
      </c>
    </row>
    <row r="71" spans="4:14">
      <c r="D71" s="35" t="s">
        <v>212</v>
      </c>
      <c r="E71" s="35">
        <f t="shared" si="5"/>
        <v>25</v>
      </c>
      <c r="F71" s="9">
        <f>F66*10</f>
        <v>6000</v>
      </c>
      <c r="G71" s="35">
        <f t="shared" si="6"/>
        <v>40</v>
      </c>
      <c r="H71" s="46" cm="1">
        <f t="array" ref="H71">IF(VLOOKUP(每周任务产出!$P$25,mission!$D$64:$F$78,3,FALSE)&lt;=每周任务产出!$F$5*60/每周任务产出!$C$7*每周任务产出!$C$6,INDEX(mission!$G$64:$G$78,MATCH(每周任务产出!$P$25,mission!$D$64:$D$78,0)),0)</f>
        <v>0</v>
      </c>
      <c r="I71" s="52" cm="1">
        <f t="array" ref="I71">IF(H71=0,IF(VLOOKUP(每周任务产出!$P$25,mission!$D$64:$F$78,3,FALSE)&lt;=每周任务产出!$F$5*60/每周任务产出!$C$7*每周任务产出!$C$6*(COLUMN()-7),INDEX(mission!$G$64:$G$78,MATCH(每周任务产出!$P$25,mission!$D$64:$D$78,0)),0),H71)</f>
        <v>0</v>
      </c>
      <c r="J71" s="52" cm="1">
        <f t="array" ref="J71">IF(I71=0,IF(VLOOKUP(每周任务产出!$P$25,mission!$D$64:$F$78,3,FALSE)&lt;=每周任务产出!$F$5*60/每周任务产出!$C$7*每周任务产出!$C$6*(COLUMN()-7),INDEX(mission!$G$64:$G$78,MATCH(每周任务产出!$P$25,mission!$D$64:$D$78,0)),0),I71)</f>
        <v>0</v>
      </c>
      <c r="K71" s="52" cm="1">
        <f t="array" ref="K71">IF(J71=0,IF(VLOOKUP(每周任务产出!$P$25,mission!$D$64:$F$78,3,FALSE)&lt;=每周任务产出!$F$5*60/每周任务产出!$C$7*每周任务产出!$C$6*(COLUMN()-7),INDEX(mission!$G$64:$G$78,MATCH(每周任务产出!$P$25,mission!$D$64:$D$78,0)),0),J71)</f>
        <v>0</v>
      </c>
      <c r="L71" s="52" cm="1">
        <f t="array" ref="L71">IF(K71=0,IF(VLOOKUP(每周任务产出!$P$25,mission!$D$64:$F$78,3,FALSE)&lt;=每周任务产出!$F$5*60/每周任务产出!$C$7*每周任务产出!$C$6*(COLUMN()-7),INDEX(mission!$G$64:$G$78,MATCH(每周任务产出!$P$25,mission!$D$64:$D$78,0)),0),K71)</f>
        <v>0</v>
      </c>
      <c r="M71" s="52" cm="1">
        <f t="array" ref="M71">IF(L71=0,IF(VLOOKUP(每周任务产出!$P$25,mission!$D$64:$F$78,3,FALSE)&lt;=每周任务产出!$F$5*60/每周任务产出!$C$7*每周任务产出!$C$6*(COLUMN()-7),INDEX(mission!$G$64:$G$78,MATCH(每周任务产出!$P$25,mission!$D$64:$D$78,0)),0),L71)</f>
        <v>0</v>
      </c>
      <c r="N71" s="52" cm="1">
        <f t="array" ref="N71">IF(M71=0,IF(VLOOKUP(每周任务产出!$P$25,mission!$D$64:$F$78,3,FALSE)&lt;=每周任务产出!$F$5*60/每周任务产出!$C$7*每周任务产出!$C$6*(COLUMN()-7),INDEX(mission!$G$64:$G$78,MATCH(每周任务产出!$P$25,mission!$D$64:$D$78,0)),0),M71)</f>
        <v>0</v>
      </c>
    </row>
    <row r="72" spans="4:14">
      <c r="D72" s="35" t="s">
        <v>213</v>
      </c>
      <c r="E72" s="35">
        <f t="shared" si="5"/>
        <v>25</v>
      </c>
      <c r="F72" s="9">
        <f>F67*10</f>
        <v>8000</v>
      </c>
      <c r="G72" s="35">
        <f t="shared" si="6"/>
        <v>40</v>
      </c>
      <c r="H72" s="46" cm="1">
        <f t="array" ref="H72">IF(VLOOKUP(每周任务产出!$Q$25,mission!$D$64:$F$78,3,FALSE)&lt;=每周任务产出!$F$5*60/每周任务产出!$C$7*每周任务产出!$C$6,INDEX(mission!$G$64:$G$78,MATCH(每周任务产出!$Q$25,mission!$D$64:$D$78,0)),0)</f>
        <v>0</v>
      </c>
      <c r="I72" s="52" cm="1">
        <f t="array" ref="I72">IF(H72=0,IF(VLOOKUP(每周任务产出!$Q$25,mission!$D$64:$F$78,3,FALSE)&lt;=每周任务产出!$F$5*60/每周任务产出!$C$7*每周任务产出!$C$6*(COLUMN()-7),INDEX(mission!$G$64:$G$78,MATCH(每周任务产出!$Q$25,mission!$D$64:$D$78,0)),0),H72)</f>
        <v>0</v>
      </c>
      <c r="J72" s="52" cm="1">
        <f t="array" ref="J72">IF(I72=0,IF(VLOOKUP(每周任务产出!$Q$25,mission!$D$64:$F$78,3,FALSE)&lt;=每周任务产出!$F$5*60/每周任务产出!$C$7*每周任务产出!$C$6*(COLUMN()-7),INDEX(mission!$G$64:$G$78,MATCH(每周任务产出!$Q$25,mission!$D$64:$D$78,0)),0),I72)</f>
        <v>0</v>
      </c>
      <c r="K72" s="52" cm="1">
        <f t="array" ref="K72">IF(J72=0,IF(VLOOKUP(每周任务产出!$Q$25,mission!$D$64:$F$78,3,FALSE)&lt;=每周任务产出!$F$5*60/每周任务产出!$C$7*每周任务产出!$C$6*(COLUMN()-7),INDEX(mission!$G$64:$G$78,MATCH(每周任务产出!$Q$25,mission!$D$64:$D$78,0)),0),J72)</f>
        <v>0</v>
      </c>
      <c r="L72" s="52" cm="1">
        <f t="array" ref="L72">IF(K72=0,IF(VLOOKUP(每周任务产出!$Q$25,mission!$D$64:$F$78,3,FALSE)&lt;=每周任务产出!$F$5*60/每周任务产出!$C$7*每周任务产出!$C$6*(COLUMN()-7),INDEX(mission!$G$64:$G$78,MATCH(每周任务产出!$Q$25,mission!$D$64:$D$78,0)),0),K72)</f>
        <v>0</v>
      </c>
      <c r="M72" s="52" cm="1">
        <f t="array" ref="M72">IF(L72=0,IF(VLOOKUP(每周任务产出!$Q$25,mission!$D$64:$F$78,3,FALSE)&lt;=每周任务产出!$F$5*60/每周任务产出!$C$7*每周任务产出!$C$6*(COLUMN()-7),INDEX(mission!$G$64:$G$78,MATCH(每周任务产出!$Q$25,mission!$D$64:$D$78,0)),0),L72)</f>
        <v>0</v>
      </c>
      <c r="N72" s="52" cm="1">
        <f t="array" ref="N72">IF(M72=0,IF(VLOOKUP(每周任务产出!$Q$25,mission!$D$64:$F$78,3,FALSE)&lt;=每周任务产出!$F$5*60/每周任务产出!$C$7*每周任务产出!$C$6*(COLUMN()-7),INDEX(mission!$G$64:$G$78,MATCH(每周任务产出!$Q$25,mission!$D$64:$D$78,0)),0),M72)</f>
        <v>0</v>
      </c>
    </row>
    <row r="73" spans="4:14">
      <c r="D73" s="35" t="s">
        <v>214</v>
      </c>
      <c r="E73" s="35">
        <f t="shared" si="5"/>
        <v>25</v>
      </c>
      <c r="F73" s="9">
        <f>F68*10</f>
        <v>10000</v>
      </c>
      <c r="G73" s="35">
        <f t="shared" si="6"/>
        <v>40</v>
      </c>
      <c r="H73" s="46" cm="1">
        <f t="array" ref="H73">IF(VLOOKUP(每周任务产出!$R$25,mission!$D$64:$F$78,3,FALSE)&lt;=每周任务产出!$F$5*60/每周任务产出!$C$7*每周任务产出!$C$6,INDEX(mission!$G$64:$G$78,MATCH(每周任务产出!$R$25,mission!$D$64:$D$78,0)),0)</f>
        <v>0</v>
      </c>
      <c r="I73" s="52" cm="1">
        <f t="array" ref="I73">IF(H73=0,IF(VLOOKUP(每周任务产出!$R$25,mission!$D$64:$F$78,3,FALSE)&lt;=每周任务产出!$F$5*60/每周任务产出!$C$7*每周任务产出!$C$6*(COLUMN()-7),INDEX(mission!$G$64:$G$78,MATCH(每周任务产出!$R$25,mission!$D$64:$D$78,0)),0),H73)</f>
        <v>0</v>
      </c>
      <c r="J73" s="52" cm="1">
        <f t="array" ref="J73">IF(I73=0,IF(VLOOKUP(每周任务产出!$R$25,mission!$D$64:$F$78,3,FALSE)&lt;=每周任务产出!$F$5*60/每周任务产出!$C$7*每周任务产出!$C$6*(COLUMN()-7),INDEX(mission!$G$64:$G$78,MATCH(每周任务产出!$R$25,mission!$D$64:$D$78,0)),0),I73)</f>
        <v>0</v>
      </c>
      <c r="K73" s="52" cm="1">
        <f t="array" ref="K73">IF(J73=0,IF(VLOOKUP(每周任务产出!$R$25,mission!$D$64:$F$78,3,FALSE)&lt;=每周任务产出!$F$5*60/每周任务产出!$C$7*每周任务产出!$C$6*(COLUMN()-7),INDEX(mission!$G$64:$G$78,MATCH(每周任务产出!$R$25,mission!$D$64:$D$78,0)),0),J73)</f>
        <v>0</v>
      </c>
      <c r="L73" s="52" cm="1">
        <f t="array" ref="L73">IF(K73=0,IF(VLOOKUP(每周任务产出!$R$25,mission!$D$64:$F$78,3,FALSE)&lt;=每周任务产出!$F$5*60/每周任务产出!$C$7*每周任务产出!$C$6*(COLUMN()-7),INDEX(mission!$G$64:$G$78,MATCH(每周任务产出!$R$25,mission!$D$64:$D$78,0)),0),K73)</f>
        <v>0</v>
      </c>
      <c r="M73" s="52" cm="1">
        <f t="array" ref="M73">IF(L73=0,IF(VLOOKUP(每周任务产出!$R$25,mission!$D$64:$F$78,3,FALSE)&lt;=每周任务产出!$F$5*60/每周任务产出!$C$7*每周任务产出!$C$6*(COLUMN()-7),INDEX(mission!$G$64:$G$78,MATCH(每周任务产出!$R$25,mission!$D$64:$D$78,0)),0),L73)</f>
        <v>0</v>
      </c>
      <c r="N73" s="52" cm="1">
        <f t="array" ref="N73">IF(M73=0,IF(VLOOKUP(每周任务产出!$R$25,mission!$D$64:$F$78,3,FALSE)&lt;=每周任务产出!$F$5*60/每周任务产出!$C$7*每周任务产出!$C$6*(COLUMN()-7),INDEX(mission!$G$64:$G$78,MATCH(每周任务产出!$R$25,mission!$D$64:$D$78,0)),0),M73)</f>
        <v>0</v>
      </c>
    </row>
    <row r="74" spans="4:14">
      <c r="D74" s="35" t="s">
        <v>215</v>
      </c>
      <c r="E74" s="35">
        <f t="shared" si="5"/>
        <v>50</v>
      </c>
      <c r="F74" s="9">
        <f>F64*10</f>
        <v>2000</v>
      </c>
      <c r="G74" s="35">
        <f t="shared" si="6"/>
        <v>40</v>
      </c>
      <c r="H74" s="46" cm="1">
        <f t="array" ref="H74">IF(VLOOKUP(每周任务产出!$S$25,mission!$D$64:$F$78,3,FALSE)&lt;=每周任务产出!$F$5*60/每周任务产出!$C$7*每周任务产出!$C$6*每周任务产出!$C$4,INDEX(mission!$G$64:$G$78,MATCH(每周任务产出!$S$25,mission!$D$64:$D$78,0)),0)</f>
        <v>0</v>
      </c>
      <c r="I74" s="52" cm="1">
        <f t="array" ref="I74">IF(H74=0,IF(VLOOKUP(每周任务产出!$S$25,mission!$D$64:$F$78,3,FALSE)&lt;=每周任务产出!$F$5*60/每周任务产出!$C$7*每周任务产出!$C$6*每周任务产出!$C$4*(COLUMN()-7),INDEX(mission!$G$64:$G$78,MATCH(每周任务产出!$S$25,mission!$D$64:$D$78,0)),0),H74)</f>
        <v>0</v>
      </c>
      <c r="J74" s="52" cm="1">
        <f t="array" ref="J74">IF(I74=0,IF(VLOOKUP(每周任务产出!$S$25,mission!$D$64:$F$78,3,FALSE)&lt;=每周任务产出!$F$5*60/每周任务产出!$C$7*每周任务产出!$C$6*每周任务产出!$C$4*(COLUMN()-7),INDEX(mission!$G$64:$G$78,MATCH(每周任务产出!$S$25,mission!$D$64:$D$78,0)),0),I74)</f>
        <v>40</v>
      </c>
      <c r="K74" s="52" cm="1">
        <f t="array" ref="K74">IF(J74=0,IF(VLOOKUP(每周任务产出!$S$25,mission!$D$64:$F$78,3,FALSE)&lt;=每周任务产出!$F$5*60/每周任务产出!$C$7*每周任务产出!$C$6*每周任务产出!$C$4*(COLUMN()-7),INDEX(mission!$G$64:$G$78,MATCH(每周任务产出!$S$25,mission!$D$64:$D$78,0)),0),J74)</f>
        <v>40</v>
      </c>
      <c r="L74" s="52" cm="1">
        <f t="array" ref="L74">IF(K74=0,IF(VLOOKUP(每周任务产出!$S$25,mission!$D$64:$F$78,3,FALSE)&lt;=每周任务产出!$F$5*60/每周任务产出!$C$7*每周任务产出!$C$6*每周任务产出!$C$4*(COLUMN()-7),INDEX(mission!$G$64:$G$78,MATCH(每周任务产出!$S$25,mission!$D$64:$D$78,0)),0),K74)</f>
        <v>40</v>
      </c>
      <c r="M74" s="52" cm="1">
        <f t="array" ref="M74">IF(L74=0,IF(VLOOKUP(每周任务产出!$S$25,mission!$D$64:$F$78,3,FALSE)&lt;=每周任务产出!$F$5*60/每周任务产出!$C$7*每周任务产出!$C$6*每周任务产出!$C$4*(COLUMN()-7),INDEX(mission!$G$64:$G$78,MATCH(每周任务产出!$S$25,mission!$D$64:$D$78,0)),0),L74)</f>
        <v>40</v>
      </c>
      <c r="N74" s="52" cm="1">
        <f t="array" ref="N74">IF(M74=0,IF(VLOOKUP(每周任务产出!$S$25,mission!$D$64:$F$78,3,FALSE)&lt;=每周任务产出!$F$5*60/每周任务产出!$C$7*每周任务产出!$C$6*每周任务产出!$C$4*(COLUMN()-7),INDEX(mission!$G$64:$G$78,MATCH(每周任务产出!$S$25,mission!$D$64:$D$78,0)),0),M74)</f>
        <v>40</v>
      </c>
    </row>
    <row r="75" spans="4:14">
      <c r="D75" s="35" t="s">
        <v>216</v>
      </c>
      <c r="E75" s="35">
        <f t="shared" si="5"/>
        <v>50</v>
      </c>
      <c r="F75" s="9">
        <f>F65*10</f>
        <v>4000</v>
      </c>
      <c r="G75" s="35">
        <f t="shared" si="6"/>
        <v>40</v>
      </c>
      <c r="H75" s="46" cm="1">
        <f t="array" ref="H75">IF(VLOOKUP(每周任务产出!$T$25,mission!$D$64:$F$78,3,FALSE)&lt;=每周任务产出!$F$5*60/每周任务产出!$C$7*每周任务产出!$C$6*每周任务产出!$C$4,INDEX(mission!$G$64:$G$78,MATCH(每周任务产出!$T$25,mission!$D$64:$D$78,0)),0)</f>
        <v>0</v>
      </c>
      <c r="I75" s="52" cm="1">
        <f t="array" ref="I75">IF(H75=0,IF(VLOOKUP(每周任务产出!$T$25,mission!$D$64:$F$78,3,FALSE)&lt;=每周任务产出!$F$5*60/每周任务产出!$C$7*每周任务产出!$C$6*每周任务产出!$C$4*(COLUMN()-7),INDEX(mission!$G$64:$G$78,MATCH(每周任务产出!$T$25,mission!$D$64:$D$78,0)),0),H75)</f>
        <v>0</v>
      </c>
      <c r="J75" s="52" cm="1">
        <f t="array" ref="J75">IF(I75=0,IF(VLOOKUP(每周任务产出!$T$25,mission!$D$64:$F$78,3,FALSE)&lt;=每周任务产出!$F$5*60/每周任务产出!$C$7*每周任务产出!$C$6*每周任务产出!$C$4*(COLUMN()-7),INDEX(mission!$G$64:$G$78,MATCH(每周任务产出!$T$25,mission!$D$64:$D$78,0)),0),I75)</f>
        <v>0</v>
      </c>
      <c r="K75" s="52" cm="1">
        <f t="array" ref="K75">IF(J75=0,IF(VLOOKUP(每周任务产出!$T$25,mission!$D$64:$F$78,3,FALSE)&lt;=每周任务产出!$F$5*60/每周任务产出!$C$7*每周任务产出!$C$6*每周任务产出!$C$4*(COLUMN()-7),INDEX(mission!$G$64:$G$78,MATCH(每周任务产出!$T$25,mission!$D$64:$D$78,0)),0),J75)</f>
        <v>0</v>
      </c>
      <c r="L75" s="52" cm="1">
        <f t="array" ref="L75">IF(K75=0,IF(VLOOKUP(每周任务产出!$T$25,mission!$D$64:$F$78,3,FALSE)&lt;=每周任务产出!$F$5*60/每周任务产出!$C$7*每周任务产出!$C$6*每周任务产出!$C$4*(COLUMN()-7),INDEX(mission!$G$64:$G$78,MATCH(每周任务产出!$T$25,mission!$D$64:$D$78,0)),0),K75)</f>
        <v>0</v>
      </c>
      <c r="M75" s="52" cm="1">
        <f t="array" ref="M75">IF(L75=0,IF(VLOOKUP(每周任务产出!$T$25,mission!$D$64:$F$78,3,FALSE)&lt;=每周任务产出!$F$5*60/每周任务产出!$C$7*每周任务产出!$C$6*每周任务产出!$C$4*(COLUMN()-7),INDEX(mission!$G$64:$G$78,MATCH(每周任务产出!$T$25,mission!$D$64:$D$78,0)),0),L75)</f>
        <v>40</v>
      </c>
      <c r="N75" s="52" cm="1">
        <f t="array" ref="N75">IF(M75=0,IF(VLOOKUP(每周任务产出!$T$25,mission!$D$64:$F$78,3,FALSE)&lt;=每周任务产出!$F$5*60/每周任务产出!$C$7*每周任务产出!$C$6*每周任务产出!$C$4*(COLUMN()-7),INDEX(mission!$G$64:$G$78,MATCH(每周任务产出!$T$25,mission!$D$64:$D$78,0)),0),M75)</f>
        <v>40</v>
      </c>
    </row>
    <row r="76" spans="4:14">
      <c r="D76" s="35" t="s">
        <v>217</v>
      </c>
      <c r="E76" s="35">
        <f t="shared" si="5"/>
        <v>25</v>
      </c>
      <c r="F76" s="9">
        <f>F66*10</f>
        <v>6000</v>
      </c>
      <c r="G76" s="35">
        <f t="shared" si="6"/>
        <v>40</v>
      </c>
      <c r="H76" s="46" cm="1">
        <f t="array" ref="H76">IF(VLOOKUP(每周任务产出!$U$25,mission!$D$64:$F$78,3,FALSE)&lt;=每周任务产出!$F$5*60/每周任务产出!$C$7*每周任务产出!$C$6*每周任务产出!$C$4,INDEX(mission!$G$64:$G$78,MATCH(每周任务产出!$U$25,mission!$D$64:$D$78,0)),0)</f>
        <v>0</v>
      </c>
      <c r="I76" s="52" cm="1">
        <f t="array" ref="I76">IF(H76=0,IF(VLOOKUP(每周任务产出!$U$25,mission!$D$64:$F$78,3,FALSE)&lt;=每周任务产出!$F$5*60/每周任务产出!$C$7*每周任务产出!$C$6*每周任务产出!$C$4*(COLUMN()-7),INDEX(mission!$G$64:$G$78,MATCH(每周任务产出!$U$25,mission!$D$64:$D$78,0)),0),H76)</f>
        <v>0</v>
      </c>
      <c r="J76" s="52" cm="1">
        <f t="array" ref="J76">IF(I76=0,IF(VLOOKUP(每周任务产出!$U$25,mission!$D$64:$F$78,3,FALSE)&lt;=每周任务产出!$F$5*60/每周任务产出!$C$7*每周任务产出!$C$6*每周任务产出!$C$4*(COLUMN()-7),INDEX(mission!$G$64:$G$78,MATCH(每周任务产出!$U$25,mission!$D$64:$D$78,0)),0),I76)</f>
        <v>0</v>
      </c>
      <c r="K76" s="52" cm="1">
        <f t="array" ref="K76">IF(J76=0,IF(VLOOKUP(每周任务产出!$U$25,mission!$D$64:$F$78,3,FALSE)&lt;=每周任务产出!$F$5*60/每周任务产出!$C$7*每周任务产出!$C$6*每周任务产出!$C$4*(COLUMN()-7),INDEX(mission!$G$64:$G$78,MATCH(每周任务产出!$U$25,mission!$D$64:$D$78,0)),0),J76)</f>
        <v>0</v>
      </c>
      <c r="L76" s="52" cm="1">
        <f t="array" ref="L76">IF(K76=0,IF(VLOOKUP(每周任务产出!$U$25,mission!$D$64:$F$78,3,FALSE)&lt;=每周任务产出!$F$5*60/每周任务产出!$C$7*每周任务产出!$C$6*每周任务产出!$C$4*(COLUMN()-7),INDEX(mission!$G$64:$G$78,MATCH(每周任务产出!$U$25,mission!$D$64:$D$78,0)),0),K76)</f>
        <v>0</v>
      </c>
      <c r="M76" s="52" cm="1">
        <f t="array" ref="M76">IF(L76=0,IF(VLOOKUP(每周任务产出!$U$25,mission!$D$64:$F$78,3,FALSE)&lt;=每周任务产出!$F$5*60/每周任务产出!$C$7*每周任务产出!$C$6*每周任务产出!$C$4*(COLUMN()-7),INDEX(mission!$G$64:$G$78,MATCH(每周任务产出!$U$25,mission!$D$64:$D$78,0)),0),L76)</f>
        <v>0</v>
      </c>
      <c r="N76" s="52" cm="1">
        <f t="array" ref="N76">IF(M76=0,IF(VLOOKUP(每周任务产出!$U$25,mission!$D$64:$F$78,3,FALSE)&lt;=每周任务产出!$F$5*60/每周任务产出!$C$7*每周任务产出!$C$6*每周任务产出!$C$4*(COLUMN()-7),INDEX(mission!$G$64:$G$78,MATCH(每周任务产出!$U$25,mission!$D$64:$D$78,0)),0),M76)</f>
        <v>0</v>
      </c>
    </row>
    <row r="77" spans="4:14">
      <c r="D77" s="35" t="s">
        <v>218</v>
      </c>
      <c r="E77" s="35">
        <f t="shared" si="5"/>
        <v>25</v>
      </c>
      <c r="F77" s="9">
        <f>F67*10</f>
        <v>8000</v>
      </c>
      <c r="G77" s="35">
        <f t="shared" si="6"/>
        <v>40</v>
      </c>
      <c r="H77" s="46" cm="1">
        <f t="array" ref="H77">IF(VLOOKUP(每周任务产出!$V$25,mission!$D$64:$F$78,3,FALSE)&lt;=每周任务产出!$F$5*60/每周任务产出!$C$7*每周任务产出!$C$6*每周任务产出!$C$4,INDEX(mission!$G$64:$G$78,MATCH(每周任务产出!$V$25,mission!$D$64:$D$78,0)),0)</f>
        <v>0</v>
      </c>
      <c r="I77" s="52" cm="1">
        <f t="array" ref="I77">IF(H77=0,IF(VLOOKUP(每周任务产出!$V$25,mission!$D$64:$F$78,3,FALSE)&lt;=每周任务产出!$F$5*60/每周任务产出!$C$7*每周任务产出!$C$6*每周任务产出!$C$4*(COLUMN()-7),INDEX(mission!$G$64:$G$78,MATCH(每周任务产出!$V$25,mission!$D$64:$D$78,0)),0),H77)</f>
        <v>0</v>
      </c>
      <c r="J77" s="52" cm="1">
        <f t="array" ref="J77">IF(I77=0,IF(VLOOKUP(每周任务产出!$V$25,mission!$D$64:$F$78,3,FALSE)&lt;=每周任务产出!$F$5*60/每周任务产出!$C$7*每周任务产出!$C$6*每周任务产出!$C$4*(COLUMN()-7),INDEX(mission!$G$64:$G$78,MATCH(每周任务产出!$V$25,mission!$D$64:$D$78,0)),0),I77)</f>
        <v>0</v>
      </c>
      <c r="K77" s="52" cm="1">
        <f t="array" ref="K77">IF(J77=0,IF(VLOOKUP(每周任务产出!$V$25,mission!$D$64:$F$78,3,FALSE)&lt;=每周任务产出!$F$5*60/每周任务产出!$C$7*每周任务产出!$C$6*每周任务产出!$C$4*(COLUMN()-7),INDEX(mission!$G$64:$G$78,MATCH(每周任务产出!$V$25,mission!$D$64:$D$78,0)),0),J77)</f>
        <v>0</v>
      </c>
      <c r="L77" s="52" cm="1">
        <f t="array" ref="L77">IF(K77=0,IF(VLOOKUP(每周任务产出!$V$25,mission!$D$64:$F$78,3,FALSE)&lt;=每周任务产出!$F$5*60/每周任务产出!$C$7*每周任务产出!$C$6*每周任务产出!$C$4*(COLUMN()-7),INDEX(mission!$G$64:$G$78,MATCH(每周任务产出!$V$25,mission!$D$64:$D$78,0)),0),K77)</f>
        <v>0</v>
      </c>
      <c r="M77" s="52" cm="1">
        <f t="array" ref="M77">IF(L77=0,IF(VLOOKUP(每周任务产出!$V$25,mission!$D$64:$F$78,3,FALSE)&lt;=每周任务产出!$F$5*60/每周任务产出!$C$7*每周任务产出!$C$6*每周任务产出!$C$4*(COLUMN()-7),INDEX(mission!$G$64:$G$78,MATCH(每周任务产出!$V$25,mission!$D$64:$D$78,0)),0),L77)</f>
        <v>0</v>
      </c>
      <c r="N77" s="52" cm="1">
        <f t="array" ref="N77">IF(M77=0,IF(VLOOKUP(每周任务产出!$V$25,mission!$D$64:$F$78,3,FALSE)&lt;=每周任务产出!$F$5*60/每周任务产出!$C$7*每周任务产出!$C$6*每周任务产出!$C$4*(COLUMN()-7),INDEX(mission!$G$64:$G$78,MATCH(每周任务产出!$V$25,mission!$D$64:$D$78,0)),0),M77)</f>
        <v>0</v>
      </c>
    </row>
    <row r="78" spans="4:14">
      <c r="D78" s="35" t="s">
        <v>219</v>
      </c>
      <c r="E78" s="35">
        <f t="shared" si="5"/>
        <v>50</v>
      </c>
      <c r="F78" s="9">
        <f>F68*10</f>
        <v>10000</v>
      </c>
      <c r="G78" s="35">
        <f t="shared" si="6"/>
        <v>40</v>
      </c>
      <c r="H78" s="46" cm="1">
        <f t="array" ref="H78">IF(VLOOKUP(每周任务产出!$W$25,mission!$D$64:$F$78,3,FALSE)&lt;=每周任务产出!$F$5*60/每周任务产出!$C$7*每周任务产出!$C$6*每周任务产出!$C$4,INDEX(mission!$G$64:$G$78,MATCH(每周任务产出!$W$25,mission!$D$64:$D$78,0)),0)</f>
        <v>0</v>
      </c>
      <c r="I78" s="52" cm="1">
        <f t="array" ref="I78">IF(H78=0,IF(VLOOKUP(每周任务产出!$W$25,mission!$D$64:$F$78,3,FALSE)&lt;=每周任务产出!$F$5*60/每周任务产出!$C$7*每周任务产出!$C$6*每周任务产出!$C$4*(COLUMN()-7),INDEX(mission!$G$64:$G$78,MATCH(每周任务产出!$W$25,mission!$D$64:$D$78,0)),0),H78)</f>
        <v>0</v>
      </c>
      <c r="J78" s="52" cm="1">
        <f t="array" ref="J78">IF(I78=0,IF(VLOOKUP(每周任务产出!$W$25,mission!$D$64:$F$78,3,FALSE)&lt;=每周任务产出!$F$5*60/每周任务产出!$C$7*每周任务产出!$C$6*每周任务产出!$C$4*(COLUMN()-7),INDEX(mission!$G$64:$G$78,MATCH(每周任务产出!$W$25,mission!$D$64:$D$78,0)),0),I78)</f>
        <v>0</v>
      </c>
      <c r="K78" s="52" cm="1">
        <f t="array" ref="K78">IF(J78=0,IF(VLOOKUP(每周任务产出!$W$25,mission!$D$64:$F$78,3,FALSE)&lt;=每周任务产出!$F$5*60/每周任务产出!$C$7*每周任务产出!$C$6*每周任务产出!$C$4*(COLUMN()-7),INDEX(mission!$G$64:$G$78,MATCH(每周任务产出!$W$25,mission!$D$64:$D$78,0)),0),J78)</f>
        <v>0</v>
      </c>
      <c r="L78" s="52" cm="1">
        <f t="array" ref="L78">IF(K78=0,IF(VLOOKUP(每周任务产出!$W$25,mission!$D$64:$F$78,3,FALSE)&lt;=每周任务产出!$F$5*60/每周任务产出!$C$7*每周任务产出!$C$6*每周任务产出!$C$4*(COLUMN()-7),INDEX(mission!$G$64:$G$78,MATCH(每周任务产出!$W$25,mission!$D$64:$D$78,0)),0),K78)</f>
        <v>0</v>
      </c>
      <c r="M78" s="52" cm="1">
        <f t="array" ref="M78">IF(L78=0,IF(VLOOKUP(每周任务产出!$W$25,mission!$D$64:$F$78,3,FALSE)&lt;=每周任务产出!$F$5*60/每周任务产出!$C$7*每周任务产出!$C$6*每周任务产出!$C$4*(COLUMN()-7),INDEX(mission!$G$64:$G$78,MATCH(每周任务产出!$W$25,mission!$D$64:$D$78,0)),0),L78)</f>
        <v>0</v>
      </c>
      <c r="N78" s="52" cm="1">
        <f t="array" ref="N78">IF(M78=0,IF(VLOOKUP(每周任务产出!$W$25,mission!$D$64:$F$78,3,FALSE)&lt;=每周任务产出!$F$5*60/每周任务产出!$C$7*每周任务产出!$C$6*每周任务产出!$C$4*(COLUMN()-7),INDEX(mission!$G$64:$G$78,MATCH(每周任务产出!$W$25,mission!$D$64:$D$78,0)),0),M78)</f>
        <v>0</v>
      </c>
    </row>
  </sheetData>
  <autoFilter xmlns:etc="http://www.wps.cn/officeDocument/2017/etCustomData" ref="A1:L38" etc:filterBottomFollowUsedRange="0">
    <extLst/>
  </autoFilter>
  <mergeCells count="3">
    <mergeCell ref="D44:H44"/>
    <mergeCell ref="D62:N62"/>
    <mergeCell ref="H63:N63"/>
  </mergeCells>
  <dataValidations count="2">
    <dataValidation type="list" allowBlank="1" showInputMessage="1" showErrorMessage="1" sqref="A3:K3">
      <formula1>"int,long,float,double,boolean,char,string"</formula1>
    </dataValidation>
    <dataValidation type="list" allowBlank="1" showInputMessage="1" showErrorMessage="1" sqref="L3">
      <formula1>"int,long,float,double,boolean,char,string,datetime"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workbookViewId="0">
      <pane xSplit="2" ySplit="3" topLeftCell="C12" activePane="bottomRight" state="frozen"/>
      <selection/>
      <selection pane="topRight"/>
      <selection pane="bottomLeft"/>
      <selection pane="bottomRight" activeCell="F25" sqref="F25"/>
    </sheetView>
  </sheetViews>
  <sheetFormatPr defaultColWidth="9" defaultRowHeight="17.25"/>
  <cols>
    <col min="1" max="1" width="9" style="1"/>
    <col min="2" max="3" width="11.25" style="1" customWidth="1"/>
    <col min="4" max="4" width="40.625" style="1" customWidth="1"/>
    <col min="5" max="6" width="16.375" style="1" customWidth="1"/>
    <col min="7" max="7" width="111.625" style="21" customWidth="1"/>
    <col min="8" max="8" width="20.25" style="1" customWidth="1"/>
    <col min="9" max="10" width="13.5" style="1" customWidth="1"/>
  </cols>
  <sheetData>
    <row r="1" s="18" customFormat="1" ht="30" customHeight="1" spans="1:25">
      <c r="A1" s="22" t="s">
        <v>72</v>
      </c>
      <c r="B1" s="22" t="s">
        <v>220</v>
      </c>
      <c r="C1" s="22" t="s">
        <v>221</v>
      </c>
      <c r="D1" s="22" t="s">
        <v>222</v>
      </c>
      <c r="E1" s="22" t="s">
        <v>143</v>
      </c>
      <c r="F1" s="22" t="s">
        <v>144</v>
      </c>
      <c r="G1" s="23" t="s">
        <v>145</v>
      </c>
      <c r="H1" s="22" t="s">
        <v>223</v>
      </c>
      <c r="I1" s="22" t="s">
        <v>148</v>
      </c>
      <c r="J1" s="22" t="s">
        <v>149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="19" customFormat="1" ht="30" customHeight="1" spans="1:25">
      <c r="A2" s="24" t="s">
        <v>93</v>
      </c>
      <c r="B2" s="24" t="s">
        <v>150</v>
      </c>
      <c r="C2" s="24" t="s">
        <v>151</v>
      </c>
      <c r="D2" s="24" t="s">
        <v>224</v>
      </c>
      <c r="E2" s="24" t="s">
        <v>154</v>
      </c>
      <c r="F2" s="24" t="s">
        <v>155</v>
      </c>
      <c r="G2" s="25" t="s">
        <v>156</v>
      </c>
      <c r="H2" s="24" t="s">
        <v>158</v>
      </c>
      <c r="I2" s="24" t="s">
        <v>159</v>
      </c>
      <c r="J2" s="24" t="s">
        <v>160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="20" customFormat="1" ht="30" customHeight="1" spans="1:10">
      <c r="A3" s="26" t="s">
        <v>115</v>
      </c>
      <c r="B3" s="26" t="s">
        <v>115</v>
      </c>
      <c r="C3" s="26" t="s">
        <v>115</v>
      </c>
      <c r="D3" s="26" t="s">
        <v>116</v>
      </c>
      <c r="E3" s="26" t="s">
        <v>118</v>
      </c>
      <c r="F3" s="26" t="s">
        <v>115</v>
      </c>
      <c r="G3" s="27" t="s">
        <v>116</v>
      </c>
      <c r="H3" s="26" t="s">
        <v>115</v>
      </c>
      <c r="I3" s="26" t="s">
        <v>115</v>
      </c>
      <c r="J3" s="26" t="s">
        <v>161</v>
      </c>
    </row>
    <row r="4" ht="20" customHeight="1" spans="1:25">
      <c r="A4" s="1">
        <v>10001</v>
      </c>
      <c r="B4" s="1">
        <v>1</v>
      </c>
      <c r="C4" s="1">
        <v>1</v>
      </c>
      <c r="D4" s="1" t="s">
        <v>225</v>
      </c>
      <c r="E4" s="1" t="b">
        <v>1</v>
      </c>
      <c r="F4" s="1">
        <v>40</v>
      </c>
      <c r="G4" s="28" t="s">
        <v>226</v>
      </c>
      <c r="H4" s="1">
        <v>1</v>
      </c>
      <c r="I4" s="1">
        <v>1</v>
      </c>
      <c r="J4" s="45">
        <v>45791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ht="20" customHeight="1" spans="1:25">
      <c r="A5" s="1">
        <v>10002</v>
      </c>
      <c r="B5" s="1">
        <v>1</v>
      </c>
      <c r="C5" s="1">
        <v>1</v>
      </c>
      <c r="D5" s="1" t="s">
        <v>227</v>
      </c>
      <c r="E5" s="1" t="b">
        <v>1</v>
      </c>
      <c r="F5" s="1">
        <v>80</v>
      </c>
      <c r="G5" s="28" t="s">
        <v>226</v>
      </c>
      <c r="H5" s="1">
        <v>1</v>
      </c>
      <c r="I5" s="1">
        <v>1</v>
      </c>
      <c r="J5" s="45">
        <v>45791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ht="20" customHeight="1" spans="1:25">
      <c r="A6" s="1">
        <v>10003</v>
      </c>
      <c r="B6" s="1">
        <v>1</v>
      </c>
      <c r="C6" s="1">
        <v>1</v>
      </c>
      <c r="D6" s="1" t="s">
        <v>228</v>
      </c>
      <c r="E6" s="1" t="b">
        <v>1</v>
      </c>
      <c r="F6" s="1">
        <v>120</v>
      </c>
      <c r="G6" s="28" t="s">
        <v>226</v>
      </c>
      <c r="H6" s="1">
        <v>1</v>
      </c>
      <c r="I6" s="1">
        <v>1</v>
      </c>
      <c r="J6" s="45">
        <v>45791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ht="20" customHeight="1" spans="1:25">
      <c r="A7" s="1">
        <v>10004</v>
      </c>
      <c r="B7" s="1">
        <v>1</v>
      </c>
      <c r="C7" s="1">
        <v>1</v>
      </c>
      <c r="D7" s="1" t="s">
        <v>229</v>
      </c>
      <c r="E7" s="1" t="b">
        <v>1</v>
      </c>
      <c r="F7" s="1">
        <v>160</v>
      </c>
      <c r="G7" s="28" t="s">
        <v>226</v>
      </c>
      <c r="H7" s="1">
        <v>1</v>
      </c>
      <c r="I7" s="1">
        <v>1</v>
      </c>
      <c r="J7" s="1">
        <v>-1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="34" customFormat="1" ht="20" customHeight="1" spans="1:25">
      <c r="A8" s="10">
        <v>10005</v>
      </c>
      <c r="B8" s="10">
        <v>1</v>
      </c>
      <c r="C8" s="10">
        <v>1</v>
      </c>
      <c r="D8" s="10" t="s">
        <v>230</v>
      </c>
      <c r="E8" s="10" t="b">
        <v>1</v>
      </c>
      <c r="F8" s="10">
        <v>200</v>
      </c>
      <c r="G8" s="37" t="s">
        <v>231</v>
      </c>
      <c r="H8" s="10">
        <v>1</v>
      </c>
      <c r="I8" s="10">
        <v>1</v>
      </c>
      <c r="J8" s="10">
        <v>-1</v>
      </c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 ht="20" customHeight="1" spans="1:25">
      <c r="A9" s="1">
        <v>20001</v>
      </c>
      <c r="B9" s="1">
        <v>2</v>
      </c>
      <c r="C9" s="1">
        <v>2</v>
      </c>
      <c r="D9" s="1" t="s">
        <v>232</v>
      </c>
      <c r="E9" s="1" t="b">
        <v>1</v>
      </c>
      <c r="F9" s="1">
        <v>100</v>
      </c>
      <c r="G9" s="28" t="s">
        <v>233</v>
      </c>
      <c r="H9" s="1">
        <v>1</v>
      </c>
      <c r="I9" s="1">
        <v>7</v>
      </c>
      <c r="J9" s="1">
        <v>-1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20" customHeight="1" spans="1:25">
      <c r="A10" s="1">
        <v>20002</v>
      </c>
      <c r="B10" s="1">
        <v>2</v>
      </c>
      <c r="C10" s="1">
        <v>2</v>
      </c>
      <c r="D10" s="1" t="s">
        <v>234</v>
      </c>
      <c r="E10" s="1" t="b">
        <v>1</v>
      </c>
      <c r="F10" s="1">
        <v>200</v>
      </c>
      <c r="G10" s="28" t="s">
        <v>233</v>
      </c>
      <c r="H10" s="1">
        <v>1</v>
      </c>
      <c r="I10" s="1">
        <v>7</v>
      </c>
      <c r="J10" s="1">
        <v>-1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20" customHeight="1" spans="1:25">
      <c r="A11" s="1">
        <v>20003</v>
      </c>
      <c r="B11" s="1">
        <v>2</v>
      </c>
      <c r="C11" s="1">
        <v>2</v>
      </c>
      <c r="D11" s="1" t="s">
        <v>235</v>
      </c>
      <c r="E11" s="1" t="b">
        <v>1</v>
      </c>
      <c r="F11" s="1">
        <v>300</v>
      </c>
      <c r="G11" s="28" t="s">
        <v>233</v>
      </c>
      <c r="H11" s="1">
        <v>1</v>
      </c>
      <c r="I11" s="1">
        <v>7</v>
      </c>
      <c r="J11" s="1">
        <v>-1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20" customHeight="1" spans="1:25">
      <c r="A12" s="1">
        <v>20004</v>
      </c>
      <c r="B12" s="1">
        <v>2</v>
      </c>
      <c r="C12" s="1">
        <v>2</v>
      </c>
      <c r="D12" s="1" t="s">
        <v>236</v>
      </c>
      <c r="E12" s="1" t="b">
        <v>1</v>
      </c>
      <c r="F12" s="1">
        <v>400</v>
      </c>
      <c r="G12" s="28" t="s">
        <v>233</v>
      </c>
      <c r="H12" s="1">
        <v>1</v>
      </c>
      <c r="I12" s="1">
        <v>7</v>
      </c>
      <c r="J12" s="1">
        <v>-1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="34" customFormat="1" ht="20" customHeight="1" spans="1:25">
      <c r="A13" s="10">
        <v>20005</v>
      </c>
      <c r="B13" s="10">
        <v>2</v>
      </c>
      <c r="C13" s="10">
        <v>2</v>
      </c>
      <c r="D13" s="10" t="s">
        <v>237</v>
      </c>
      <c r="E13" s="10" t="b">
        <v>1</v>
      </c>
      <c r="F13" s="10">
        <v>500</v>
      </c>
      <c r="G13" s="37" t="s">
        <v>238</v>
      </c>
      <c r="H13" s="10">
        <v>1</v>
      </c>
      <c r="I13" s="10">
        <v>7</v>
      </c>
      <c r="J13" s="10">
        <v>-1</v>
      </c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 ht="20" customHeight="1" spans="1:10">
      <c r="A14" s="1">
        <v>30001</v>
      </c>
      <c r="B14" s="1">
        <v>3</v>
      </c>
      <c r="C14" s="1">
        <v>3</v>
      </c>
      <c r="D14" s="1" t="s">
        <v>239</v>
      </c>
      <c r="E14" s="1" t="b">
        <v>1</v>
      </c>
      <c r="F14" s="1">
        <v>30</v>
      </c>
      <c r="G14" s="28" t="s">
        <v>240</v>
      </c>
      <c r="H14" s="1">
        <v>1</v>
      </c>
      <c r="I14" s="1">
        <v>0</v>
      </c>
      <c r="J14" s="1">
        <v>-1</v>
      </c>
    </row>
    <row r="15" ht="20" customHeight="1" spans="1:10">
      <c r="A15" s="1">
        <v>30002</v>
      </c>
      <c r="B15" s="1">
        <v>3</v>
      </c>
      <c r="C15" s="1">
        <v>3</v>
      </c>
      <c r="D15" s="1" t="s">
        <v>241</v>
      </c>
      <c r="E15" s="1" t="b">
        <v>1</v>
      </c>
      <c r="F15" s="1">
        <v>60</v>
      </c>
      <c r="G15" s="28" t="s">
        <v>242</v>
      </c>
      <c r="H15" s="1">
        <v>1</v>
      </c>
      <c r="I15" s="1">
        <v>0</v>
      </c>
      <c r="J15" s="1">
        <v>-1</v>
      </c>
    </row>
    <row r="16" ht="20" customHeight="1" spans="1:10">
      <c r="A16" s="1">
        <v>30003</v>
      </c>
      <c r="B16" s="1">
        <v>3</v>
      </c>
      <c r="C16" s="1">
        <v>3</v>
      </c>
      <c r="D16" s="1" t="s">
        <v>243</v>
      </c>
      <c r="E16" s="1" t="b">
        <v>1</v>
      </c>
      <c r="F16" s="1">
        <v>90</v>
      </c>
      <c r="G16" s="28" t="s">
        <v>244</v>
      </c>
      <c r="H16" s="1">
        <v>1</v>
      </c>
      <c r="I16" s="1">
        <v>0</v>
      </c>
      <c r="J16" s="1">
        <v>-1</v>
      </c>
    </row>
    <row r="17" ht="20" customHeight="1" spans="1:10">
      <c r="A17" s="1">
        <v>30004</v>
      </c>
      <c r="B17" s="1">
        <v>3</v>
      </c>
      <c r="C17" s="1">
        <v>3</v>
      </c>
      <c r="D17" s="1" t="s">
        <v>245</v>
      </c>
      <c r="E17" s="1" t="b">
        <v>1</v>
      </c>
      <c r="F17" s="1">
        <v>120</v>
      </c>
      <c r="G17" s="28" t="s">
        <v>246</v>
      </c>
      <c r="H17" s="1">
        <v>1</v>
      </c>
      <c r="I17" s="1">
        <v>0</v>
      </c>
      <c r="J17" s="1">
        <v>-1</v>
      </c>
    </row>
    <row r="18" ht="20" customHeight="1" spans="1:10">
      <c r="A18" s="1">
        <v>30005</v>
      </c>
      <c r="B18" s="1">
        <v>3</v>
      </c>
      <c r="C18" s="1">
        <v>3</v>
      </c>
      <c r="D18" s="1" t="s">
        <v>247</v>
      </c>
      <c r="E18" s="1" t="b">
        <v>1</v>
      </c>
      <c r="F18" s="1">
        <v>150</v>
      </c>
      <c r="G18" s="28" t="s">
        <v>248</v>
      </c>
      <c r="H18" s="1">
        <v>1</v>
      </c>
      <c r="I18" s="1">
        <v>0</v>
      </c>
      <c r="J18" s="1">
        <v>-1</v>
      </c>
    </row>
    <row r="23" spans="4:6">
      <c r="D23" s="48" t="s">
        <v>25</v>
      </c>
      <c r="E23" s="49"/>
      <c r="F23" s="50"/>
    </row>
    <row r="24" spans="4:6">
      <c r="D24" s="9"/>
      <c r="E24" s="9" t="s">
        <v>249</v>
      </c>
      <c r="F24" s="9" t="s">
        <v>185</v>
      </c>
    </row>
    <row r="25" spans="4:6">
      <c r="D25" s="9" t="s">
        <v>250</v>
      </c>
      <c r="E25" s="9">
        <v>50</v>
      </c>
      <c r="F25" s="9">
        <v>5</v>
      </c>
    </row>
    <row r="26" spans="4:6">
      <c r="D26" s="9" t="s">
        <v>251</v>
      </c>
      <c r="E26" s="9">
        <v>100</v>
      </c>
      <c r="F26" s="9">
        <v>6</v>
      </c>
    </row>
    <row r="27" spans="4:6">
      <c r="D27" s="9" t="s">
        <v>252</v>
      </c>
      <c r="E27" s="9">
        <v>150</v>
      </c>
      <c r="F27" s="9">
        <v>7</v>
      </c>
    </row>
    <row r="28" spans="4:6">
      <c r="D28" s="9" t="s">
        <v>253</v>
      </c>
      <c r="E28" s="9">
        <v>200</v>
      </c>
      <c r="F28" s="9">
        <v>8</v>
      </c>
    </row>
    <row r="29" spans="4:6">
      <c r="D29" s="9" t="s">
        <v>254</v>
      </c>
      <c r="E29" s="9">
        <v>250</v>
      </c>
      <c r="F29" s="9">
        <v>9</v>
      </c>
    </row>
    <row r="31" spans="4:6">
      <c r="D31" s="48" t="s">
        <v>28</v>
      </c>
      <c r="E31" s="49"/>
      <c r="F31" s="50"/>
    </row>
    <row r="32" spans="4:6">
      <c r="D32" s="9"/>
      <c r="E32" s="9" t="s">
        <v>249</v>
      </c>
      <c r="F32" s="9" t="s">
        <v>185</v>
      </c>
    </row>
    <row r="33" spans="4:6">
      <c r="D33" s="9" t="s">
        <v>255</v>
      </c>
      <c r="E33" s="9">
        <f>E25*2</f>
        <v>100</v>
      </c>
      <c r="F33" s="9">
        <f>F25*5</f>
        <v>25</v>
      </c>
    </row>
    <row r="34" spans="4:6">
      <c r="D34" s="9" t="s">
        <v>256</v>
      </c>
      <c r="E34" s="9">
        <f>E26*2</f>
        <v>200</v>
      </c>
      <c r="F34" s="9">
        <f>F26*5</f>
        <v>30</v>
      </c>
    </row>
    <row r="35" spans="4:6">
      <c r="D35" s="9" t="s">
        <v>257</v>
      </c>
      <c r="E35" s="9">
        <f>E27*2</f>
        <v>300</v>
      </c>
      <c r="F35" s="9">
        <f>F27*5</f>
        <v>35</v>
      </c>
    </row>
    <row r="36" spans="4:6">
      <c r="D36" s="9" t="s">
        <v>258</v>
      </c>
      <c r="E36" s="9">
        <f>E28*2</f>
        <v>400</v>
      </c>
      <c r="F36" s="9">
        <f>F28*5</f>
        <v>40</v>
      </c>
    </row>
    <row r="37" spans="4:6">
      <c r="D37" s="9" t="s">
        <v>259</v>
      </c>
      <c r="E37" s="9">
        <f>E29*2</f>
        <v>500</v>
      </c>
      <c r="F37" s="9">
        <f>F29*5</f>
        <v>45</v>
      </c>
    </row>
  </sheetData>
  <autoFilter xmlns:etc="http://www.wps.cn/officeDocument/2017/etCustomData" ref="A1:J18" etc:filterBottomFollowUsedRange="0">
    <extLst/>
  </autoFilter>
  <mergeCells count="2">
    <mergeCell ref="D23:F23"/>
    <mergeCell ref="D31:F31"/>
  </mergeCells>
  <dataValidations count="2">
    <dataValidation type="list" allowBlank="1" showInputMessage="1" showErrorMessage="1" sqref="A3:I3">
      <formula1>"int,long,float,double,boolean,char,string"</formula1>
    </dataValidation>
    <dataValidation type="list" allowBlank="1" showInputMessage="1" showErrorMessage="1" sqref="J3">
      <formula1>"int,long,float,double,boolean,char,string,datetime"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97"/>
  <sheetViews>
    <sheetView workbookViewId="0">
      <pane xSplit="5" ySplit="3" topLeftCell="F74" activePane="bottomRight" state="frozen"/>
      <selection/>
      <selection pane="topRight"/>
      <selection pane="bottomLeft"/>
      <selection pane="bottomRight" activeCell="BE100" sqref="BE100"/>
    </sheetView>
  </sheetViews>
  <sheetFormatPr defaultColWidth="9" defaultRowHeight="17.25"/>
  <cols>
    <col min="1" max="1" width="9" style="1"/>
    <col min="2" max="3" width="11.25" style="1" customWidth="1"/>
    <col min="4" max="4" width="18.125" style="1" customWidth="1"/>
    <col min="5" max="5" width="43" style="1" customWidth="1"/>
    <col min="6" max="6" width="18.625" style="1" customWidth="1"/>
    <col min="7" max="9" width="16.375" style="1" customWidth="1"/>
    <col min="10" max="10" width="66.625" style="21" customWidth="1"/>
    <col min="11" max="11" width="20.25" style="1" customWidth="1"/>
    <col min="12" max="13" width="13.5" style="1" customWidth="1"/>
    <col min="14" max="48" width="12.625" style="39" customWidth="1"/>
    <col min="49" max="60" width="12.625" customWidth="1"/>
  </cols>
  <sheetData>
    <row r="1" s="18" customFormat="1" ht="30" customHeight="1" spans="1:48">
      <c r="A1" s="22" t="s">
        <v>72</v>
      </c>
      <c r="B1" s="22" t="s">
        <v>260</v>
      </c>
      <c r="C1" s="22" t="s">
        <v>261</v>
      </c>
      <c r="D1" s="22" t="s">
        <v>262</v>
      </c>
      <c r="E1" s="22" t="s">
        <v>263</v>
      </c>
      <c r="F1" s="22" t="s">
        <v>264</v>
      </c>
      <c r="G1" s="22" t="s">
        <v>143</v>
      </c>
      <c r="H1" s="22" t="s">
        <v>265</v>
      </c>
      <c r="I1" s="22" t="s">
        <v>144</v>
      </c>
      <c r="J1" s="23" t="s">
        <v>145</v>
      </c>
      <c r="K1" s="22" t="s">
        <v>146</v>
      </c>
      <c r="L1" s="22" t="s">
        <v>266</v>
      </c>
      <c r="M1" s="22" t="s">
        <v>149</v>
      </c>
      <c r="N1" s="22"/>
      <c r="O1" s="22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</row>
    <row r="2" s="19" customFormat="1" ht="30" customHeight="1" spans="1:48">
      <c r="A2" s="24" t="s">
        <v>93</v>
      </c>
      <c r="B2" s="24" t="s">
        <v>150</v>
      </c>
      <c r="C2" s="24" t="s">
        <v>151</v>
      </c>
      <c r="D2" s="24" t="s">
        <v>267</v>
      </c>
      <c r="E2" s="24" t="s">
        <v>268</v>
      </c>
      <c r="F2" s="24" t="s">
        <v>153</v>
      </c>
      <c r="G2" s="24" t="s">
        <v>154</v>
      </c>
      <c r="H2" s="24" t="s">
        <v>269</v>
      </c>
      <c r="I2" s="24" t="s">
        <v>155</v>
      </c>
      <c r="J2" s="25" t="s">
        <v>156</v>
      </c>
      <c r="K2" s="24" t="s">
        <v>157</v>
      </c>
      <c r="L2" s="24" t="s">
        <v>270</v>
      </c>
      <c r="M2" s="24" t="s">
        <v>160</v>
      </c>
      <c r="N2" s="24"/>
      <c r="O2" s="24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</row>
    <row r="3" s="20" customFormat="1" ht="30" customHeight="1" spans="1:48">
      <c r="A3" s="26" t="s">
        <v>115</v>
      </c>
      <c r="B3" s="26" t="s">
        <v>115</v>
      </c>
      <c r="C3" s="26" t="s">
        <v>115</v>
      </c>
      <c r="D3" s="26" t="s">
        <v>116</v>
      </c>
      <c r="E3" s="26" t="s">
        <v>116</v>
      </c>
      <c r="F3" s="26" t="s">
        <v>115</v>
      </c>
      <c r="G3" s="26" t="s">
        <v>118</v>
      </c>
      <c r="H3" s="26" t="s">
        <v>115</v>
      </c>
      <c r="I3" s="26" t="s">
        <v>115</v>
      </c>
      <c r="J3" s="27" t="s">
        <v>116</v>
      </c>
      <c r="K3" s="26" t="s">
        <v>115</v>
      </c>
      <c r="L3" s="26" t="s">
        <v>115</v>
      </c>
      <c r="M3" s="26" t="s">
        <v>161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</row>
    <row r="4" ht="20" customHeight="1" spans="1:13">
      <c r="A4" s="1">
        <v>10001</v>
      </c>
      <c r="B4" s="1">
        <v>1</v>
      </c>
      <c r="C4" s="1">
        <v>10</v>
      </c>
      <c r="D4" s="1" t="s">
        <v>271</v>
      </c>
      <c r="E4" s="1" t="s">
        <v>272</v>
      </c>
      <c r="G4" s="1" t="b">
        <v>1</v>
      </c>
      <c r="H4" s="1">
        <v>1</v>
      </c>
      <c r="I4" s="1">
        <v>1</v>
      </c>
      <c r="J4" s="28" t="s">
        <v>273</v>
      </c>
      <c r="K4" s="1">
        <v>0</v>
      </c>
      <c r="L4" s="1">
        <v>0</v>
      </c>
      <c r="M4" s="1">
        <v>-1</v>
      </c>
    </row>
    <row r="5" ht="20" customHeight="1" spans="1:13">
      <c r="A5" s="1">
        <v>10002</v>
      </c>
      <c r="B5" s="1">
        <v>1</v>
      </c>
      <c r="C5" s="1">
        <v>10</v>
      </c>
      <c r="D5" s="1" t="s">
        <v>271</v>
      </c>
      <c r="E5" s="1" t="s">
        <v>272</v>
      </c>
      <c r="F5" s="1">
        <f t="shared" ref="F5:F10" si="0">A4</f>
        <v>10001</v>
      </c>
      <c r="G5" s="1" t="b">
        <v>0</v>
      </c>
      <c r="H5" s="1">
        <v>1</v>
      </c>
      <c r="I5" s="1">
        <v>3</v>
      </c>
      <c r="J5" s="28" t="s">
        <v>274</v>
      </c>
      <c r="K5" s="1">
        <v>0</v>
      </c>
      <c r="L5" s="1">
        <v>0</v>
      </c>
      <c r="M5" s="1">
        <v>-1</v>
      </c>
    </row>
    <row r="6" ht="20" customHeight="1" spans="1:13">
      <c r="A6" s="1">
        <v>10003</v>
      </c>
      <c r="B6" s="1">
        <v>1</v>
      </c>
      <c r="C6" s="1">
        <v>10</v>
      </c>
      <c r="D6" s="1" t="s">
        <v>271</v>
      </c>
      <c r="E6" s="1" t="s">
        <v>272</v>
      </c>
      <c r="F6" s="1">
        <f t="shared" si="0"/>
        <v>10002</v>
      </c>
      <c r="G6" s="1" t="b">
        <v>0</v>
      </c>
      <c r="H6" s="1">
        <v>1</v>
      </c>
      <c r="I6" s="1">
        <v>7</v>
      </c>
      <c r="J6" s="28" t="s">
        <v>275</v>
      </c>
      <c r="K6" s="1">
        <v>0</v>
      </c>
      <c r="L6" s="1">
        <v>0</v>
      </c>
      <c r="M6" s="1">
        <v>-1</v>
      </c>
    </row>
    <row r="7" ht="20" customHeight="1" spans="1:13">
      <c r="A7" s="1">
        <v>10004</v>
      </c>
      <c r="B7" s="1">
        <v>1</v>
      </c>
      <c r="C7" s="1">
        <v>10</v>
      </c>
      <c r="D7" s="1" t="s">
        <v>271</v>
      </c>
      <c r="E7" s="1" t="s">
        <v>272</v>
      </c>
      <c r="F7" s="1">
        <f t="shared" si="0"/>
        <v>10003</v>
      </c>
      <c r="G7" s="1" t="b">
        <v>0</v>
      </c>
      <c r="H7" s="1">
        <v>1</v>
      </c>
      <c r="I7" s="1">
        <v>30</v>
      </c>
      <c r="J7" s="28" t="s">
        <v>276</v>
      </c>
      <c r="K7" s="1">
        <v>0</v>
      </c>
      <c r="L7" s="1">
        <v>0</v>
      </c>
      <c r="M7" s="1">
        <v>-1</v>
      </c>
    </row>
    <row r="8" ht="20" customHeight="1" spans="1:13">
      <c r="A8" s="1">
        <v>10005</v>
      </c>
      <c r="B8" s="1">
        <v>1</v>
      </c>
      <c r="C8" s="1">
        <v>10</v>
      </c>
      <c r="D8" s="1" t="s">
        <v>271</v>
      </c>
      <c r="E8" s="1" t="s">
        <v>272</v>
      </c>
      <c r="F8" s="1">
        <f t="shared" si="0"/>
        <v>10004</v>
      </c>
      <c r="G8" s="1" t="b">
        <v>0</v>
      </c>
      <c r="H8" s="1">
        <v>1</v>
      </c>
      <c r="I8" s="1">
        <v>90</v>
      </c>
      <c r="J8" s="28" t="s">
        <v>277</v>
      </c>
      <c r="K8" s="1">
        <v>0</v>
      </c>
      <c r="L8" s="1">
        <v>0</v>
      </c>
      <c r="M8" s="1">
        <v>-1</v>
      </c>
    </row>
    <row r="9" ht="20" customHeight="1" spans="1:13">
      <c r="A9" s="1">
        <v>10006</v>
      </c>
      <c r="B9" s="1">
        <v>1</v>
      </c>
      <c r="C9" s="1">
        <v>10</v>
      </c>
      <c r="D9" s="1" t="s">
        <v>271</v>
      </c>
      <c r="E9" s="1" t="s">
        <v>272</v>
      </c>
      <c r="F9" s="1">
        <f t="shared" si="0"/>
        <v>10005</v>
      </c>
      <c r="G9" s="1" t="b">
        <v>0</v>
      </c>
      <c r="H9" s="1">
        <v>1</v>
      </c>
      <c r="I9" s="1">
        <v>180</v>
      </c>
      <c r="J9" s="28" t="s">
        <v>278</v>
      </c>
      <c r="K9" s="1">
        <v>0</v>
      </c>
      <c r="L9" s="1">
        <v>0</v>
      </c>
      <c r="M9" s="1">
        <v>-1</v>
      </c>
    </row>
    <row r="10" ht="20" customHeight="1" spans="1:13">
      <c r="A10" s="1">
        <v>10007</v>
      </c>
      <c r="B10" s="1">
        <v>1</v>
      </c>
      <c r="C10" s="1">
        <v>10</v>
      </c>
      <c r="D10" s="1" t="s">
        <v>271</v>
      </c>
      <c r="E10" s="1" t="s">
        <v>272</v>
      </c>
      <c r="F10" s="1">
        <f t="shared" si="0"/>
        <v>10006</v>
      </c>
      <c r="G10" s="1" t="b">
        <v>0</v>
      </c>
      <c r="H10" s="1">
        <v>1</v>
      </c>
      <c r="I10" s="1">
        <v>360</v>
      </c>
      <c r="J10" s="28" t="s">
        <v>279</v>
      </c>
      <c r="K10" s="1">
        <v>0</v>
      </c>
      <c r="L10" s="1">
        <v>0</v>
      </c>
      <c r="M10" s="1">
        <v>-1</v>
      </c>
    </row>
    <row r="11" ht="20" customHeight="1" spans="1:13">
      <c r="A11" s="1">
        <v>10008</v>
      </c>
      <c r="B11" s="1">
        <v>1</v>
      </c>
      <c r="C11" s="1">
        <v>11</v>
      </c>
      <c r="D11" s="1" t="s">
        <v>280</v>
      </c>
      <c r="E11" s="1" t="s">
        <v>281</v>
      </c>
      <c r="G11" s="1" t="b">
        <v>1</v>
      </c>
      <c r="H11" s="1">
        <v>6</v>
      </c>
      <c r="I11" s="1">
        <v>1</v>
      </c>
      <c r="J11" s="28" t="s">
        <v>282</v>
      </c>
      <c r="K11" s="1">
        <v>4</v>
      </c>
      <c r="L11" s="1">
        <v>0</v>
      </c>
      <c r="M11" s="1">
        <v>-1</v>
      </c>
    </row>
    <row r="12" ht="20" customHeight="1" spans="1:13">
      <c r="A12" s="1">
        <v>10009</v>
      </c>
      <c r="B12" s="1">
        <v>1</v>
      </c>
      <c r="C12" s="1">
        <v>11</v>
      </c>
      <c r="D12" s="1" t="s">
        <v>280</v>
      </c>
      <c r="E12" s="1" t="s">
        <v>281</v>
      </c>
      <c r="F12" s="1">
        <f t="shared" ref="F12:F15" si="1">A11</f>
        <v>10008</v>
      </c>
      <c r="G12" s="1" t="b">
        <v>0</v>
      </c>
      <c r="H12" s="1">
        <v>6</v>
      </c>
      <c r="I12" s="1">
        <v>10</v>
      </c>
      <c r="J12" s="28" t="s">
        <v>283</v>
      </c>
      <c r="K12" s="1">
        <v>4</v>
      </c>
      <c r="L12" s="1">
        <v>0</v>
      </c>
      <c r="M12" s="1">
        <v>-1</v>
      </c>
    </row>
    <row r="13" ht="20" customHeight="1" spans="1:13">
      <c r="A13" s="1">
        <v>10010</v>
      </c>
      <c r="B13" s="1">
        <v>1</v>
      </c>
      <c r="C13" s="1">
        <v>11</v>
      </c>
      <c r="D13" s="1" t="s">
        <v>280</v>
      </c>
      <c r="E13" s="1" t="s">
        <v>281</v>
      </c>
      <c r="F13" s="1">
        <f t="shared" si="1"/>
        <v>10009</v>
      </c>
      <c r="G13" s="1" t="b">
        <v>0</v>
      </c>
      <c r="H13" s="1">
        <v>6</v>
      </c>
      <c r="I13" s="1">
        <v>100</v>
      </c>
      <c r="J13" s="28" t="s">
        <v>284</v>
      </c>
      <c r="K13" s="1">
        <v>4</v>
      </c>
      <c r="L13" s="1">
        <v>0</v>
      </c>
      <c r="M13" s="1">
        <v>-1</v>
      </c>
    </row>
    <row r="14" ht="20" customHeight="1" spans="1:13">
      <c r="A14" s="1">
        <v>10011</v>
      </c>
      <c r="B14" s="1">
        <v>1</v>
      </c>
      <c r="C14" s="1">
        <v>11</v>
      </c>
      <c r="D14" s="1" t="s">
        <v>280</v>
      </c>
      <c r="E14" s="1" t="s">
        <v>281</v>
      </c>
      <c r="F14" s="1">
        <f t="shared" si="1"/>
        <v>10010</v>
      </c>
      <c r="G14" s="1" t="b">
        <v>0</v>
      </c>
      <c r="H14" s="1">
        <v>6</v>
      </c>
      <c r="I14" s="1">
        <v>1000</v>
      </c>
      <c r="J14" s="28" t="s">
        <v>285</v>
      </c>
      <c r="K14" s="1">
        <v>4</v>
      </c>
      <c r="L14" s="1">
        <v>0</v>
      </c>
      <c r="M14" s="1">
        <v>-1</v>
      </c>
    </row>
    <row r="15" ht="20" customHeight="1" spans="1:13">
      <c r="A15" s="1">
        <v>10012</v>
      </c>
      <c r="B15" s="1">
        <v>1</v>
      </c>
      <c r="C15" s="1">
        <v>11</v>
      </c>
      <c r="D15" s="1" t="s">
        <v>280</v>
      </c>
      <c r="E15" s="1" t="s">
        <v>281</v>
      </c>
      <c r="F15" s="1">
        <f t="shared" si="1"/>
        <v>10011</v>
      </c>
      <c r="G15" s="1" t="b">
        <v>0</v>
      </c>
      <c r="H15" s="1">
        <v>6</v>
      </c>
      <c r="I15" s="1">
        <v>10000</v>
      </c>
      <c r="J15" s="28" t="s">
        <v>286</v>
      </c>
      <c r="K15" s="1">
        <v>4</v>
      </c>
      <c r="L15" s="1">
        <v>0</v>
      </c>
      <c r="M15" s="1">
        <v>-1</v>
      </c>
    </row>
    <row r="16" ht="20" customHeight="1" spans="1:13">
      <c r="A16" s="1">
        <v>10013</v>
      </c>
      <c r="B16" s="1">
        <v>1</v>
      </c>
      <c r="C16" s="1">
        <v>12</v>
      </c>
      <c r="D16" s="1" t="s">
        <v>287</v>
      </c>
      <c r="E16" s="1" t="s">
        <v>288</v>
      </c>
      <c r="G16" s="1" t="b">
        <v>1</v>
      </c>
      <c r="H16" s="1">
        <v>7</v>
      </c>
      <c r="I16" s="1">
        <v>1</v>
      </c>
      <c r="J16" s="28" t="s">
        <v>282</v>
      </c>
      <c r="K16" s="1">
        <v>5</v>
      </c>
      <c r="L16" s="1">
        <v>0</v>
      </c>
      <c r="M16" s="1">
        <v>-1</v>
      </c>
    </row>
    <row r="17" ht="20" customHeight="1" spans="1:13">
      <c r="A17" s="1">
        <v>10014</v>
      </c>
      <c r="B17" s="1">
        <v>1</v>
      </c>
      <c r="C17" s="1">
        <v>12</v>
      </c>
      <c r="D17" s="1" t="s">
        <v>287</v>
      </c>
      <c r="E17" s="1" t="s">
        <v>288</v>
      </c>
      <c r="F17" s="1">
        <f t="shared" ref="F17:F20" si="2">A16</f>
        <v>10013</v>
      </c>
      <c r="G17" s="1" t="b">
        <v>0</v>
      </c>
      <c r="H17" s="1">
        <v>7</v>
      </c>
      <c r="I17" s="1">
        <v>5</v>
      </c>
      <c r="J17" s="28" t="s">
        <v>283</v>
      </c>
      <c r="K17" s="1">
        <v>5</v>
      </c>
      <c r="L17" s="1">
        <v>0</v>
      </c>
      <c r="M17" s="1">
        <v>-1</v>
      </c>
    </row>
    <row r="18" ht="20" customHeight="1" spans="1:13">
      <c r="A18" s="1">
        <v>10015</v>
      </c>
      <c r="B18" s="1">
        <v>1</v>
      </c>
      <c r="C18" s="1">
        <v>12</v>
      </c>
      <c r="D18" s="1" t="s">
        <v>287</v>
      </c>
      <c r="E18" s="1" t="s">
        <v>288</v>
      </c>
      <c r="F18" s="1">
        <f t="shared" si="2"/>
        <v>10014</v>
      </c>
      <c r="G18" s="1" t="b">
        <v>0</v>
      </c>
      <c r="H18" s="1">
        <v>7</v>
      </c>
      <c r="I18" s="1">
        <v>10</v>
      </c>
      <c r="J18" s="28" t="s">
        <v>284</v>
      </c>
      <c r="K18" s="1">
        <v>5</v>
      </c>
      <c r="L18" s="1">
        <v>0</v>
      </c>
      <c r="M18" s="1">
        <v>-1</v>
      </c>
    </row>
    <row r="19" ht="20" customHeight="1" spans="1:13">
      <c r="A19" s="1">
        <v>10016</v>
      </c>
      <c r="B19" s="1">
        <v>1</v>
      </c>
      <c r="C19" s="1">
        <v>12</v>
      </c>
      <c r="D19" s="1" t="s">
        <v>287</v>
      </c>
      <c r="E19" s="1" t="s">
        <v>288</v>
      </c>
      <c r="F19" s="1">
        <f t="shared" si="2"/>
        <v>10015</v>
      </c>
      <c r="G19" s="1" t="b">
        <v>0</v>
      </c>
      <c r="H19" s="1">
        <v>7</v>
      </c>
      <c r="I19" s="1">
        <v>50</v>
      </c>
      <c r="J19" s="28" t="s">
        <v>285</v>
      </c>
      <c r="K19" s="1">
        <v>5</v>
      </c>
      <c r="L19" s="1">
        <v>0</v>
      </c>
      <c r="M19" s="1">
        <v>-1</v>
      </c>
    </row>
    <row r="20" ht="20" customHeight="1" spans="1:13">
      <c r="A20" s="1">
        <v>10017</v>
      </c>
      <c r="B20" s="1">
        <v>1</v>
      </c>
      <c r="C20" s="1">
        <v>12</v>
      </c>
      <c r="D20" s="1" t="s">
        <v>287</v>
      </c>
      <c r="E20" s="1" t="s">
        <v>288</v>
      </c>
      <c r="F20" s="1">
        <f t="shared" si="2"/>
        <v>10016</v>
      </c>
      <c r="G20" s="1" t="b">
        <v>0</v>
      </c>
      <c r="H20" s="1">
        <v>7</v>
      </c>
      <c r="I20" s="1">
        <v>100</v>
      </c>
      <c r="J20" s="28" t="s">
        <v>286</v>
      </c>
      <c r="K20" s="1">
        <v>5</v>
      </c>
      <c r="L20" s="1">
        <v>0</v>
      </c>
      <c r="M20" s="1">
        <v>-1</v>
      </c>
    </row>
    <row r="21" ht="20" customHeight="1" spans="1:13">
      <c r="A21" s="1">
        <v>10018</v>
      </c>
      <c r="B21" s="1">
        <v>1</v>
      </c>
      <c r="C21" s="1">
        <v>13</v>
      </c>
      <c r="D21" s="1" t="s">
        <v>289</v>
      </c>
      <c r="E21" s="1" t="s">
        <v>290</v>
      </c>
      <c r="G21" s="1" t="b">
        <v>1</v>
      </c>
      <c r="H21" s="1">
        <v>8</v>
      </c>
      <c r="I21" s="1">
        <v>1</v>
      </c>
      <c r="J21" s="28" t="s">
        <v>282</v>
      </c>
      <c r="K21" s="1">
        <v>6</v>
      </c>
      <c r="L21" s="1">
        <v>0</v>
      </c>
      <c r="M21" s="1">
        <v>-1</v>
      </c>
    </row>
    <row r="22" ht="20" customHeight="1" spans="1:13">
      <c r="A22" s="1">
        <v>10019</v>
      </c>
      <c r="B22" s="1">
        <v>1</v>
      </c>
      <c r="C22" s="1">
        <v>13</v>
      </c>
      <c r="D22" s="1" t="s">
        <v>289</v>
      </c>
      <c r="E22" s="1" t="s">
        <v>290</v>
      </c>
      <c r="F22" s="1">
        <f t="shared" ref="F22:F25" si="3">A21</f>
        <v>10018</v>
      </c>
      <c r="G22" s="1" t="b">
        <v>0</v>
      </c>
      <c r="H22" s="1">
        <v>8</v>
      </c>
      <c r="I22" s="1">
        <v>6</v>
      </c>
      <c r="J22" s="28" t="s">
        <v>283</v>
      </c>
      <c r="K22" s="1">
        <v>6</v>
      </c>
      <c r="L22" s="1">
        <v>0</v>
      </c>
      <c r="M22" s="1">
        <v>-1</v>
      </c>
    </row>
    <row r="23" ht="20" customHeight="1" spans="1:13">
      <c r="A23" s="1">
        <v>10020</v>
      </c>
      <c r="B23" s="1">
        <v>1</v>
      </c>
      <c r="C23" s="1">
        <v>13</v>
      </c>
      <c r="D23" s="1" t="s">
        <v>289</v>
      </c>
      <c r="E23" s="1" t="s">
        <v>290</v>
      </c>
      <c r="F23" s="1">
        <f t="shared" si="3"/>
        <v>10019</v>
      </c>
      <c r="G23" s="1" t="b">
        <v>0</v>
      </c>
      <c r="H23" s="1">
        <v>8</v>
      </c>
      <c r="I23" s="1">
        <v>36</v>
      </c>
      <c r="J23" s="28" t="s">
        <v>284</v>
      </c>
      <c r="K23" s="1">
        <v>6</v>
      </c>
      <c r="L23" s="1">
        <v>0</v>
      </c>
      <c r="M23" s="1">
        <v>-1</v>
      </c>
    </row>
    <row r="24" ht="20" customHeight="1" spans="1:13">
      <c r="A24" s="1">
        <v>10021</v>
      </c>
      <c r="B24" s="1">
        <v>1</v>
      </c>
      <c r="C24" s="1">
        <v>13</v>
      </c>
      <c r="D24" s="1" t="s">
        <v>289</v>
      </c>
      <c r="E24" s="1" t="s">
        <v>290</v>
      </c>
      <c r="F24" s="1">
        <f t="shared" si="3"/>
        <v>10020</v>
      </c>
      <c r="G24" s="1" t="b">
        <v>0</v>
      </c>
      <c r="H24" s="1">
        <v>8</v>
      </c>
      <c r="I24" s="1">
        <v>216</v>
      </c>
      <c r="J24" s="28" t="s">
        <v>285</v>
      </c>
      <c r="K24" s="1">
        <v>6</v>
      </c>
      <c r="L24" s="1">
        <v>0</v>
      </c>
      <c r="M24" s="1">
        <v>-1</v>
      </c>
    </row>
    <row r="25" ht="20" customHeight="1" spans="1:13">
      <c r="A25" s="1">
        <v>10022</v>
      </c>
      <c r="B25" s="1">
        <v>1</v>
      </c>
      <c r="C25" s="1">
        <v>13</v>
      </c>
      <c r="D25" s="1" t="s">
        <v>289</v>
      </c>
      <c r="E25" s="1" t="s">
        <v>290</v>
      </c>
      <c r="F25" s="1">
        <f t="shared" si="3"/>
        <v>10021</v>
      </c>
      <c r="G25" s="1" t="b">
        <v>0</v>
      </c>
      <c r="H25" s="1">
        <v>8</v>
      </c>
      <c r="I25" s="1">
        <v>1296</v>
      </c>
      <c r="J25" s="28" t="s">
        <v>286</v>
      </c>
      <c r="K25" s="1">
        <v>6</v>
      </c>
      <c r="L25" s="1">
        <v>0</v>
      </c>
      <c r="M25" s="1">
        <v>-1</v>
      </c>
    </row>
    <row r="26" ht="20" customHeight="1" spans="1:13">
      <c r="A26" s="1">
        <v>10023</v>
      </c>
      <c r="B26" s="1">
        <v>1</v>
      </c>
      <c r="C26" s="1">
        <v>14</v>
      </c>
      <c r="D26" s="1" t="s">
        <v>291</v>
      </c>
      <c r="E26" s="1" t="s">
        <v>292</v>
      </c>
      <c r="G26" s="1" t="b">
        <v>1</v>
      </c>
      <c r="H26" s="1">
        <v>9</v>
      </c>
      <c r="I26" s="1">
        <v>1</v>
      </c>
      <c r="J26" s="28" t="s">
        <v>282</v>
      </c>
      <c r="K26" s="1">
        <v>7</v>
      </c>
      <c r="L26" s="1">
        <v>0</v>
      </c>
      <c r="M26" s="1">
        <v>-1</v>
      </c>
    </row>
    <row r="27" ht="20" customHeight="1" spans="1:13">
      <c r="A27" s="1">
        <v>10024</v>
      </c>
      <c r="B27" s="1">
        <v>1</v>
      </c>
      <c r="C27" s="1">
        <v>14</v>
      </c>
      <c r="D27" s="1" t="s">
        <v>291</v>
      </c>
      <c r="E27" s="1" t="s">
        <v>292</v>
      </c>
      <c r="F27" s="1">
        <f t="shared" ref="F27:F30" si="4">A26</f>
        <v>10023</v>
      </c>
      <c r="G27" s="1" t="b">
        <v>0</v>
      </c>
      <c r="H27" s="1">
        <v>9</v>
      </c>
      <c r="I27" s="1">
        <v>8</v>
      </c>
      <c r="J27" s="28" t="s">
        <v>283</v>
      </c>
      <c r="K27" s="1">
        <v>7</v>
      </c>
      <c r="L27" s="1">
        <v>0</v>
      </c>
      <c r="M27" s="1">
        <v>-1</v>
      </c>
    </row>
    <row r="28" ht="20" customHeight="1" spans="1:13">
      <c r="A28" s="1">
        <v>10025</v>
      </c>
      <c r="B28" s="1">
        <v>1</v>
      </c>
      <c r="C28" s="1">
        <v>14</v>
      </c>
      <c r="D28" s="1" t="s">
        <v>291</v>
      </c>
      <c r="E28" s="1" t="s">
        <v>292</v>
      </c>
      <c r="F28" s="1">
        <f t="shared" si="4"/>
        <v>10024</v>
      </c>
      <c r="G28" s="1" t="b">
        <v>0</v>
      </c>
      <c r="H28" s="1">
        <v>9</v>
      </c>
      <c r="I28" s="1">
        <v>64</v>
      </c>
      <c r="J28" s="28" t="s">
        <v>284</v>
      </c>
      <c r="K28" s="1">
        <v>7</v>
      </c>
      <c r="L28" s="1">
        <v>0</v>
      </c>
      <c r="M28" s="1">
        <v>-1</v>
      </c>
    </row>
    <row r="29" ht="20" customHeight="1" spans="1:13">
      <c r="A29" s="1">
        <v>10026</v>
      </c>
      <c r="B29" s="1">
        <v>1</v>
      </c>
      <c r="C29" s="1">
        <v>14</v>
      </c>
      <c r="D29" s="1" t="s">
        <v>291</v>
      </c>
      <c r="E29" s="1" t="s">
        <v>292</v>
      </c>
      <c r="F29" s="1">
        <f t="shared" si="4"/>
        <v>10025</v>
      </c>
      <c r="G29" s="1" t="b">
        <v>0</v>
      </c>
      <c r="H29" s="1">
        <v>9</v>
      </c>
      <c r="I29" s="1">
        <v>512</v>
      </c>
      <c r="J29" s="28" t="s">
        <v>285</v>
      </c>
      <c r="K29" s="1">
        <v>7</v>
      </c>
      <c r="L29" s="1">
        <v>0</v>
      </c>
      <c r="M29" s="1">
        <v>-1</v>
      </c>
    </row>
    <row r="30" ht="20" customHeight="1" spans="1:13">
      <c r="A30" s="1">
        <v>10027</v>
      </c>
      <c r="B30" s="1">
        <v>1</v>
      </c>
      <c r="C30" s="1">
        <v>14</v>
      </c>
      <c r="D30" s="1" t="s">
        <v>291</v>
      </c>
      <c r="E30" s="1" t="s">
        <v>292</v>
      </c>
      <c r="F30" s="1">
        <f t="shared" si="4"/>
        <v>10026</v>
      </c>
      <c r="G30" s="1" t="b">
        <v>0</v>
      </c>
      <c r="H30" s="1">
        <v>9</v>
      </c>
      <c r="I30" s="1">
        <v>4096</v>
      </c>
      <c r="J30" s="28" t="s">
        <v>286</v>
      </c>
      <c r="K30" s="1">
        <v>7</v>
      </c>
      <c r="L30" s="1">
        <v>0</v>
      </c>
      <c r="M30" s="1">
        <v>-1</v>
      </c>
    </row>
    <row r="31" ht="20" customHeight="1" spans="1:13">
      <c r="A31" s="1">
        <v>10028</v>
      </c>
      <c r="B31" s="1">
        <v>1</v>
      </c>
      <c r="C31" s="1">
        <v>15</v>
      </c>
      <c r="D31" s="1" t="s">
        <v>293</v>
      </c>
      <c r="E31" s="1" t="s">
        <v>294</v>
      </c>
      <c r="G31" s="1" t="b">
        <v>1</v>
      </c>
      <c r="H31" s="1">
        <v>2</v>
      </c>
      <c r="I31" s="1">
        <v>1</v>
      </c>
      <c r="J31" s="28" t="s">
        <v>282</v>
      </c>
      <c r="K31" s="1">
        <v>4</v>
      </c>
      <c r="L31" s="1">
        <v>0</v>
      </c>
      <c r="M31" s="1">
        <v>-1</v>
      </c>
    </row>
    <row r="32" ht="20" customHeight="1" spans="1:13">
      <c r="A32" s="1">
        <v>10029</v>
      </c>
      <c r="B32" s="1">
        <v>1</v>
      </c>
      <c r="C32" s="1">
        <v>15</v>
      </c>
      <c r="D32" s="1" t="s">
        <v>293</v>
      </c>
      <c r="E32" s="1" t="s">
        <v>294</v>
      </c>
      <c r="F32" s="1">
        <f t="shared" ref="F32:F35" si="5">A31</f>
        <v>10028</v>
      </c>
      <c r="G32" s="1" t="b">
        <v>0</v>
      </c>
      <c r="H32" s="1">
        <v>2</v>
      </c>
      <c r="I32" s="1">
        <v>10</v>
      </c>
      <c r="J32" s="28" t="s">
        <v>283</v>
      </c>
      <c r="K32" s="1">
        <v>4</v>
      </c>
      <c r="L32" s="1">
        <v>0</v>
      </c>
      <c r="M32" s="1">
        <v>-1</v>
      </c>
    </row>
    <row r="33" ht="20" customHeight="1" spans="1:13">
      <c r="A33" s="1">
        <v>10030</v>
      </c>
      <c r="B33" s="1">
        <v>1</v>
      </c>
      <c r="C33" s="1">
        <v>15</v>
      </c>
      <c r="D33" s="1" t="s">
        <v>293</v>
      </c>
      <c r="E33" s="1" t="s">
        <v>294</v>
      </c>
      <c r="F33" s="1">
        <f t="shared" si="5"/>
        <v>10029</v>
      </c>
      <c r="G33" s="1" t="b">
        <v>0</v>
      </c>
      <c r="H33" s="1">
        <v>2</v>
      </c>
      <c r="I33" s="1">
        <v>100</v>
      </c>
      <c r="J33" s="28" t="s">
        <v>284</v>
      </c>
      <c r="K33" s="1">
        <v>4</v>
      </c>
      <c r="L33" s="1">
        <v>0</v>
      </c>
      <c r="M33" s="1">
        <v>-1</v>
      </c>
    </row>
    <row r="34" ht="20" customHeight="1" spans="1:13">
      <c r="A34" s="1">
        <v>10031</v>
      </c>
      <c r="B34" s="1">
        <v>1</v>
      </c>
      <c r="C34" s="1">
        <v>15</v>
      </c>
      <c r="D34" s="1" t="s">
        <v>293</v>
      </c>
      <c r="E34" s="1" t="s">
        <v>294</v>
      </c>
      <c r="F34" s="1">
        <f t="shared" si="5"/>
        <v>10030</v>
      </c>
      <c r="G34" s="1" t="b">
        <v>0</v>
      </c>
      <c r="H34" s="1">
        <v>2</v>
      </c>
      <c r="I34" s="1">
        <v>1000</v>
      </c>
      <c r="J34" s="28" t="s">
        <v>285</v>
      </c>
      <c r="K34" s="1">
        <v>4</v>
      </c>
      <c r="L34" s="1">
        <v>0</v>
      </c>
      <c r="M34" s="1">
        <v>-1</v>
      </c>
    </row>
    <row r="35" ht="20" customHeight="1" spans="1:13">
      <c r="A35" s="1">
        <v>10032</v>
      </c>
      <c r="B35" s="1">
        <v>1</v>
      </c>
      <c r="C35" s="1">
        <v>15</v>
      </c>
      <c r="D35" s="1" t="s">
        <v>293</v>
      </c>
      <c r="E35" s="1" t="s">
        <v>294</v>
      </c>
      <c r="F35" s="1">
        <f t="shared" si="5"/>
        <v>10031</v>
      </c>
      <c r="G35" s="1" t="b">
        <v>0</v>
      </c>
      <c r="H35" s="1">
        <v>2</v>
      </c>
      <c r="I35" s="1">
        <v>10000</v>
      </c>
      <c r="J35" s="28" t="s">
        <v>286</v>
      </c>
      <c r="K35" s="1">
        <v>4</v>
      </c>
      <c r="L35" s="1">
        <v>0</v>
      </c>
      <c r="M35" s="1">
        <v>-1</v>
      </c>
    </row>
    <row r="36" ht="20" customHeight="1" spans="1:13">
      <c r="A36" s="1">
        <v>10033</v>
      </c>
      <c r="B36" s="1">
        <v>1</v>
      </c>
      <c r="C36" s="1">
        <v>16</v>
      </c>
      <c r="D36" s="1" t="s">
        <v>295</v>
      </c>
      <c r="E36" s="1" t="s">
        <v>296</v>
      </c>
      <c r="G36" s="1" t="b">
        <v>1</v>
      </c>
      <c r="H36" s="1">
        <v>3</v>
      </c>
      <c r="I36" s="1">
        <v>1</v>
      </c>
      <c r="J36" s="28" t="s">
        <v>282</v>
      </c>
      <c r="K36" s="1">
        <v>5</v>
      </c>
      <c r="L36" s="1">
        <v>0</v>
      </c>
      <c r="M36" s="1">
        <v>-1</v>
      </c>
    </row>
    <row r="37" ht="20" customHeight="1" spans="1:13">
      <c r="A37" s="1">
        <v>10034</v>
      </c>
      <c r="B37" s="1">
        <v>1</v>
      </c>
      <c r="C37" s="1">
        <v>16</v>
      </c>
      <c r="D37" s="1" t="s">
        <v>295</v>
      </c>
      <c r="E37" s="1" t="s">
        <v>296</v>
      </c>
      <c r="F37" s="1">
        <f t="shared" ref="F37:F40" si="6">A36</f>
        <v>10033</v>
      </c>
      <c r="G37" s="1" t="b">
        <v>0</v>
      </c>
      <c r="H37" s="1">
        <v>3</v>
      </c>
      <c r="I37" s="1">
        <v>10</v>
      </c>
      <c r="J37" s="28" t="s">
        <v>283</v>
      </c>
      <c r="K37" s="1">
        <v>5</v>
      </c>
      <c r="L37" s="1">
        <v>0</v>
      </c>
      <c r="M37" s="1">
        <v>-1</v>
      </c>
    </row>
    <row r="38" ht="20" customHeight="1" spans="1:13">
      <c r="A38" s="1">
        <v>10035</v>
      </c>
      <c r="B38" s="1">
        <v>1</v>
      </c>
      <c r="C38" s="1">
        <v>16</v>
      </c>
      <c r="D38" s="1" t="s">
        <v>295</v>
      </c>
      <c r="E38" s="1" t="s">
        <v>296</v>
      </c>
      <c r="F38" s="1">
        <f t="shared" si="6"/>
        <v>10034</v>
      </c>
      <c r="G38" s="1" t="b">
        <v>0</v>
      </c>
      <c r="H38" s="1">
        <v>3</v>
      </c>
      <c r="I38" s="1">
        <v>100</v>
      </c>
      <c r="J38" s="28" t="s">
        <v>284</v>
      </c>
      <c r="K38" s="1">
        <v>5</v>
      </c>
      <c r="L38" s="1">
        <v>0</v>
      </c>
      <c r="M38" s="1">
        <v>-1</v>
      </c>
    </row>
    <row r="39" ht="20" customHeight="1" spans="1:13">
      <c r="A39" s="1">
        <v>10036</v>
      </c>
      <c r="B39" s="1">
        <v>1</v>
      </c>
      <c r="C39" s="1">
        <v>16</v>
      </c>
      <c r="D39" s="1" t="s">
        <v>295</v>
      </c>
      <c r="E39" s="1" t="s">
        <v>296</v>
      </c>
      <c r="F39" s="1">
        <f t="shared" si="6"/>
        <v>10035</v>
      </c>
      <c r="G39" s="1" t="b">
        <v>0</v>
      </c>
      <c r="H39" s="1">
        <v>3</v>
      </c>
      <c r="I39" s="1">
        <v>1000</v>
      </c>
      <c r="J39" s="28" t="s">
        <v>285</v>
      </c>
      <c r="K39" s="1">
        <v>5</v>
      </c>
      <c r="L39" s="1">
        <v>0</v>
      </c>
      <c r="M39" s="1">
        <v>-1</v>
      </c>
    </row>
    <row r="40" ht="20" customHeight="1" spans="1:13">
      <c r="A40" s="1">
        <v>10037</v>
      </c>
      <c r="B40" s="1">
        <v>1</v>
      </c>
      <c r="C40" s="1">
        <v>16</v>
      </c>
      <c r="D40" s="1" t="s">
        <v>295</v>
      </c>
      <c r="E40" s="1" t="s">
        <v>296</v>
      </c>
      <c r="F40" s="1">
        <f t="shared" si="6"/>
        <v>10036</v>
      </c>
      <c r="G40" s="1" t="b">
        <v>0</v>
      </c>
      <c r="H40" s="1">
        <v>3</v>
      </c>
      <c r="I40" s="1">
        <v>10000</v>
      </c>
      <c r="J40" s="28" t="s">
        <v>286</v>
      </c>
      <c r="K40" s="1">
        <v>5</v>
      </c>
      <c r="L40" s="1">
        <v>0</v>
      </c>
      <c r="M40" s="1">
        <v>-1</v>
      </c>
    </row>
    <row r="41" ht="20" customHeight="1" spans="1:13">
      <c r="A41" s="1">
        <v>10038</v>
      </c>
      <c r="B41" s="1">
        <v>1</v>
      </c>
      <c r="C41" s="1">
        <v>17</v>
      </c>
      <c r="D41" s="1" t="s">
        <v>297</v>
      </c>
      <c r="E41" s="1" t="s">
        <v>298</v>
      </c>
      <c r="G41" s="1" t="b">
        <v>1</v>
      </c>
      <c r="H41" s="1">
        <v>4</v>
      </c>
      <c r="I41" s="1">
        <v>1</v>
      </c>
      <c r="J41" s="28" t="s">
        <v>282</v>
      </c>
      <c r="K41" s="1">
        <v>6</v>
      </c>
      <c r="L41" s="1">
        <v>0</v>
      </c>
      <c r="M41" s="1">
        <v>-1</v>
      </c>
    </row>
    <row r="42" customFormat="1" ht="20" customHeight="1" spans="1:48">
      <c r="A42" s="1">
        <v>10039</v>
      </c>
      <c r="B42" s="1">
        <v>1</v>
      </c>
      <c r="C42" s="1">
        <v>17</v>
      </c>
      <c r="D42" s="1" t="s">
        <v>297</v>
      </c>
      <c r="E42" s="1" t="s">
        <v>298</v>
      </c>
      <c r="F42" s="1">
        <f t="shared" ref="F42:F45" si="7">A41</f>
        <v>10038</v>
      </c>
      <c r="G42" s="1" t="b">
        <v>0</v>
      </c>
      <c r="H42" s="1">
        <v>4</v>
      </c>
      <c r="I42" s="1">
        <v>10</v>
      </c>
      <c r="J42" s="28" t="s">
        <v>283</v>
      </c>
      <c r="K42" s="1">
        <v>6</v>
      </c>
      <c r="L42" s="1">
        <v>0</v>
      </c>
      <c r="M42" s="1">
        <v>-1</v>
      </c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</row>
    <row r="43" customFormat="1" ht="20" customHeight="1" spans="1:48">
      <c r="A43" s="1">
        <v>10040</v>
      </c>
      <c r="B43" s="1">
        <v>1</v>
      </c>
      <c r="C43" s="1">
        <v>17</v>
      </c>
      <c r="D43" s="1" t="s">
        <v>297</v>
      </c>
      <c r="E43" s="1" t="s">
        <v>298</v>
      </c>
      <c r="F43" s="1">
        <f t="shared" si="7"/>
        <v>10039</v>
      </c>
      <c r="G43" s="1" t="b">
        <v>0</v>
      </c>
      <c r="H43" s="1">
        <v>4</v>
      </c>
      <c r="I43" s="1">
        <v>100</v>
      </c>
      <c r="J43" s="28" t="s">
        <v>284</v>
      </c>
      <c r="K43" s="1">
        <v>6</v>
      </c>
      <c r="L43" s="1">
        <v>0</v>
      </c>
      <c r="M43" s="1">
        <v>-1</v>
      </c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</row>
    <row r="44" customFormat="1" ht="20" customHeight="1" spans="1:48">
      <c r="A44" s="1">
        <v>10041</v>
      </c>
      <c r="B44" s="1">
        <v>1</v>
      </c>
      <c r="C44" s="1">
        <v>17</v>
      </c>
      <c r="D44" s="1" t="s">
        <v>297</v>
      </c>
      <c r="E44" s="1" t="s">
        <v>298</v>
      </c>
      <c r="F44" s="1">
        <f t="shared" si="7"/>
        <v>10040</v>
      </c>
      <c r="G44" s="1" t="b">
        <v>0</v>
      </c>
      <c r="H44" s="1">
        <v>4</v>
      </c>
      <c r="I44" s="1">
        <v>1000</v>
      </c>
      <c r="J44" s="28" t="s">
        <v>285</v>
      </c>
      <c r="K44" s="1">
        <v>6</v>
      </c>
      <c r="L44" s="1">
        <v>0</v>
      </c>
      <c r="M44" s="1">
        <v>-1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</row>
    <row r="45" customFormat="1" ht="20" customHeight="1" spans="1:48">
      <c r="A45" s="1">
        <v>10042</v>
      </c>
      <c r="B45" s="1">
        <v>1</v>
      </c>
      <c r="C45" s="1">
        <v>17</v>
      </c>
      <c r="D45" s="1" t="s">
        <v>297</v>
      </c>
      <c r="E45" s="1" t="s">
        <v>298</v>
      </c>
      <c r="F45" s="1">
        <f t="shared" si="7"/>
        <v>10041</v>
      </c>
      <c r="G45" s="1" t="b">
        <v>0</v>
      </c>
      <c r="H45" s="1">
        <v>4</v>
      </c>
      <c r="I45" s="1">
        <v>10000</v>
      </c>
      <c r="J45" s="28" t="s">
        <v>286</v>
      </c>
      <c r="K45" s="1">
        <v>6</v>
      </c>
      <c r="L45" s="1">
        <v>0</v>
      </c>
      <c r="M45" s="1">
        <v>-1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</row>
    <row r="46" s="17" customFormat="1" ht="20" customHeight="1" spans="1:48">
      <c r="A46" s="1">
        <v>10043</v>
      </c>
      <c r="B46" s="2">
        <v>1</v>
      </c>
      <c r="C46" s="2">
        <v>18</v>
      </c>
      <c r="D46" s="2" t="s">
        <v>299</v>
      </c>
      <c r="E46" s="2" t="s">
        <v>300</v>
      </c>
      <c r="F46" s="2"/>
      <c r="G46" s="2" t="b">
        <v>1</v>
      </c>
      <c r="H46" s="1">
        <v>5</v>
      </c>
      <c r="I46" s="1">
        <v>1</v>
      </c>
      <c r="J46" s="28" t="s">
        <v>282</v>
      </c>
      <c r="K46" s="1">
        <v>7</v>
      </c>
      <c r="L46" s="1">
        <v>0</v>
      </c>
      <c r="M46" s="1">
        <v>-1</v>
      </c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</row>
    <row r="47" customFormat="1" ht="20" customHeight="1" spans="1:48">
      <c r="A47" s="1">
        <v>10044</v>
      </c>
      <c r="B47" s="2">
        <v>1</v>
      </c>
      <c r="C47" s="2">
        <v>18</v>
      </c>
      <c r="D47" s="2" t="s">
        <v>299</v>
      </c>
      <c r="E47" s="2" t="s">
        <v>300</v>
      </c>
      <c r="F47" s="1">
        <f t="shared" ref="F47:F50" si="8">A46</f>
        <v>10043</v>
      </c>
      <c r="G47" s="1" t="b">
        <v>0</v>
      </c>
      <c r="H47" s="1">
        <v>5</v>
      </c>
      <c r="I47" s="1">
        <v>10</v>
      </c>
      <c r="J47" s="28" t="s">
        <v>283</v>
      </c>
      <c r="K47" s="1">
        <v>7</v>
      </c>
      <c r="L47" s="1">
        <v>0</v>
      </c>
      <c r="M47" s="1">
        <v>-1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</row>
    <row r="48" customFormat="1" ht="20" customHeight="1" spans="1:48">
      <c r="A48" s="1">
        <v>10045</v>
      </c>
      <c r="B48" s="2">
        <v>1</v>
      </c>
      <c r="C48" s="2">
        <v>18</v>
      </c>
      <c r="D48" s="2" t="s">
        <v>299</v>
      </c>
      <c r="E48" s="2" t="s">
        <v>300</v>
      </c>
      <c r="F48" s="1">
        <f t="shared" si="8"/>
        <v>10044</v>
      </c>
      <c r="G48" s="1" t="b">
        <v>0</v>
      </c>
      <c r="H48" s="1">
        <v>5</v>
      </c>
      <c r="I48" s="1">
        <v>100</v>
      </c>
      <c r="J48" s="28" t="s">
        <v>284</v>
      </c>
      <c r="K48" s="1">
        <v>7</v>
      </c>
      <c r="L48" s="1">
        <v>0</v>
      </c>
      <c r="M48" s="1">
        <v>-1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</row>
    <row r="49" customFormat="1" ht="20" customHeight="1" spans="1:48">
      <c r="A49" s="1">
        <v>10046</v>
      </c>
      <c r="B49" s="2">
        <v>1</v>
      </c>
      <c r="C49" s="2">
        <v>18</v>
      </c>
      <c r="D49" s="2" t="s">
        <v>299</v>
      </c>
      <c r="E49" s="2" t="s">
        <v>300</v>
      </c>
      <c r="F49" s="1">
        <f t="shared" si="8"/>
        <v>10045</v>
      </c>
      <c r="G49" s="1" t="b">
        <v>0</v>
      </c>
      <c r="H49" s="1">
        <v>5</v>
      </c>
      <c r="I49" s="1">
        <v>1000</v>
      </c>
      <c r="J49" s="28" t="s">
        <v>285</v>
      </c>
      <c r="K49" s="1">
        <v>7</v>
      </c>
      <c r="L49" s="1">
        <v>0</v>
      </c>
      <c r="M49" s="1">
        <v>-1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</row>
    <row r="50" s="34" customFormat="1" ht="20" customHeight="1" spans="1:48">
      <c r="A50" s="10">
        <v>10047</v>
      </c>
      <c r="B50" s="10">
        <v>1</v>
      </c>
      <c r="C50" s="10">
        <v>18</v>
      </c>
      <c r="D50" s="10" t="s">
        <v>299</v>
      </c>
      <c r="E50" s="10" t="s">
        <v>300</v>
      </c>
      <c r="F50" s="10">
        <f t="shared" si="8"/>
        <v>10046</v>
      </c>
      <c r="G50" s="10" t="b">
        <v>0</v>
      </c>
      <c r="H50" s="10">
        <v>5</v>
      </c>
      <c r="I50" s="10">
        <v>10000</v>
      </c>
      <c r="J50" s="37" t="s">
        <v>286</v>
      </c>
      <c r="K50" s="10">
        <v>7</v>
      </c>
      <c r="L50" s="10">
        <v>0</v>
      </c>
      <c r="M50" s="10">
        <v>-1</v>
      </c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</row>
    <row r="51" ht="20" customHeight="1" spans="1:13">
      <c r="A51" s="1">
        <v>20001</v>
      </c>
      <c r="B51" s="1">
        <v>2</v>
      </c>
      <c r="C51" s="1">
        <v>19</v>
      </c>
      <c r="D51" s="1" t="s">
        <v>301</v>
      </c>
      <c r="E51" s="1" t="s">
        <v>302</v>
      </c>
      <c r="G51" s="1" t="b">
        <v>0</v>
      </c>
      <c r="H51" s="1">
        <v>0</v>
      </c>
      <c r="I51" s="1">
        <v>1</v>
      </c>
      <c r="J51" s="28" t="s">
        <v>282</v>
      </c>
      <c r="K51" s="1">
        <v>0</v>
      </c>
      <c r="L51" s="1">
        <v>0</v>
      </c>
      <c r="M51" s="1">
        <v>-1</v>
      </c>
    </row>
    <row r="52" ht="20" customHeight="1" spans="1:13">
      <c r="A52" s="1">
        <v>20002</v>
      </c>
      <c r="B52" s="1">
        <v>2</v>
      </c>
      <c r="C52" s="1">
        <v>19</v>
      </c>
      <c r="D52" s="1" t="s">
        <v>301</v>
      </c>
      <c r="E52" s="1" t="s">
        <v>302</v>
      </c>
      <c r="F52" s="1">
        <f t="shared" ref="F52:F55" si="9">A51</f>
        <v>20001</v>
      </c>
      <c r="G52" s="1" t="b">
        <v>0</v>
      </c>
      <c r="H52" s="1">
        <v>0</v>
      </c>
      <c r="I52" s="1">
        <v>5</v>
      </c>
      <c r="J52" s="28" t="s">
        <v>283</v>
      </c>
      <c r="K52" s="1">
        <v>0</v>
      </c>
      <c r="L52" s="1">
        <v>0</v>
      </c>
      <c r="M52" s="1">
        <v>-1</v>
      </c>
    </row>
    <row r="53" ht="20" customHeight="1" spans="1:13">
      <c r="A53" s="1">
        <v>20003</v>
      </c>
      <c r="B53" s="1">
        <v>2</v>
      </c>
      <c r="C53" s="1">
        <v>19</v>
      </c>
      <c r="D53" s="1" t="s">
        <v>301</v>
      </c>
      <c r="E53" s="1" t="s">
        <v>302</v>
      </c>
      <c r="F53" s="1">
        <f t="shared" si="9"/>
        <v>20002</v>
      </c>
      <c r="G53" s="1" t="b">
        <v>0</v>
      </c>
      <c r="H53" s="1">
        <v>0</v>
      </c>
      <c r="I53" s="1">
        <v>10</v>
      </c>
      <c r="J53" s="28" t="s">
        <v>284</v>
      </c>
      <c r="K53" s="1">
        <v>0</v>
      </c>
      <c r="L53" s="1">
        <v>0</v>
      </c>
      <c r="M53" s="1">
        <v>-1</v>
      </c>
    </row>
    <row r="54" ht="20" customHeight="1" spans="1:13">
      <c r="A54" s="1">
        <v>20004</v>
      </c>
      <c r="B54" s="1">
        <v>2</v>
      </c>
      <c r="C54" s="1">
        <v>19</v>
      </c>
      <c r="D54" s="1" t="s">
        <v>301</v>
      </c>
      <c r="E54" s="1" t="s">
        <v>302</v>
      </c>
      <c r="F54" s="1">
        <f t="shared" si="9"/>
        <v>20003</v>
      </c>
      <c r="G54" s="1" t="b">
        <v>0</v>
      </c>
      <c r="H54" s="1">
        <v>0</v>
      </c>
      <c r="I54" s="1">
        <v>20</v>
      </c>
      <c r="J54" s="28" t="s">
        <v>285</v>
      </c>
      <c r="K54" s="1">
        <v>0</v>
      </c>
      <c r="L54" s="1">
        <v>0</v>
      </c>
      <c r="M54" s="1">
        <v>-1</v>
      </c>
    </row>
    <row r="55" ht="20" customHeight="1" spans="1:13">
      <c r="A55" s="1">
        <v>20005</v>
      </c>
      <c r="B55" s="1">
        <v>2</v>
      </c>
      <c r="C55" s="1">
        <v>19</v>
      </c>
      <c r="D55" s="1" t="s">
        <v>301</v>
      </c>
      <c r="E55" s="1" t="s">
        <v>302</v>
      </c>
      <c r="F55" s="1">
        <f t="shared" si="9"/>
        <v>20004</v>
      </c>
      <c r="G55" s="1" t="b">
        <v>0</v>
      </c>
      <c r="H55" s="1">
        <v>0</v>
      </c>
      <c r="I55" s="1">
        <v>50</v>
      </c>
      <c r="J55" s="28" t="s">
        <v>286</v>
      </c>
      <c r="K55" s="1">
        <v>0</v>
      </c>
      <c r="L55" s="1">
        <v>0</v>
      </c>
      <c r="M55" s="1">
        <v>-1</v>
      </c>
    </row>
    <row r="56" ht="20" customHeight="1" spans="1:13">
      <c r="A56" s="1">
        <v>20006</v>
      </c>
      <c r="B56" s="1">
        <v>2</v>
      </c>
      <c r="C56" s="1">
        <v>20</v>
      </c>
      <c r="D56" s="1" t="s">
        <v>303</v>
      </c>
      <c r="E56" s="1" t="s">
        <v>304</v>
      </c>
      <c r="G56" s="1" t="b">
        <v>0</v>
      </c>
      <c r="H56" s="1">
        <v>0</v>
      </c>
      <c r="I56" s="1">
        <v>1</v>
      </c>
      <c r="J56" s="28" t="s">
        <v>282</v>
      </c>
      <c r="K56" s="1">
        <v>0</v>
      </c>
      <c r="L56" s="1">
        <v>0</v>
      </c>
      <c r="M56" s="1">
        <v>-1</v>
      </c>
    </row>
    <row r="57" ht="20" customHeight="1" spans="1:13">
      <c r="A57" s="1">
        <v>20007</v>
      </c>
      <c r="B57" s="1">
        <v>2</v>
      </c>
      <c r="C57" s="1">
        <v>20</v>
      </c>
      <c r="D57" s="1" t="s">
        <v>303</v>
      </c>
      <c r="E57" s="1" t="s">
        <v>304</v>
      </c>
      <c r="F57" s="1">
        <f t="shared" ref="F57:F60" si="10">A56</f>
        <v>20006</v>
      </c>
      <c r="G57" s="1" t="b">
        <v>0</v>
      </c>
      <c r="H57" s="1">
        <v>0</v>
      </c>
      <c r="I57" s="1">
        <v>5</v>
      </c>
      <c r="J57" s="28" t="s">
        <v>283</v>
      </c>
      <c r="K57" s="1">
        <v>0</v>
      </c>
      <c r="L57" s="1">
        <v>0</v>
      </c>
      <c r="M57" s="1">
        <v>-1</v>
      </c>
    </row>
    <row r="58" ht="20" customHeight="1" spans="1:13">
      <c r="A58" s="1">
        <v>20008</v>
      </c>
      <c r="B58" s="1">
        <v>2</v>
      </c>
      <c r="C58" s="1">
        <v>20</v>
      </c>
      <c r="D58" s="1" t="s">
        <v>303</v>
      </c>
      <c r="E58" s="1" t="s">
        <v>304</v>
      </c>
      <c r="F58" s="1">
        <f t="shared" si="10"/>
        <v>20007</v>
      </c>
      <c r="G58" s="1" t="b">
        <v>0</v>
      </c>
      <c r="H58" s="1">
        <v>0</v>
      </c>
      <c r="I58" s="1">
        <v>10</v>
      </c>
      <c r="J58" s="28" t="s">
        <v>284</v>
      </c>
      <c r="K58" s="1">
        <v>0</v>
      </c>
      <c r="L58" s="1">
        <v>0</v>
      </c>
      <c r="M58" s="1">
        <v>-1</v>
      </c>
    </row>
    <row r="59" ht="20" customHeight="1" spans="1:13">
      <c r="A59" s="1">
        <v>20009</v>
      </c>
      <c r="B59" s="1">
        <v>2</v>
      </c>
      <c r="C59" s="1">
        <v>20</v>
      </c>
      <c r="D59" s="1" t="s">
        <v>303</v>
      </c>
      <c r="E59" s="1" t="s">
        <v>304</v>
      </c>
      <c r="F59" s="1">
        <f t="shared" si="10"/>
        <v>20008</v>
      </c>
      <c r="G59" s="1" t="b">
        <v>0</v>
      </c>
      <c r="H59" s="1">
        <v>0</v>
      </c>
      <c r="I59" s="1">
        <v>20</v>
      </c>
      <c r="J59" s="28" t="s">
        <v>285</v>
      </c>
      <c r="K59" s="1">
        <v>0</v>
      </c>
      <c r="L59" s="1">
        <v>0</v>
      </c>
      <c r="M59" s="1">
        <v>-1</v>
      </c>
    </row>
    <row r="60" ht="20" customHeight="1" spans="1:13">
      <c r="A60" s="1">
        <v>20010</v>
      </c>
      <c r="B60" s="1">
        <v>2</v>
      </c>
      <c r="C60" s="1">
        <v>20</v>
      </c>
      <c r="D60" s="1" t="s">
        <v>303</v>
      </c>
      <c r="E60" s="1" t="s">
        <v>304</v>
      </c>
      <c r="F60" s="1">
        <f t="shared" si="10"/>
        <v>20009</v>
      </c>
      <c r="G60" s="1" t="b">
        <v>0</v>
      </c>
      <c r="H60" s="1">
        <v>0</v>
      </c>
      <c r="I60" s="1">
        <v>50</v>
      </c>
      <c r="J60" s="28" t="s">
        <v>286</v>
      </c>
      <c r="K60" s="1">
        <v>0</v>
      </c>
      <c r="L60" s="1">
        <v>0</v>
      </c>
      <c r="M60" s="1">
        <v>-1</v>
      </c>
    </row>
    <row r="61" ht="20" customHeight="1" spans="1:13">
      <c r="A61" s="1">
        <v>20011</v>
      </c>
      <c r="B61" s="1">
        <v>2</v>
      </c>
      <c r="C61" s="1">
        <v>21</v>
      </c>
      <c r="D61" s="1" t="s">
        <v>305</v>
      </c>
      <c r="E61" s="1" t="s">
        <v>306</v>
      </c>
      <c r="G61" s="1" t="b">
        <v>0</v>
      </c>
      <c r="H61" s="1">
        <v>0</v>
      </c>
      <c r="I61" s="1">
        <v>1</v>
      </c>
      <c r="J61" s="28" t="s">
        <v>282</v>
      </c>
      <c r="K61" s="1">
        <v>0</v>
      </c>
      <c r="L61" s="1">
        <v>0</v>
      </c>
      <c r="M61" s="1">
        <v>-1</v>
      </c>
    </row>
    <row r="62" ht="20" customHeight="1" spans="1:13">
      <c r="A62" s="1">
        <v>20012</v>
      </c>
      <c r="B62" s="1">
        <v>2</v>
      </c>
      <c r="C62" s="1">
        <v>21</v>
      </c>
      <c r="D62" s="1" t="s">
        <v>305</v>
      </c>
      <c r="E62" s="1" t="s">
        <v>306</v>
      </c>
      <c r="F62" s="1">
        <f t="shared" ref="F62:F65" si="11">A61</f>
        <v>20011</v>
      </c>
      <c r="G62" s="1" t="b">
        <v>0</v>
      </c>
      <c r="H62" s="1">
        <v>0</v>
      </c>
      <c r="I62" s="1">
        <v>10</v>
      </c>
      <c r="J62" s="28" t="s">
        <v>283</v>
      </c>
      <c r="K62" s="1">
        <v>0</v>
      </c>
      <c r="L62" s="1">
        <v>0</v>
      </c>
      <c r="M62" s="1">
        <v>-1</v>
      </c>
    </row>
    <row r="63" ht="20" customHeight="1" spans="1:13">
      <c r="A63" s="1">
        <v>20013</v>
      </c>
      <c r="B63" s="1">
        <v>2</v>
      </c>
      <c r="C63" s="1">
        <v>21</v>
      </c>
      <c r="D63" s="1" t="s">
        <v>305</v>
      </c>
      <c r="E63" s="1" t="s">
        <v>306</v>
      </c>
      <c r="F63" s="1">
        <f t="shared" si="11"/>
        <v>20012</v>
      </c>
      <c r="G63" s="1" t="b">
        <v>0</v>
      </c>
      <c r="H63" s="1">
        <v>0</v>
      </c>
      <c r="I63" s="1">
        <v>20</v>
      </c>
      <c r="J63" s="28" t="s">
        <v>284</v>
      </c>
      <c r="K63" s="1">
        <v>0</v>
      </c>
      <c r="L63" s="1">
        <v>0</v>
      </c>
      <c r="M63" s="1">
        <v>-1</v>
      </c>
    </row>
    <row r="64" ht="20" customHeight="1" spans="1:13">
      <c r="A64" s="1">
        <v>20014</v>
      </c>
      <c r="B64" s="1">
        <v>2</v>
      </c>
      <c r="C64" s="1">
        <v>21</v>
      </c>
      <c r="D64" s="1" t="s">
        <v>305</v>
      </c>
      <c r="E64" s="1" t="s">
        <v>306</v>
      </c>
      <c r="F64" s="1">
        <f t="shared" si="11"/>
        <v>20013</v>
      </c>
      <c r="G64" s="1" t="b">
        <v>0</v>
      </c>
      <c r="H64" s="1">
        <v>0</v>
      </c>
      <c r="I64" s="1">
        <v>50</v>
      </c>
      <c r="J64" s="28" t="s">
        <v>285</v>
      </c>
      <c r="K64" s="1">
        <v>0</v>
      </c>
      <c r="L64" s="1">
        <v>0</v>
      </c>
      <c r="M64" s="1">
        <v>-1</v>
      </c>
    </row>
    <row r="65" ht="20" customHeight="1" spans="1:13">
      <c r="A65" s="1">
        <v>20015</v>
      </c>
      <c r="B65" s="1">
        <v>2</v>
      </c>
      <c r="C65" s="1">
        <v>21</v>
      </c>
      <c r="D65" s="1" t="s">
        <v>305</v>
      </c>
      <c r="E65" s="1" t="s">
        <v>306</v>
      </c>
      <c r="F65" s="1">
        <f t="shared" si="11"/>
        <v>20014</v>
      </c>
      <c r="G65" s="1" t="b">
        <v>0</v>
      </c>
      <c r="H65" s="1">
        <v>0</v>
      </c>
      <c r="I65" s="1">
        <v>100</v>
      </c>
      <c r="J65" s="28" t="s">
        <v>286</v>
      </c>
      <c r="K65" s="1">
        <v>0</v>
      </c>
      <c r="L65" s="1">
        <v>0</v>
      </c>
      <c r="M65" s="1">
        <v>-1</v>
      </c>
    </row>
    <row r="66" ht="20" customHeight="1" spans="1:13">
      <c r="A66" s="1">
        <v>20016</v>
      </c>
      <c r="B66" s="1">
        <v>2</v>
      </c>
      <c r="C66" s="1">
        <v>22</v>
      </c>
      <c r="D66" s="1" t="s">
        <v>307</v>
      </c>
      <c r="E66" s="1" t="s">
        <v>308</v>
      </c>
      <c r="G66" s="1" t="b">
        <v>0</v>
      </c>
      <c r="H66" s="1">
        <v>0</v>
      </c>
      <c r="I66" s="1">
        <v>1</v>
      </c>
      <c r="J66" s="28" t="s">
        <v>282</v>
      </c>
      <c r="K66" s="1">
        <v>0</v>
      </c>
      <c r="L66" s="1">
        <v>0</v>
      </c>
      <c r="M66" s="1">
        <v>-1</v>
      </c>
    </row>
    <row r="67" ht="20" customHeight="1" spans="1:13">
      <c r="A67" s="1">
        <v>20017</v>
      </c>
      <c r="B67" s="1">
        <v>2</v>
      </c>
      <c r="C67" s="1">
        <v>22</v>
      </c>
      <c r="D67" s="1" t="s">
        <v>307</v>
      </c>
      <c r="E67" s="1" t="s">
        <v>308</v>
      </c>
      <c r="F67" s="1">
        <f t="shared" ref="F67:F70" si="12">A66</f>
        <v>20016</v>
      </c>
      <c r="G67" s="1" t="b">
        <v>0</v>
      </c>
      <c r="H67" s="1">
        <v>0</v>
      </c>
      <c r="I67" s="1">
        <v>10</v>
      </c>
      <c r="J67" s="28" t="s">
        <v>283</v>
      </c>
      <c r="K67" s="1">
        <v>0</v>
      </c>
      <c r="L67" s="1">
        <v>0</v>
      </c>
      <c r="M67" s="1">
        <v>-1</v>
      </c>
    </row>
    <row r="68" ht="20" customHeight="1" spans="1:13">
      <c r="A68" s="1">
        <v>20018</v>
      </c>
      <c r="B68" s="1">
        <v>2</v>
      </c>
      <c r="C68" s="1">
        <v>22</v>
      </c>
      <c r="D68" s="1" t="s">
        <v>307</v>
      </c>
      <c r="E68" s="1" t="s">
        <v>308</v>
      </c>
      <c r="F68" s="1">
        <f t="shared" si="12"/>
        <v>20017</v>
      </c>
      <c r="G68" s="1" t="b">
        <v>0</v>
      </c>
      <c r="H68" s="1">
        <v>0</v>
      </c>
      <c r="I68" s="1">
        <v>20</v>
      </c>
      <c r="J68" s="28" t="s">
        <v>284</v>
      </c>
      <c r="K68" s="1">
        <v>0</v>
      </c>
      <c r="L68" s="1">
        <v>0</v>
      </c>
      <c r="M68" s="1">
        <v>-1</v>
      </c>
    </row>
    <row r="69" ht="20" customHeight="1" spans="1:13">
      <c r="A69" s="1">
        <v>20019</v>
      </c>
      <c r="B69" s="1">
        <v>2</v>
      </c>
      <c r="C69" s="1">
        <v>22</v>
      </c>
      <c r="D69" s="1" t="s">
        <v>307</v>
      </c>
      <c r="E69" s="1" t="s">
        <v>308</v>
      </c>
      <c r="F69" s="1">
        <f t="shared" si="12"/>
        <v>20018</v>
      </c>
      <c r="G69" s="1" t="b">
        <v>0</v>
      </c>
      <c r="H69" s="1">
        <v>0</v>
      </c>
      <c r="I69" s="1">
        <v>50</v>
      </c>
      <c r="J69" s="28" t="s">
        <v>285</v>
      </c>
      <c r="K69" s="1">
        <v>0</v>
      </c>
      <c r="L69" s="1">
        <v>0</v>
      </c>
      <c r="M69" s="1">
        <v>-1</v>
      </c>
    </row>
    <row r="70" ht="20" customHeight="1" spans="1:13">
      <c r="A70" s="1">
        <v>20020</v>
      </c>
      <c r="B70" s="1">
        <v>2</v>
      </c>
      <c r="C70" s="1">
        <v>22</v>
      </c>
      <c r="D70" s="1" t="s">
        <v>307</v>
      </c>
      <c r="E70" s="1" t="s">
        <v>308</v>
      </c>
      <c r="F70" s="1">
        <f t="shared" si="12"/>
        <v>20019</v>
      </c>
      <c r="G70" s="1" t="b">
        <v>0</v>
      </c>
      <c r="H70" s="1">
        <v>0</v>
      </c>
      <c r="I70" s="1">
        <v>100</v>
      </c>
      <c r="J70" s="28" t="s">
        <v>286</v>
      </c>
      <c r="K70" s="1">
        <v>0</v>
      </c>
      <c r="L70" s="1">
        <v>0</v>
      </c>
      <c r="M70" s="1">
        <v>-1</v>
      </c>
    </row>
    <row r="71" ht="20" customHeight="1" spans="1:13">
      <c r="A71" s="1">
        <v>20021</v>
      </c>
      <c r="B71" s="1">
        <v>2</v>
      </c>
      <c r="C71" s="1">
        <v>23</v>
      </c>
      <c r="D71" s="1" t="s">
        <v>309</v>
      </c>
      <c r="E71" s="1" t="s">
        <v>310</v>
      </c>
      <c r="G71" s="1" t="b">
        <v>0</v>
      </c>
      <c r="H71" s="1">
        <v>0</v>
      </c>
      <c r="I71" s="1">
        <v>100</v>
      </c>
      <c r="J71" s="28" t="s">
        <v>284</v>
      </c>
      <c r="K71" s="1">
        <v>0</v>
      </c>
      <c r="L71" s="1">
        <v>0</v>
      </c>
      <c r="M71" s="1">
        <v>-1</v>
      </c>
    </row>
    <row r="72" ht="20" customHeight="1" spans="1:13">
      <c r="A72" s="1">
        <v>20022</v>
      </c>
      <c r="B72" s="1">
        <v>2</v>
      </c>
      <c r="C72" s="1">
        <v>24</v>
      </c>
      <c r="D72" s="1" t="s">
        <v>311</v>
      </c>
      <c r="E72" s="1" t="s">
        <v>312</v>
      </c>
      <c r="G72" s="1" t="b">
        <v>0</v>
      </c>
      <c r="H72" s="1">
        <v>0</v>
      </c>
      <c r="I72" s="1">
        <v>2</v>
      </c>
      <c r="J72" s="28" t="s">
        <v>285</v>
      </c>
      <c r="K72" s="1">
        <v>0</v>
      </c>
      <c r="L72" s="1">
        <v>0</v>
      </c>
      <c r="M72" s="1">
        <v>-1</v>
      </c>
    </row>
    <row r="73" ht="20" customHeight="1" spans="1:13">
      <c r="A73" s="1">
        <v>20023</v>
      </c>
      <c r="B73" s="1">
        <v>2</v>
      </c>
      <c r="C73" s="1">
        <v>25</v>
      </c>
      <c r="D73" s="1" t="s">
        <v>313</v>
      </c>
      <c r="E73" s="1" t="s">
        <v>314</v>
      </c>
      <c r="G73" s="1" t="b">
        <v>0</v>
      </c>
      <c r="H73" s="1">
        <v>0</v>
      </c>
      <c r="I73" s="1">
        <v>500</v>
      </c>
      <c r="J73" s="28" t="s">
        <v>286</v>
      </c>
      <c r="K73" s="1">
        <v>0</v>
      </c>
      <c r="L73" s="1">
        <v>0</v>
      </c>
      <c r="M73" s="1">
        <v>-1</v>
      </c>
    </row>
    <row r="74" s="34" customFormat="1" ht="20" customHeight="1" spans="1:48">
      <c r="A74" s="10">
        <v>20024</v>
      </c>
      <c r="B74" s="10">
        <v>2</v>
      </c>
      <c r="C74" s="10">
        <v>26</v>
      </c>
      <c r="D74" s="10" t="s">
        <v>315</v>
      </c>
      <c r="E74" s="10" t="s">
        <v>316</v>
      </c>
      <c r="F74" s="10"/>
      <c r="G74" s="10" t="b">
        <v>0</v>
      </c>
      <c r="H74" s="10">
        <v>0</v>
      </c>
      <c r="I74" s="10">
        <v>1000</v>
      </c>
      <c r="J74" s="37" t="s">
        <v>317</v>
      </c>
      <c r="K74" s="10">
        <v>0</v>
      </c>
      <c r="L74" s="10">
        <v>0</v>
      </c>
      <c r="M74" s="10">
        <v>-1</v>
      </c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</row>
    <row r="75" ht="20" customHeight="1" spans="1:13">
      <c r="A75" s="1">
        <v>30001</v>
      </c>
      <c r="B75" s="1">
        <v>3</v>
      </c>
      <c r="C75" s="1">
        <v>3</v>
      </c>
      <c r="D75" s="1" t="s">
        <v>318</v>
      </c>
      <c r="E75" s="1" t="s">
        <v>319</v>
      </c>
      <c r="G75" s="1" t="b">
        <v>1</v>
      </c>
      <c r="H75" s="1">
        <v>-1</v>
      </c>
      <c r="I75" s="1">
        <v>50</v>
      </c>
      <c r="J75" s="28" t="s">
        <v>320</v>
      </c>
      <c r="K75" s="1">
        <v>1</v>
      </c>
      <c r="L75" s="1">
        <v>1</v>
      </c>
      <c r="M75" s="45">
        <v>45799</v>
      </c>
    </row>
    <row r="76" ht="20" customHeight="1" spans="1:13">
      <c r="A76" s="1">
        <v>30002</v>
      </c>
      <c r="B76" s="1">
        <v>3</v>
      </c>
      <c r="C76" s="1">
        <v>3</v>
      </c>
      <c r="D76" s="1" t="s">
        <v>318</v>
      </c>
      <c r="E76" s="1" t="s">
        <v>319</v>
      </c>
      <c r="F76" s="1">
        <f t="shared" ref="F76:F79" si="13">A75</f>
        <v>30001</v>
      </c>
      <c r="G76" s="1" t="b">
        <v>0</v>
      </c>
      <c r="H76" s="1">
        <v>-1</v>
      </c>
      <c r="I76" s="1">
        <v>100</v>
      </c>
      <c r="J76" s="28" t="s">
        <v>321</v>
      </c>
      <c r="K76" s="1">
        <v>1</v>
      </c>
      <c r="L76" s="1">
        <v>1</v>
      </c>
      <c r="M76" s="45">
        <v>45799</v>
      </c>
    </row>
    <row r="77" ht="20" customHeight="1" spans="1:13">
      <c r="A77" s="1">
        <v>30003</v>
      </c>
      <c r="B77" s="1">
        <v>3</v>
      </c>
      <c r="C77" s="1">
        <v>3</v>
      </c>
      <c r="D77" s="1" t="s">
        <v>318</v>
      </c>
      <c r="E77" s="1" t="s">
        <v>319</v>
      </c>
      <c r="F77" s="1">
        <f t="shared" si="13"/>
        <v>30002</v>
      </c>
      <c r="G77" s="1" t="b">
        <v>0</v>
      </c>
      <c r="H77" s="1">
        <v>-1</v>
      </c>
      <c r="I77" s="1">
        <v>150</v>
      </c>
      <c r="J77" s="28" t="s">
        <v>322</v>
      </c>
      <c r="K77" s="1">
        <v>1</v>
      </c>
      <c r="L77" s="1">
        <v>1</v>
      </c>
      <c r="M77" s="45">
        <v>45799</v>
      </c>
    </row>
    <row r="78" ht="20" customHeight="1" spans="1:13">
      <c r="A78" s="1">
        <v>30004</v>
      </c>
      <c r="B78" s="1">
        <v>3</v>
      </c>
      <c r="C78" s="1">
        <v>3</v>
      </c>
      <c r="D78" s="1" t="s">
        <v>318</v>
      </c>
      <c r="E78" s="1" t="s">
        <v>319</v>
      </c>
      <c r="F78" s="1">
        <f t="shared" si="13"/>
        <v>30003</v>
      </c>
      <c r="G78" s="1" t="b">
        <v>0</v>
      </c>
      <c r="H78" s="1">
        <v>-1</v>
      </c>
      <c r="I78" s="1">
        <v>200</v>
      </c>
      <c r="J78" s="28" t="s">
        <v>323</v>
      </c>
      <c r="K78" s="1">
        <v>1</v>
      </c>
      <c r="L78" s="1">
        <v>1</v>
      </c>
      <c r="M78" s="45">
        <v>45799</v>
      </c>
    </row>
    <row r="79" ht="20" customHeight="1" spans="1:13">
      <c r="A79" s="1">
        <v>30005</v>
      </c>
      <c r="B79" s="1">
        <v>3</v>
      </c>
      <c r="C79" s="1">
        <v>3</v>
      </c>
      <c r="D79" s="1" t="s">
        <v>318</v>
      </c>
      <c r="E79" s="1" t="s">
        <v>319</v>
      </c>
      <c r="F79" s="1">
        <f t="shared" si="13"/>
        <v>30004</v>
      </c>
      <c r="G79" s="1" t="b">
        <v>0</v>
      </c>
      <c r="H79" s="1">
        <v>-1</v>
      </c>
      <c r="I79" s="1">
        <v>250</v>
      </c>
      <c r="J79" s="28" t="s">
        <v>233</v>
      </c>
      <c r="K79" s="1">
        <v>1</v>
      </c>
      <c r="L79" s="1">
        <v>1</v>
      </c>
      <c r="M79" s="45">
        <v>45799</v>
      </c>
    </row>
    <row r="80" ht="20" customHeight="1" spans="1:13">
      <c r="A80" s="1">
        <v>30006</v>
      </c>
      <c r="B80" s="1">
        <v>3</v>
      </c>
      <c r="C80" s="1">
        <v>3</v>
      </c>
      <c r="D80" s="1" t="s">
        <v>324</v>
      </c>
      <c r="E80" s="1" t="s">
        <v>325</v>
      </c>
      <c r="G80" s="1" t="b">
        <v>1</v>
      </c>
      <c r="H80" s="1">
        <v>-1</v>
      </c>
      <c r="I80" s="1">
        <v>300</v>
      </c>
      <c r="J80" s="28" t="s">
        <v>326</v>
      </c>
      <c r="K80" s="1">
        <v>1</v>
      </c>
      <c r="L80" s="1">
        <v>3</v>
      </c>
      <c r="M80" s="45">
        <v>45799</v>
      </c>
    </row>
    <row r="81" ht="20" customHeight="1" spans="1:13">
      <c r="A81" s="1">
        <v>30007</v>
      </c>
      <c r="B81" s="1">
        <v>3</v>
      </c>
      <c r="C81" s="1">
        <v>3</v>
      </c>
      <c r="D81" s="1" t="s">
        <v>324</v>
      </c>
      <c r="E81" s="1" t="s">
        <v>325</v>
      </c>
      <c r="F81" s="1">
        <f t="shared" ref="F81:F84" si="14">A80</f>
        <v>30006</v>
      </c>
      <c r="G81" s="1" t="b">
        <v>0</v>
      </c>
      <c r="H81" s="1">
        <v>-1</v>
      </c>
      <c r="I81" s="1">
        <v>400</v>
      </c>
      <c r="J81" s="28" t="s">
        <v>327</v>
      </c>
      <c r="K81" s="1">
        <v>1</v>
      </c>
      <c r="L81" s="1">
        <v>3</v>
      </c>
      <c r="M81" s="45">
        <v>45799</v>
      </c>
    </row>
    <row r="82" ht="20" customHeight="1" spans="1:13">
      <c r="A82" s="1">
        <v>30008</v>
      </c>
      <c r="B82" s="1">
        <v>3</v>
      </c>
      <c r="C82" s="1">
        <v>3</v>
      </c>
      <c r="D82" s="1" t="s">
        <v>324</v>
      </c>
      <c r="E82" s="1" t="s">
        <v>325</v>
      </c>
      <c r="F82" s="1">
        <f t="shared" si="14"/>
        <v>30007</v>
      </c>
      <c r="G82" s="1" t="b">
        <v>0</v>
      </c>
      <c r="H82" s="1">
        <v>-1</v>
      </c>
      <c r="I82" s="1">
        <v>500</v>
      </c>
      <c r="J82" s="28" t="s">
        <v>328</v>
      </c>
      <c r="K82" s="1">
        <v>1</v>
      </c>
      <c r="L82" s="1">
        <v>3</v>
      </c>
      <c r="M82" s="45">
        <v>45799</v>
      </c>
    </row>
    <row r="83" ht="20" customHeight="1" spans="1:13">
      <c r="A83" s="1">
        <v>30009</v>
      </c>
      <c r="B83" s="1">
        <v>3</v>
      </c>
      <c r="C83" s="1">
        <v>3</v>
      </c>
      <c r="D83" s="1" t="s">
        <v>324</v>
      </c>
      <c r="E83" s="1" t="s">
        <v>325</v>
      </c>
      <c r="F83" s="1">
        <f t="shared" si="14"/>
        <v>30008</v>
      </c>
      <c r="G83" s="1" t="b">
        <v>0</v>
      </c>
      <c r="H83" s="1">
        <v>-1</v>
      </c>
      <c r="I83" s="1">
        <v>600</v>
      </c>
      <c r="J83" s="28" t="s">
        <v>329</v>
      </c>
      <c r="K83" s="1">
        <v>1</v>
      </c>
      <c r="L83" s="1">
        <v>3</v>
      </c>
      <c r="M83" s="45">
        <v>45799</v>
      </c>
    </row>
    <row r="84" ht="20" customHeight="1" spans="1:13">
      <c r="A84" s="1">
        <v>30010</v>
      </c>
      <c r="B84" s="1">
        <v>3</v>
      </c>
      <c r="C84" s="1">
        <v>3</v>
      </c>
      <c r="D84" s="1" t="s">
        <v>324</v>
      </c>
      <c r="E84" s="1" t="s">
        <v>325</v>
      </c>
      <c r="F84" s="1">
        <f t="shared" si="14"/>
        <v>30009</v>
      </c>
      <c r="G84" s="1" t="b">
        <v>0</v>
      </c>
      <c r="H84" s="1">
        <v>-1</v>
      </c>
      <c r="I84" s="1">
        <v>700</v>
      </c>
      <c r="J84" s="28" t="s">
        <v>330</v>
      </c>
      <c r="K84" s="1">
        <v>1</v>
      </c>
      <c r="L84" s="1">
        <v>3</v>
      </c>
      <c r="M84" s="45">
        <v>45799</v>
      </c>
    </row>
    <row r="85" ht="20" customHeight="1" spans="1:13">
      <c r="A85" s="1">
        <v>30011</v>
      </c>
      <c r="B85" s="1">
        <v>3</v>
      </c>
      <c r="C85" s="1">
        <v>3</v>
      </c>
      <c r="D85" s="1" t="s">
        <v>331</v>
      </c>
      <c r="E85" s="1" t="s">
        <v>332</v>
      </c>
      <c r="G85" s="1" t="b">
        <v>1</v>
      </c>
      <c r="H85" s="1">
        <v>-1</v>
      </c>
      <c r="I85" s="1">
        <v>800</v>
      </c>
      <c r="J85" s="28" t="s">
        <v>333</v>
      </c>
      <c r="K85" s="1">
        <v>1</v>
      </c>
      <c r="L85" s="1">
        <v>7</v>
      </c>
      <c r="M85" s="45">
        <v>45799</v>
      </c>
    </row>
    <row r="86" ht="20" customHeight="1" spans="1:13">
      <c r="A86" s="1">
        <v>30012</v>
      </c>
      <c r="B86" s="1">
        <v>3</v>
      </c>
      <c r="C86" s="1">
        <v>3</v>
      </c>
      <c r="D86" s="1" t="s">
        <v>331</v>
      </c>
      <c r="E86" s="1" t="s">
        <v>332</v>
      </c>
      <c r="F86" s="1">
        <f t="shared" ref="F86:F89" si="15">A85</f>
        <v>30011</v>
      </c>
      <c r="G86" s="1" t="b">
        <v>0</v>
      </c>
      <c r="H86" s="1">
        <v>-1</v>
      </c>
      <c r="I86" s="1">
        <v>950</v>
      </c>
      <c r="J86" s="28" t="s">
        <v>334</v>
      </c>
      <c r="K86" s="1">
        <v>1</v>
      </c>
      <c r="L86" s="1">
        <v>7</v>
      </c>
      <c r="M86" s="45">
        <v>45799</v>
      </c>
    </row>
    <row r="87" ht="20" customHeight="1" spans="1:13">
      <c r="A87" s="1">
        <v>30013</v>
      </c>
      <c r="B87" s="1">
        <v>3</v>
      </c>
      <c r="C87" s="1">
        <v>3</v>
      </c>
      <c r="D87" s="1" t="s">
        <v>331</v>
      </c>
      <c r="E87" s="1" t="s">
        <v>332</v>
      </c>
      <c r="F87" s="1">
        <f t="shared" si="15"/>
        <v>30012</v>
      </c>
      <c r="G87" s="1" t="b">
        <v>0</v>
      </c>
      <c r="H87" s="1">
        <v>-1</v>
      </c>
      <c r="I87" s="1">
        <v>1100</v>
      </c>
      <c r="J87" s="28" t="s">
        <v>335</v>
      </c>
      <c r="K87" s="1">
        <v>1</v>
      </c>
      <c r="L87" s="1">
        <v>7</v>
      </c>
      <c r="M87" s="45">
        <v>45799</v>
      </c>
    </row>
    <row r="88" ht="20" customHeight="1" spans="1:13">
      <c r="A88" s="1">
        <v>30014</v>
      </c>
      <c r="B88" s="1">
        <v>3</v>
      </c>
      <c r="C88" s="1">
        <v>3</v>
      </c>
      <c r="D88" s="1" t="s">
        <v>331</v>
      </c>
      <c r="E88" s="1" t="s">
        <v>332</v>
      </c>
      <c r="F88" s="1">
        <f t="shared" si="15"/>
        <v>30013</v>
      </c>
      <c r="G88" s="1" t="b">
        <v>0</v>
      </c>
      <c r="H88" s="1">
        <v>-1</v>
      </c>
      <c r="I88" s="1">
        <v>1250</v>
      </c>
      <c r="J88" s="28" t="s">
        <v>336</v>
      </c>
      <c r="K88" s="1">
        <v>1</v>
      </c>
      <c r="L88" s="1">
        <v>7</v>
      </c>
      <c r="M88" s="45">
        <v>45799</v>
      </c>
    </row>
    <row r="89" ht="20" customHeight="1" spans="1:13">
      <c r="A89" s="1">
        <v>30015</v>
      </c>
      <c r="B89" s="1">
        <v>3</v>
      </c>
      <c r="C89" s="1">
        <v>3</v>
      </c>
      <c r="D89" s="1" t="s">
        <v>331</v>
      </c>
      <c r="E89" s="1" t="s">
        <v>332</v>
      </c>
      <c r="F89" s="1">
        <f t="shared" si="15"/>
        <v>30014</v>
      </c>
      <c r="G89" s="1" t="b">
        <v>0</v>
      </c>
      <c r="H89" s="1">
        <v>-1</v>
      </c>
      <c r="I89" s="1">
        <v>1400</v>
      </c>
      <c r="J89" s="28" t="s">
        <v>337</v>
      </c>
      <c r="K89" s="1">
        <v>1</v>
      </c>
      <c r="L89" s="1">
        <v>7</v>
      </c>
      <c r="M89" s="45">
        <v>45799</v>
      </c>
    </row>
    <row r="94" spans="13:48">
      <c r="M94" s="46">
        <v>1</v>
      </c>
      <c r="N94" s="46">
        <v>2</v>
      </c>
      <c r="O94" s="46">
        <v>3</v>
      </c>
      <c r="P94" s="46">
        <v>4</v>
      </c>
      <c r="Q94" s="46">
        <v>5</v>
      </c>
      <c r="R94" s="46">
        <v>6</v>
      </c>
      <c r="S94" s="46">
        <v>7</v>
      </c>
      <c r="T94" s="46">
        <v>8</v>
      </c>
      <c r="U94" s="46">
        <v>9</v>
      </c>
      <c r="V94" s="46">
        <v>10</v>
      </c>
      <c r="W94" s="46">
        <v>11</v>
      </c>
      <c r="X94" s="46">
        <v>12</v>
      </c>
      <c r="Y94" s="46">
        <v>13</v>
      </c>
      <c r="Z94" s="46">
        <v>14</v>
      </c>
      <c r="AA94" s="46">
        <v>15</v>
      </c>
      <c r="AB94" s="46">
        <v>16</v>
      </c>
      <c r="AC94" s="46">
        <v>17</v>
      </c>
      <c r="AD94" s="46">
        <v>18</v>
      </c>
      <c r="AE94" s="46">
        <v>19</v>
      </c>
      <c r="AF94" s="46">
        <v>20</v>
      </c>
      <c r="AG94" s="46">
        <v>21</v>
      </c>
      <c r="AH94" s="46">
        <v>22</v>
      </c>
      <c r="AI94" s="46">
        <v>23</v>
      </c>
      <c r="AJ94" s="46">
        <v>24</v>
      </c>
      <c r="AK94" s="46">
        <v>25</v>
      </c>
      <c r="AL94" s="46">
        <v>26</v>
      </c>
      <c r="AM94" s="46">
        <v>27</v>
      </c>
      <c r="AN94" s="46">
        <v>28</v>
      </c>
      <c r="AO94" s="46">
        <v>29</v>
      </c>
      <c r="AP94" s="46">
        <v>30</v>
      </c>
      <c r="AQ94" s="46">
        <v>31</v>
      </c>
      <c r="AR94" s="46">
        <v>32</v>
      </c>
      <c r="AS94" s="46">
        <v>33</v>
      </c>
      <c r="AT94" s="47"/>
      <c r="AU94" s="47"/>
      <c r="AV94" s="47"/>
    </row>
    <row r="95" spans="5:60">
      <c r="E95" s="9" t="s">
        <v>338</v>
      </c>
      <c r="F95" s="9" t="s">
        <v>339</v>
      </c>
      <c r="G95" s="9" t="s">
        <v>340</v>
      </c>
      <c r="H95" s="9" t="s">
        <v>341</v>
      </c>
      <c r="I95" s="9" t="s">
        <v>342</v>
      </c>
      <c r="J95" s="9" t="s">
        <v>343</v>
      </c>
      <c r="K95" s="9" t="s">
        <v>344</v>
      </c>
      <c r="L95" s="9" t="s">
        <v>345</v>
      </c>
      <c r="M95" s="9" t="s">
        <v>346</v>
      </c>
      <c r="N95" s="9" t="s">
        <v>347</v>
      </c>
      <c r="O95" s="9" t="s">
        <v>348</v>
      </c>
      <c r="P95" s="9" t="s">
        <v>349</v>
      </c>
      <c r="Q95" s="9" t="s">
        <v>350</v>
      </c>
      <c r="R95" s="9" t="s">
        <v>351</v>
      </c>
      <c r="S95" s="9" t="s">
        <v>352</v>
      </c>
      <c r="T95" s="9" t="s">
        <v>353</v>
      </c>
      <c r="U95" s="9" t="s">
        <v>354</v>
      </c>
      <c r="V95" s="9" t="s">
        <v>355</v>
      </c>
      <c r="W95" s="9" t="s">
        <v>356</v>
      </c>
      <c r="X95" s="9" t="s">
        <v>357</v>
      </c>
      <c r="Y95" s="9" t="s">
        <v>358</v>
      </c>
      <c r="Z95" s="9" t="s">
        <v>359</v>
      </c>
      <c r="AA95" s="9" t="s">
        <v>360</v>
      </c>
      <c r="AB95" s="9" t="s">
        <v>361</v>
      </c>
      <c r="AC95" s="9" t="s">
        <v>362</v>
      </c>
      <c r="AD95" s="9" t="s">
        <v>363</v>
      </c>
      <c r="AE95" s="9" t="s">
        <v>364</v>
      </c>
      <c r="AF95" s="9" t="s">
        <v>365</v>
      </c>
      <c r="AG95" s="9" t="s">
        <v>366</v>
      </c>
      <c r="AH95" s="9" t="s">
        <v>367</v>
      </c>
      <c r="AI95" s="9" t="s">
        <v>368</v>
      </c>
      <c r="AJ95" s="9" t="s">
        <v>369</v>
      </c>
      <c r="AK95" s="9" t="s">
        <v>370</v>
      </c>
      <c r="AL95" s="9" t="s">
        <v>371</v>
      </c>
      <c r="AM95" s="9" t="s">
        <v>372</v>
      </c>
      <c r="AN95" s="9" t="s">
        <v>373</v>
      </c>
      <c r="AO95" s="9" t="s">
        <v>374</v>
      </c>
      <c r="AP95" s="9" t="s">
        <v>375</v>
      </c>
      <c r="AQ95" s="9" t="s">
        <v>376</v>
      </c>
      <c r="AR95" s="9" t="s">
        <v>377</v>
      </c>
      <c r="AS95" s="9" t="s">
        <v>378</v>
      </c>
      <c r="AT95" s="9" t="s">
        <v>379</v>
      </c>
      <c r="AU95" s="9" t="s">
        <v>380</v>
      </c>
      <c r="AV95" s="9" t="s">
        <v>381</v>
      </c>
      <c r="AW95" s="9" t="s">
        <v>382</v>
      </c>
      <c r="AX95" s="9" t="s">
        <v>383</v>
      </c>
      <c r="AY95" s="9" t="s">
        <v>384</v>
      </c>
      <c r="AZ95" s="9" t="s">
        <v>385</v>
      </c>
      <c r="BA95" s="9" t="s">
        <v>386</v>
      </c>
      <c r="BB95" s="9" t="s">
        <v>387</v>
      </c>
      <c r="BC95" s="9" t="s">
        <v>388</v>
      </c>
      <c r="BD95" s="9" t="s">
        <v>389</v>
      </c>
      <c r="BE95" s="9" t="s">
        <v>390</v>
      </c>
      <c r="BF95" s="9" t="s">
        <v>391</v>
      </c>
      <c r="BG95" s="9" t="s">
        <v>392</v>
      </c>
      <c r="BH95" s="9" t="s">
        <v>393</v>
      </c>
    </row>
    <row r="96" spans="5:60">
      <c r="E96" s="9" t="s">
        <v>394</v>
      </c>
      <c r="F96" s="9">
        <v>1</v>
      </c>
      <c r="G96" s="9">
        <v>3</v>
      </c>
      <c r="H96" s="9">
        <v>7</v>
      </c>
      <c r="I96" s="9">
        <v>30</v>
      </c>
      <c r="J96" s="46">
        <v>90</v>
      </c>
      <c r="K96" s="9">
        <v>180</v>
      </c>
      <c r="L96" s="9">
        <v>360</v>
      </c>
      <c r="M96" s="46">
        <f>1/M94</f>
        <v>1</v>
      </c>
      <c r="N96" s="46">
        <f t="shared" ref="N96:Y96" si="16">1/N94</f>
        <v>0.5</v>
      </c>
      <c r="O96" s="46">
        <f t="shared" si="16"/>
        <v>0.333333333333333</v>
      </c>
      <c r="P96" s="46">
        <f t="shared" si="16"/>
        <v>0.25</v>
      </c>
      <c r="Q96" s="46">
        <f t="shared" si="16"/>
        <v>0.2</v>
      </c>
      <c r="R96" s="46">
        <f t="shared" si="16"/>
        <v>0.166666666666667</v>
      </c>
      <c r="S96" s="46">
        <f t="shared" si="16"/>
        <v>0.142857142857143</v>
      </c>
      <c r="T96" s="46">
        <f t="shared" si="16"/>
        <v>0.125</v>
      </c>
      <c r="U96" s="46">
        <f t="shared" si="16"/>
        <v>0.111111111111111</v>
      </c>
      <c r="V96" s="46">
        <f t="shared" si="16"/>
        <v>0.1</v>
      </c>
      <c r="W96" s="46">
        <f t="shared" si="16"/>
        <v>0.0909090909090909</v>
      </c>
      <c r="X96" s="46">
        <f t="shared" si="16"/>
        <v>0.0833333333333333</v>
      </c>
      <c r="Y96" s="46">
        <f t="shared" si="16"/>
        <v>0.0769230769230769</v>
      </c>
      <c r="Z96" s="46">
        <f t="shared" ref="Z96:BM96" si="17">1/Z94</f>
        <v>0.0714285714285714</v>
      </c>
      <c r="AA96" s="46">
        <f t="shared" si="17"/>
        <v>0.0666666666666667</v>
      </c>
      <c r="AB96" s="46">
        <f t="shared" si="17"/>
        <v>0.0625</v>
      </c>
      <c r="AC96" s="46">
        <f t="shared" si="17"/>
        <v>0.0588235294117647</v>
      </c>
      <c r="AD96" s="46">
        <f t="shared" si="17"/>
        <v>0.0555555555555556</v>
      </c>
      <c r="AE96" s="46">
        <f t="shared" si="17"/>
        <v>0.0526315789473684</v>
      </c>
      <c r="AF96" s="46">
        <f t="shared" si="17"/>
        <v>0.05</v>
      </c>
      <c r="AG96" s="46">
        <f t="shared" si="17"/>
        <v>0.0476190476190476</v>
      </c>
      <c r="AH96" s="46">
        <f t="shared" si="17"/>
        <v>0.0454545454545455</v>
      </c>
      <c r="AI96" s="46">
        <f t="shared" si="17"/>
        <v>0.0434782608695652</v>
      </c>
      <c r="AJ96" s="46">
        <f t="shared" si="17"/>
        <v>0.0416666666666667</v>
      </c>
      <c r="AK96" s="46">
        <f t="shared" si="17"/>
        <v>0.04</v>
      </c>
      <c r="AL96" s="46">
        <f t="shared" si="17"/>
        <v>0.0384615384615385</v>
      </c>
      <c r="AM96" s="46">
        <f t="shared" si="17"/>
        <v>0.037037037037037</v>
      </c>
      <c r="AN96" s="46">
        <f t="shared" si="17"/>
        <v>0.0357142857142857</v>
      </c>
      <c r="AO96" s="46">
        <f t="shared" si="17"/>
        <v>0.0344827586206897</v>
      </c>
      <c r="AP96" s="46">
        <f t="shared" si="17"/>
        <v>0.0333333333333333</v>
      </c>
      <c r="AQ96" s="46">
        <f t="shared" si="17"/>
        <v>0.032258064516129</v>
      </c>
      <c r="AR96" s="46">
        <f t="shared" si="17"/>
        <v>0.03125</v>
      </c>
      <c r="AS96" s="46">
        <f t="shared" si="17"/>
        <v>0.0303030303030303</v>
      </c>
      <c r="AT96" s="46">
        <v>500</v>
      </c>
      <c r="AU96" s="46">
        <v>1000</v>
      </c>
      <c r="AV96" s="46">
        <v>1500</v>
      </c>
      <c r="AW96" s="46">
        <v>2000</v>
      </c>
      <c r="AX96" s="46">
        <v>2500</v>
      </c>
      <c r="AY96" s="46">
        <v>1000</v>
      </c>
      <c r="AZ96" s="46">
        <v>2000</v>
      </c>
      <c r="BA96" s="46">
        <v>3000</v>
      </c>
      <c r="BB96" s="46">
        <v>4000</v>
      </c>
      <c r="BC96" s="46">
        <v>5000</v>
      </c>
      <c r="BD96" s="46">
        <v>2500</v>
      </c>
      <c r="BE96" s="46">
        <v>4000</v>
      </c>
      <c r="BF96" s="46">
        <v>5500</v>
      </c>
      <c r="BG96" s="46">
        <v>7000</v>
      </c>
      <c r="BH96" s="46">
        <v>8500</v>
      </c>
    </row>
    <row r="97" spans="5:60">
      <c r="E97" s="9" t="s">
        <v>395</v>
      </c>
      <c r="F97" s="9">
        <f>F96*5</f>
        <v>5</v>
      </c>
      <c r="G97" s="9">
        <f t="shared" ref="G97:L97" si="18">G96*5</f>
        <v>15</v>
      </c>
      <c r="H97" s="9">
        <f t="shared" si="18"/>
        <v>35</v>
      </c>
      <c r="I97" s="9">
        <f t="shared" si="18"/>
        <v>150</v>
      </c>
      <c r="J97" s="9">
        <f t="shared" si="18"/>
        <v>450</v>
      </c>
      <c r="K97" s="9">
        <f t="shared" si="18"/>
        <v>900</v>
      </c>
      <c r="L97" s="9">
        <f t="shared" si="18"/>
        <v>1800</v>
      </c>
      <c r="M97" s="9">
        <f>M94*2</f>
        <v>2</v>
      </c>
      <c r="N97" s="9">
        <f t="shared" ref="N97:AS97" si="19">N94*2</f>
        <v>4</v>
      </c>
      <c r="O97" s="9">
        <f t="shared" si="19"/>
        <v>6</v>
      </c>
      <c r="P97" s="9">
        <f t="shared" si="19"/>
        <v>8</v>
      </c>
      <c r="Q97" s="9">
        <f t="shared" si="19"/>
        <v>10</v>
      </c>
      <c r="R97" s="9">
        <f t="shared" si="19"/>
        <v>12</v>
      </c>
      <c r="S97" s="9">
        <f t="shared" si="19"/>
        <v>14</v>
      </c>
      <c r="T97" s="9">
        <f t="shared" si="19"/>
        <v>16</v>
      </c>
      <c r="U97" s="9">
        <f t="shared" si="19"/>
        <v>18</v>
      </c>
      <c r="V97" s="9">
        <f t="shared" si="19"/>
        <v>20</v>
      </c>
      <c r="W97" s="9">
        <f t="shared" si="19"/>
        <v>22</v>
      </c>
      <c r="X97" s="9">
        <f t="shared" si="19"/>
        <v>24</v>
      </c>
      <c r="Y97" s="9">
        <f t="shared" si="19"/>
        <v>26</v>
      </c>
      <c r="Z97" s="9">
        <f t="shared" si="19"/>
        <v>28</v>
      </c>
      <c r="AA97" s="9">
        <f t="shared" si="19"/>
        <v>30</v>
      </c>
      <c r="AB97" s="9">
        <f t="shared" si="19"/>
        <v>32</v>
      </c>
      <c r="AC97" s="9">
        <f t="shared" si="19"/>
        <v>34</v>
      </c>
      <c r="AD97" s="9">
        <f t="shared" si="19"/>
        <v>36</v>
      </c>
      <c r="AE97" s="9">
        <f t="shared" si="19"/>
        <v>38</v>
      </c>
      <c r="AF97" s="9">
        <f t="shared" si="19"/>
        <v>40</v>
      </c>
      <c r="AG97" s="9">
        <f t="shared" si="19"/>
        <v>42</v>
      </c>
      <c r="AH97" s="9">
        <f t="shared" si="19"/>
        <v>44</v>
      </c>
      <c r="AI97" s="9">
        <f t="shared" si="19"/>
        <v>46</v>
      </c>
      <c r="AJ97" s="9">
        <f t="shared" si="19"/>
        <v>48</v>
      </c>
      <c r="AK97" s="9">
        <f t="shared" si="19"/>
        <v>50</v>
      </c>
      <c r="AL97" s="9">
        <f t="shared" si="19"/>
        <v>52</v>
      </c>
      <c r="AM97" s="9">
        <f t="shared" si="19"/>
        <v>54</v>
      </c>
      <c r="AN97" s="9">
        <f t="shared" si="19"/>
        <v>56</v>
      </c>
      <c r="AO97" s="9">
        <f t="shared" si="19"/>
        <v>58</v>
      </c>
      <c r="AP97" s="9">
        <f t="shared" si="19"/>
        <v>60</v>
      </c>
      <c r="AQ97" s="9">
        <f t="shared" si="19"/>
        <v>62</v>
      </c>
      <c r="AR97" s="9">
        <f t="shared" si="19"/>
        <v>64</v>
      </c>
      <c r="AS97" s="9">
        <f t="shared" si="19"/>
        <v>66</v>
      </c>
      <c r="AT97" s="9">
        <f>AT96/10</f>
        <v>50</v>
      </c>
      <c r="AU97" s="9">
        <f>AT97</f>
        <v>50</v>
      </c>
      <c r="AV97" s="9">
        <f>AU97</f>
        <v>50</v>
      </c>
      <c r="AW97" s="9">
        <f>AV97</f>
        <v>50</v>
      </c>
      <c r="AX97" s="9">
        <f>AW97</f>
        <v>50</v>
      </c>
      <c r="AY97" s="9">
        <f>AY96/10</f>
        <v>100</v>
      </c>
      <c r="AZ97" s="9">
        <f>AY97</f>
        <v>100</v>
      </c>
      <c r="BA97" s="9">
        <f>AZ97</f>
        <v>100</v>
      </c>
      <c r="BB97" s="9">
        <f>BA97</f>
        <v>100</v>
      </c>
      <c r="BC97" s="9">
        <f>BB97</f>
        <v>100</v>
      </c>
      <c r="BD97" s="9">
        <f>BD96/10</f>
        <v>250</v>
      </c>
      <c r="BE97" s="9">
        <f>BD97</f>
        <v>250</v>
      </c>
      <c r="BF97" s="9">
        <f>BE97</f>
        <v>250</v>
      </c>
      <c r="BG97" s="9">
        <f>BF97</f>
        <v>250</v>
      </c>
      <c r="BH97" s="9">
        <f>BG97</f>
        <v>250</v>
      </c>
    </row>
  </sheetData>
  <autoFilter xmlns:etc="http://www.wps.cn/officeDocument/2017/etCustomData" ref="A1:M89" etc:filterBottomFollowUsedRange="0">
    <extLst/>
  </autoFilter>
  <dataValidations count="2">
    <dataValidation type="list" allowBlank="1" showInputMessage="1" showErrorMessage="1" sqref="A3:L3">
      <formula1>"int,long,float,double,boolean,char,string"</formula1>
    </dataValidation>
    <dataValidation type="list" allowBlank="1" showInputMessage="1" showErrorMessage="1" sqref="M3">
      <formula1>"int,long,float,double,boolean,char,string,datetime"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7.25"/>
  <cols>
    <col min="2" max="2" width="11.2583333333333" customWidth="1"/>
    <col min="3" max="3" width="30.625" customWidth="1"/>
    <col min="4" max="20" width="33.625" customWidth="1"/>
    <col min="21" max="21" width="33.625" style="21" customWidth="1"/>
    <col min="22" max="22" width="33.625" customWidth="1"/>
    <col min="23" max="23" width="12.625"/>
  </cols>
  <sheetData>
    <row r="1" s="18" customFormat="1" ht="30" customHeight="1" spans="1:36">
      <c r="A1" s="22" t="s">
        <v>72</v>
      </c>
      <c r="B1" s="22" t="s">
        <v>396</v>
      </c>
      <c r="C1" s="22" t="s">
        <v>397</v>
      </c>
      <c r="D1" s="22" t="s">
        <v>398</v>
      </c>
      <c r="E1" s="22" t="s">
        <v>399</v>
      </c>
      <c r="F1" s="22" t="s">
        <v>400</v>
      </c>
      <c r="G1" s="23" t="s">
        <v>401</v>
      </c>
      <c r="H1" s="22" t="s">
        <v>402</v>
      </c>
      <c r="I1" s="22" t="s">
        <v>403</v>
      </c>
      <c r="J1" s="23" t="s">
        <v>404</v>
      </c>
      <c r="K1" s="22" t="s">
        <v>405</v>
      </c>
      <c r="L1" s="22" t="s">
        <v>406</v>
      </c>
      <c r="M1" s="23" t="s">
        <v>407</v>
      </c>
      <c r="N1" s="22" t="s">
        <v>408</v>
      </c>
      <c r="O1" s="22" t="s">
        <v>409</v>
      </c>
      <c r="P1" s="23" t="s">
        <v>410</v>
      </c>
      <c r="Q1" s="22" t="s">
        <v>411</v>
      </c>
      <c r="R1" s="22" t="s">
        <v>412</v>
      </c>
      <c r="S1" s="23" t="s">
        <v>413</v>
      </c>
      <c r="T1" s="22" t="s">
        <v>414</v>
      </c>
      <c r="U1" s="22" t="s">
        <v>415</v>
      </c>
      <c r="V1" s="23" t="s">
        <v>416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="19" customFormat="1" ht="30" customHeight="1" spans="1:36">
      <c r="A2" s="24" t="s">
        <v>93</v>
      </c>
      <c r="B2" s="24" t="s">
        <v>150</v>
      </c>
      <c r="C2" s="24" t="s">
        <v>417</v>
      </c>
      <c r="D2" s="24" t="s">
        <v>418</v>
      </c>
      <c r="E2" s="24" t="s">
        <v>419</v>
      </c>
      <c r="F2" s="24" t="s">
        <v>420</v>
      </c>
      <c r="G2" s="25" t="s">
        <v>421</v>
      </c>
      <c r="H2" s="24" t="s">
        <v>422</v>
      </c>
      <c r="I2" s="24" t="s">
        <v>423</v>
      </c>
      <c r="J2" s="25" t="s">
        <v>424</v>
      </c>
      <c r="K2" s="24" t="s">
        <v>425</v>
      </c>
      <c r="L2" s="24" t="s">
        <v>426</v>
      </c>
      <c r="M2" s="25" t="s">
        <v>427</v>
      </c>
      <c r="N2" s="24" t="s">
        <v>428</v>
      </c>
      <c r="O2" s="24" t="s">
        <v>429</v>
      </c>
      <c r="P2" s="25" t="s">
        <v>430</v>
      </c>
      <c r="Q2" s="24" t="s">
        <v>431</v>
      </c>
      <c r="R2" s="24" t="s">
        <v>432</v>
      </c>
      <c r="S2" s="25" t="s">
        <v>433</v>
      </c>
      <c r="T2" s="24" t="s">
        <v>434</v>
      </c>
      <c r="U2" s="24" t="s">
        <v>435</v>
      </c>
      <c r="V2" s="25" t="s">
        <v>436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="20" customFormat="1" ht="30" customHeight="1" spans="1:22">
      <c r="A3" s="26" t="s">
        <v>115</v>
      </c>
      <c r="B3" s="26" t="s">
        <v>115</v>
      </c>
      <c r="C3" s="26" t="s">
        <v>116</v>
      </c>
      <c r="D3" s="26" t="s">
        <v>116</v>
      </c>
      <c r="E3" s="26" t="s">
        <v>116</v>
      </c>
      <c r="F3" s="26" t="s">
        <v>119</v>
      </c>
      <c r="G3" s="27" t="s">
        <v>116</v>
      </c>
      <c r="H3" s="26" t="s">
        <v>116</v>
      </c>
      <c r="I3" s="26" t="s">
        <v>119</v>
      </c>
      <c r="J3" s="27" t="s">
        <v>116</v>
      </c>
      <c r="K3" s="26" t="s">
        <v>116</v>
      </c>
      <c r="L3" s="26" t="s">
        <v>119</v>
      </c>
      <c r="M3" s="27" t="s">
        <v>116</v>
      </c>
      <c r="N3" s="26" t="s">
        <v>116</v>
      </c>
      <c r="O3" s="26" t="s">
        <v>119</v>
      </c>
      <c r="P3" s="27" t="s">
        <v>116</v>
      </c>
      <c r="Q3" s="26" t="s">
        <v>116</v>
      </c>
      <c r="R3" s="26" t="s">
        <v>119</v>
      </c>
      <c r="S3" s="27" t="s">
        <v>116</v>
      </c>
      <c r="T3" s="26" t="s">
        <v>116</v>
      </c>
      <c r="U3" s="26" t="s">
        <v>119</v>
      </c>
      <c r="V3" s="27" t="s">
        <v>116</v>
      </c>
    </row>
    <row r="4" ht="20" customHeight="1" spans="1:36">
      <c r="A4" s="1">
        <v>10001</v>
      </c>
      <c r="B4" s="1">
        <v>1</v>
      </c>
      <c r="C4" s="1" t="s">
        <v>437</v>
      </c>
      <c r="D4" s="28" t="s">
        <v>438</v>
      </c>
      <c r="E4" s="28" t="s">
        <v>439</v>
      </c>
      <c r="F4" s="29">
        <f>1/10*1/10*1/10</f>
        <v>0.001</v>
      </c>
      <c r="G4" s="28" t="s">
        <v>326</v>
      </c>
      <c r="H4" s="28" t="s">
        <v>440</v>
      </c>
      <c r="I4" s="29">
        <f>1/10*1/10*1/10*9</f>
        <v>0.009</v>
      </c>
      <c r="J4" s="28" t="s">
        <v>441</v>
      </c>
      <c r="K4" s="28" t="s">
        <v>442</v>
      </c>
      <c r="L4" s="29">
        <f>1/10*1/10*9/10*3</f>
        <v>0.027</v>
      </c>
      <c r="M4" s="28" t="s">
        <v>323</v>
      </c>
      <c r="N4" s="28" t="s">
        <v>443</v>
      </c>
      <c r="O4" s="29">
        <f>1/10*1/10*1/10*9*3</f>
        <v>0.027</v>
      </c>
      <c r="P4" s="28" t="s">
        <v>322</v>
      </c>
      <c r="Q4" s="28" t="s">
        <v>444</v>
      </c>
      <c r="R4" s="29">
        <f>1/10*1/10*8/10*9*3</f>
        <v>0.216</v>
      </c>
      <c r="S4" s="28" t="s">
        <v>321</v>
      </c>
      <c r="T4" s="28" t="s">
        <v>445</v>
      </c>
      <c r="U4" s="29">
        <f>1/10*9/10*8/10*3+9/10*8/10*7/10</f>
        <v>0.72</v>
      </c>
      <c r="V4" s="28" t="s">
        <v>320</v>
      </c>
      <c r="W4" s="33">
        <f>F4+I4+L4+O4+R4+U4</f>
        <v>1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ht="20" customHeight="1" spans="1:36">
      <c r="A5" s="1">
        <v>10002</v>
      </c>
      <c r="B5" s="1">
        <v>1</v>
      </c>
      <c r="C5" s="1" t="s">
        <v>446</v>
      </c>
      <c r="D5" s="28" t="s">
        <v>447</v>
      </c>
      <c r="E5" s="28" t="s">
        <v>448</v>
      </c>
      <c r="F5" s="29">
        <f>(1+5+15+35+70+126)/59049</f>
        <v>0.00426764212772443</v>
      </c>
      <c r="G5" s="28" t="s">
        <v>326</v>
      </c>
      <c r="H5" s="28" t="s">
        <v>449</v>
      </c>
      <c r="I5" s="29">
        <f>(210+330+495+710+976)/59049</f>
        <v>0.0460803739267388</v>
      </c>
      <c r="J5" s="28" t="s">
        <v>441</v>
      </c>
      <c r="K5" s="28" t="s">
        <v>450</v>
      </c>
      <c r="L5" s="29">
        <f>(1290+1645+2030+2430+2826)/59049</f>
        <v>0.173093532489966</v>
      </c>
      <c r="M5" s="28" t="s">
        <v>323</v>
      </c>
      <c r="N5" s="28" t="s">
        <v>451</v>
      </c>
      <c r="O5" s="29">
        <f>(3195+3510+3750+3900+3951)/59049</f>
        <v>0.310013717421125</v>
      </c>
      <c r="P5" s="28" t="s">
        <v>322</v>
      </c>
      <c r="Q5" s="28" t="s">
        <v>452</v>
      </c>
      <c r="R5" s="29">
        <f>(3900+3750+3510+3195+2826)/59049</f>
        <v>0.290961743636641</v>
      </c>
      <c r="S5" s="28" t="s">
        <v>321</v>
      </c>
      <c r="T5" s="28" t="s">
        <v>445</v>
      </c>
      <c r="U5" s="29">
        <f>(2430+2030+1645+1290+976+710+495+330+210+126+70+35+15+5+1)/59049</f>
        <v>0.175582990397805</v>
      </c>
      <c r="V5" s="28" t="s">
        <v>320</v>
      </c>
      <c r="W5" s="33">
        <f>F5+I5+L5+O5+R5+U5</f>
        <v>1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ht="20" customHeight="1" spans="1:36">
      <c r="A6" s="1">
        <v>10003</v>
      </c>
      <c r="B6" s="1">
        <v>1</v>
      </c>
      <c r="C6" s="1" t="s">
        <v>453</v>
      </c>
      <c r="D6" s="28" t="s">
        <v>454</v>
      </c>
      <c r="E6" s="28" t="s">
        <v>455</v>
      </c>
      <c r="F6" s="29">
        <f>1/9</f>
        <v>0.111111111111111</v>
      </c>
      <c r="G6" s="28" t="s">
        <v>326</v>
      </c>
      <c r="H6" s="28" t="s">
        <v>456</v>
      </c>
      <c r="I6" s="29">
        <f>1/9</f>
        <v>0.111111111111111</v>
      </c>
      <c r="J6" s="28" t="s">
        <v>441</v>
      </c>
      <c r="K6" s="28" t="s">
        <v>457</v>
      </c>
      <c r="L6" s="29">
        <f>1/9</f>
        <v>0.111111111111111</v>
      </c>
      <c r="M6" s="28" t="s">
        <v>323</v>
      </c>
      <c r="N6" s="28" t="s">
        <v>458</v>
      </c>
      <c r="O6" s="29">
        <f>1/9</f>
        <v>0.111111111111111</v>
      </c>
      <c r="P6" s="28" t="s">
        <v>322</v>
      </c>
      <c r="Q6" s="28" t="s">
        <v>459</v>
      </c>
      <c r="R6" s="29">
        <f>1/9</f>
        <v>0.111111111111111</v>
      </c>
      <c r="S6" s="28" t="s">
        <v>321</v>
      </c>
      <c r="T6" s="28" t="s">
        <v>445</v>
      </c>
      <c r="U6" s="29">
        <f>4/9</f>
        <v>0.444444444444444</v>
      </c>
      <c r="V6" s="28" t="s">
        <v>320</v>
      </c>
      <c r="W6" s="33">
        <f>F6+I6+L6+O6+R6+U6</f>
        <v>1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</row>
    <row r="11" spans="4:18">
      <c r="D11" s="9" t="s">
        <v>460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4:18">
      <c r="D12" s="35"/>
      <c r="E12" s="35" t="s">
        <v>461</v>
      </c>
      <c r="F12" s="35" t="s">
        <v>462</v>
      </c>
      <c r="G12" s="35" t="s">
        <v>463</v>
      </c>
      <c r="H12" s="35" t="s">
        <v>464</v>
      </c>
      <c r="I12" s="35" t="s">
        <v>465</v>
      </c>
      <c r="J12" s="35" t="s">
        <v>466</v>
      </c>
      <c r="K12" s="35" t="s">
        <v>467</v>
      </c>
      <c r="L12" s="35" t="s">
        <v>468</v>
      </c>
      <c r="M12" s="35" t="s">
        <v>469</v>
      </c>
      <c r="N12" s="35" t="s">
        <v>470</v>
      </c>
      <c r="O12" s="35" t="s">
        <v>471</v>
      </c>
      <c r="P12" s="35" t="s">
        <v>472</v>
      </c>
      <c r="Q12" s="35" t="s">
        <v>473</v>
      </c>
      <c r="R12" s="35" t="s">
        <v>474</v>
      </c>
    </row>
    <row r="13" spans="4:18">
      <c r="D13" s="9" t="s">
        <v>475</v>
      </c>
      <c r="E13" s="9">
        <v>1</v>
      </c>
      <c r="F13" s="9">
        <f>ROUND(G13*H13+I13*J13+K13*L13+M13*N13+O13*P13+Q13*R13,0)</f>
        <v>49</v>
      </c>
      <c r="G13" s="9">
        <v>510</v>
      </c>
      <c r="H13" s="9">
        <f>F4</f>
        <v>0.001</v>
      </c>
      <c r="I13" s="9">
        <f t="shared" ref="I13:M13" si="0">G13-100</f>
        <v>410</v>
      </c>
      <c r="J13" s="9">
        <f>I4</f>
        <v>0.009</v>
      </c>
      <c r="K13" s="9">
        <f t="shared" si="0"/>
        <v>310</v>
      </c>
      <c r="L13" s="9">
        <f>L4</f>
        <v>0.027</v>
      </c>
      <c r="M13" s="9">
        <f t="shared" si="0"/>
        <v>210</v>
      </c>
      <c r="N13" s="9">
        <f>O4</f>
        <v>0.027</v>
      </c>
      <c r="O13" s="9">
        <f>M13-100</f>
        <v>110</v>
      </c>
      <c r="P13" s="9">
        <f>R4</f>
        <v>0.216</v>
      </c>
      <c r="Q13" s="9">
        <f>O13-100</f>
        <v>10</v>
      </c>
      <c r="R13" s="9">
        <f>U4</f>
        <v>0.72</v>
      </c>
    </row>
    <row r="14" spans="4:18">
      <c r="D14" s="9" t="s">
        <v>476</v>
      </c>
      <c r="E14" s="9">
        <v>2</v>
      </c>
      <c r="F14" s="9">
        <f>ROUND(G14*H14+I14*J14+K14*L14+M14*N14+O14*P14+Q14*R14,0)</f>
        <v>184</v>
      </c>
      <c r="G14" s="9">
        <v>520</v>
      </c>
      <c r="H14" s="9">
        <f>F5</f>
        <v>0.00426764212772443</v>
      </c>
      <c r="I14" s="9">
        <f>G14-100</f>
        <v>420</v>
      </c>
      <c r="J14" s="9">
        <f>I5</f>
        <v>0.0460803739267388</v>
      </c>
      <c r="K14" s="9">
        <f>I14-100</f>
        <v>320</v>
      </c>
      <c r="L14" s="9">
        <f>L5</f>
        <v>0.173093532489966</v>
      </c>
      <c r="M14" s="9">
        <f>K14-100</f>
        <v>220</v>
      </c>
      <c r="N14" s="9">
        <f>O5</f>
        <v>0.310013717421125</v>
      </c>
      <c r="O14" s="9">
        <f>M14-100</f>
        <v>120</v>
      </c>
      <c r="P14" s="9">
        <f>R5</f>
        <v>0.290961743636641</v>
      </c>
      <c r="Q14" s="9">
        <f>O14-100</f>
        <v>20</v>
      </c>
      <c r="R14" s="9">
        <f>U5</f>
        <v>0.175582990397805</v>
      </c>
    </row>
    <row r="15" spans="4:18">
      <c r="D15" s="9" t="s">
        <v>477</v>
      </c>
      <c r="E15" s="9">
        <v>3</v>
      </c>
      <c r="F15" s="9">
        <f>ROUND(G15*H15+I15*J15+K15*L15+M15*N15+O15*P15+Q15*R15,0)</f>
        <v>197</v>
      </c>
      <c r="G15" s="9">
        <v>530</v>
      </c>
      <c r="H15" s="9">
        <f>F6</f>
        <v>0.111111111111111</v>
      </c>
      <c r="I15" s="9">
        <f>G15-100</f>
        <v>430</v>
      </c>
      <c r="J15" s="9">
        <f>I6</f>
        <v>0.111111111111111</v>
      </c>
      <c r="K15" s="9">
        <f>I15-100</f>
        <v>330</v>
      </c>
      <c r="L15" s="9">
        <f>L6</f>
        <v>0.111111111111111</v>
      </c>
      <c r="M15" s="9">
        <f>K15-100</f>
        <v>230</v>
      </c>
      <c r="N15" s="9">
        <f>O6</f>
        <v>0.111111111111111</v>
      </c>
      <c r="O15" s="9">
        <f>M15-100</f>
        <v>130</v>
      </c>
      <c r="P15" s="9">
        <f>R6</f>
        <v>0.111111111111111</v>
      </c>
      <c r="Q15" s="9">
        <f>O15-100</f>
        <v>30</v>
      </c>
      <c r="R15" s="9">
        <f>U6</f>
        <v>0.444444444444444</v>
      </c>
    </row>
    <row r="16" spans="4:18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4:18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</sheetData>
  <autoFilter xmlns:etc="http://www.wps.cn/officeDocument/2017/etCustomData" ref="A1:V6" etc:filterBottomFollowUsedRange="0">
    <extLst/>
  </autoFilter>
  <mergeCells count="1">
    <mergeCell ref="D11:R11"/>
  </mergeCells>
  <dataValidations count="1">
    <dataValidation type="list" allowBlank="1" showInputMessage="1" showErrorMessage="1" sqref="A3:V3">
      <formula1>"int,long,float,double,boolean,char,string"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workbookViewId="0">
      <pane xSplit="2" ySplit="3" topLeftCell="C96" activePane="bottomRight" state="frozen"/>
      <selection/>
      <selection pane="topRight"/>
      <selection pane="bottomLeft"/>
      <selection pane="bottomRight" activeCell="G112" sqref="G112"/>
    </sheetView>
  </sheetViews>
  <sheetFormatPr defaultColWidth="9" defaultRowHeight="17.25"/>
  <cols>
    <col min="1" max="1" width="9" style="1"/>
    <col min="2" max="3" width="11.2583333333333" style="1" customWidth="1"/>
    <col min="4" max="4" width="30.625" style="1" customWidth="1"/>
    <col min="5" max="8" width="16.625" style="1" customWidth="1"/>
    <col min="9" max="9" width="16.625" style="21" customWidth="1"/>
    <col min="10" max="11" width="66.625" style="21" customWidth="1"/>
    <col min="12" max="12" width="16.625" style="1" customWidth="1"/>
    <col min="13" max="14" width="66.625" style="21" customWidth="1"/>
    <col min="15" max="17" width="16.625" style="1" customWidth="1"/>
  </cols>
  <sheetData>
    <row r="1" s="18" customFormat="1" ht="30" customHeight="1" spans="1:33">
      <c r="A1" s="22" t="s">
        <v>72</v>
      </c>
      <c r="B1" s="22" t="s">
        <v>48</v>
      </c>
      <c r="C1" s="22" t="s">
        <v>478</v>
      </c>
      <c r="D1" s="22" t="s">
        <v>479</v>
      </c>
      <c r="E1" s="22" t="s">
        <v>480</v>
      </c>
      <c r="F1" s="22" t="s">
        <v>481</v>
      </c>
      <c r="G1" s="22" t="s">
        <v>482</v>
      </c>
      <c r="H1" s="22" t="s">
        <v>483</v>
      </c>
      <c r="I1" s="23" t="s">
        <v>484</v>
      </c>
      <c r="J1" s="23" t="s">
        <v>485</v>
      </c>
      <c r="K1" s="23" t="s">
        <v>486</v>
      </c>
      <c r="L1" s="22" t="s">
        <v>487</v>
      </c>
      <c r="M1" s="23" t="s">
        <v>488</v>
      </c>
      <c r="N1" s="23" t="s">
        <v>489</v>
      </c>
      <c r="O1" s="22" t="s">
        <v>490</v>
      </c>
      <c r="P1" s="22" t="s">
        <v>149</v>
      </c>
      <c r="Q1" s="22" t="s">
        <v>491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="19" customFormat="1" ht="30" customHeight="1" spans="1:33">
      <c r="A2" s="24" t="s">
        <v>93</v>
      </c>
      <c r="B2" s="24" t="s">
        <v>150</v>
      </c>
      <c r="C2" s="24" t="s">
        <v>267</v>
      </c>
      <c r="D2" s="24" t="s">
        <v>492</v>
      </c>
      <c r="E2" s="24" t="s">
        <v>493</v>
      </c>
      <c r="F2" s="24" t="s">
        <v>494</v>
      </c>
      <c r="G2" s="24" t="s">
        <v>154</v>
      </c>
      <c r="H2" s="24" t="s">
        <v>495</v>
      </c>
      <c r="I2" s="25" t="s">
        <v>496</v>
      </c>
      <c r="J2" s="25" t="s">
        <v>497</v>
      </c>
      <c r="K2" s="25" t="s">
        <v>421</v>
      </c>
      <c r="L2" s="24" t="s">
        <v>159</v>
      </c>
      <c r="M2" s="25" t="s">
        <v>498</v>
      </c>
      <c r="N2" s="25" t="s">
        <v>499</v>
      </c>
      <c r="O2" s="24" t="s">
        <v>270</v>
      </c>
      <c r="P2" s="24" t="s">
        <v>160</v>
      </c>
      <c r="Q2" s="24" t="s">
        <v>500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s="20" customFormat="1" ht="30" customHeight="1" spans="1:17">
      <c r="A3" s="26" t="s">
        <v>115</v>
      </c>
      <c r="B3" s="26" t="s">
        <v>115</v>
      </c>
      <c r="C3" s="26" t="s">
        <v>115</v>
      </c>
      <c r="D3" s="26" t="s">
        <v>116</v>
      </c>
      <c r="E3" s="26" t="s">
        <v>115</v>
      </c>
      <c r="F3" s="26" t="s">
        <v>115</v>
      </c>
      <c r="G3" s="26" t="s">
        <v>118</v>
      </c>
      <c r="H3" s="26" t="s">
        <v>115</v>
      </c>
      <c r="I3" s="27" t="s">
        <v>117</v>
      </c>
      <c r="J3" s="27" t="s">
        <v>116</v>
      </c>
      <c r="K3" s="27" t="s">
        <v>116</v>
      </c>
      <c r="L3" s="26" t="s">
        <v>115</v>
      </c>
      <c r="M3" s="27" t="s">
        <v>116</v>
      </c>
      <c r="N3" s="27" t="s">
        <v>116</v>
      </c>
      <c r="O3" s="26" t="s">
        <v>115</v>
      </c>
      <c r="P3" s="26" t="s">
        <v>161</v>
      </c>
      <c r="Q3" s="26" t="s">
        <v>115</v>
      </c>
    </row>
    <row r="4" ht="20" customHeight="1" spans="1:33">
      <c r="A4" s="1">
        <v>10001</v>
      </c>
      <c r="B4" s="1">
        <v>1</v>
      </c>
      <c r="C4" s="1">
        <v>1</v>
      </c>
      <c r="D4" s="1" t="s">
        <v>501</v>
      </c>
      <c r="E4" s="1">
        <v>0</v>
      </c>
      <c r="G4" s="1" t="b">
        <v>1</v>
      </c>
      <c r="H4" s="1">
        <v>1</v>
      </c>
      <c r="I4" s="21">
        <v>6</v>
      </c>
      <c r="J4" s="28" t="s">
        <v>320</v>
      </c>
      <c r="K4" s="28"/>
      <c r="M4" s="28"/>
      <c r="N4" s="28"/>
      <c r="P4" s="1">
        <v>-1</v>
      </c>
      <c r="Q4" s="1">
        <v>1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ht="20" customHeight="1" spans="1:33">
      <c r="A5" s="1">
        <v>10002</v>
      </c>
      <c r="B5" s="1">
        <v>1</v>
      </c>
      <c r="C5" s="1">
        <v>2</v>
      </c>
      <c r="D5" s="1" t="s">
        <v>502</v>
      </c>
      <c r="F5" s="1">
        <f>A4</f>
        <v>10001</v>
      </c>
      <c r="G5" s="1" t="b">
        <v>0</v>
      </c>
      <c r="H5" s="1">
        <v>1</v>
      </c>
      <c r="I5" s="21">
        <v>0</v>
      </c>
      <c r="J5" s="28" t="s">
        <v>503</v>
      </c>
      <c r="K5" s="28"/>
      <c r="M5" s="28"/>
      <c r="N5" s="28"/>
      <c r="P5" s="1">
        <v>-1</v>
      </c>
      <c r="Q5" s="1">
        <v>1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ht="20" customHeight="1" spans="1:33">
      <c r="A6" s="1">
        <v>10003</v>
      </c>
      <c r="B6" s="1">
        <v>1</v>
      </c>
      <c r="C6" s="1">
        <v>2</v>
      </c>
      <c r="D6" s="1" t="s">
        <v>504</v>
      </c>
      <c r="F6" s="1">
        <f>A4</f>
        <v>10001</v>
      </c>
      <c r="G6" s="1" t="b">
        <v>0</v>
      </c>
      <c r="H6" s="1">
        <v>1</v>
      </c>
      <c r="I6" s="21">
        <v>0</v>
      </c>
      <c r="J6" s="28" t="s">
        <v>438</v>
      </c>
      <c r="K6" s="28"/>
      <c r="M6" s="28"/>
      <c r="N6" s="28"/>
      <c r="P6" s="1">
        <v>-1</v>
      </c>
      <c r="Q6" s="1">
        <v>1</v>
      </c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ht="20" customHeight="1" spans="1:33">
      <c r="A7" s="1">
        <v>10004</v>
      </c>
      <c r="B7" s="1">
        <v>1</v>
      </c>
      <c r="C7" s="1">
        <v>1</v>
      </c>
      <c r="D7" s="1" t="s">
        <v>501</v>
      </c>
      <c r="E7" s="1">
        <v>1</v>
      </c>
      <c r="G7" s="1" t="b">
        <v>1</v>
      </c>
      <c r="H7" s="1">
        <v>2</v>
      </c>
      <c r="I7" s="21">
        <v>6</v>
      </c>
      <c r="J7" s="28" t="s">
        <v>320</v>
      </c>
      <c r="K7" s="28"/>
      <c r="M7" s="28"/>
      <c r="N7" s="28"/>
      <c r="P7" s="1">
        <v>-1</v>
      </c>
      <c r="Q7" s="1">
        <v>1</v>
      </c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ht="20" customHeight="1" spans="1:33">
      <c r="A8" s="1">
        <v>10005</v>
      </c>
      <c r="B8" s="1">
        <v>1</v>
      </c>
      <c r="C8" s="1">
        <v>2</v>
      </c>
      <c r="D8" s="1" t="s">
        <v>502</v>
      </c>
      <c r="F8" s="1">
        <f>A7</f>
        <v>10004</v>
      </c>
      <c r="G8" s="1" t="b">
        <v>0</v>
      </c>
      <c r="H8" s="1">
        <v>2</v>
      </c>
      <c r="I8" s="21">
        <v>0</v>
      </c>
      <c r="J8" s="28" t="s">
        <v>503</v>
      </c>
      <c r="K8" s="28"/>
      <c r="M8" s="28"/>
      <c r="N8" s="28"/>
      <c r="P8" s="1">
        <v>-1</v>
      </c>
      <c r="Q8" s="1">
        <v>1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ht="20" customHeight="1" spans="1:33">
      <c r="A9" s="1">
        <v>10006</v>
      </c>
      <c r="B9" s="1">
        <v>1</v>
      </c>
      <c r="C9" s="1">
        <v>2</v>
      </c>
      <c r="D9" s="1" t="s">
        <v>504</v>
      </c>
      <c r="F9" s="1">
        <f>A7</f>
        <v>10004</v>
      </c>
      <c r="G9" s="1" t="b">
        <v>0</v>
      </c>
      <c r="H9" s="1">
        <v>2</v>
      </c>
      <c r="I9" s="21">
        <v>0</v>
      </c>
      <c r="J9" s="28" t="s">
        <v>438</v>
      </c>
      <c r="K9" s="28"/>
      <c r="M9" s="28"/>
      <c r="N9" s="28"/>
      <c r="P9" s="1">
        <v>-1</v>
      </c>
      <c r="Q9" s="1">
        <v>1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ht="20" customHeight="1" spans="1:33">
      <c r="A10" s="1">
        <v>10007</v>
      </c>
      <c r="B10" s="1">
        <v>1</v>
      </c>
      <c r="C10" s="1">
        <v>1</v>
      </c>
      <c r="D10" s="1" t="s">
        <v>501</v>
      </c>
      <c r="E10" s="1">
        <v>2</v>
      </c>
      <c r="G10" s="1" t="b">
        <v>1</v>
      </c>
      <c r="H10" s="1">
        <v>3</v>
      </c>
      <c r="I10" s="21">
        <v>6</v>
      </c>
      <c r="J10" s="28" t="s">
        <v>320</v>
      </c>
      <c r="K10" s="28"/>
      <c r="M10" s="28"/>
      <c r="N10" s="28"/>
      <c r="P10" s="1">
        <v>-1</v>
      </c>
      <c r="Q10" s="1">
        <v>1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ht="20" customHeight="1" spans="1:33">
      <c r="A11" s="1">
        <v>10008</v>
      </c>
      <c r="B11" s="1">
        <v>1</v>
      </c>
      <c r="C11" s="1">
        <v>2</v>
      </c>
      <c r="D11" s="1" t="s">
        <v>502</v>
      </c>
      <c r="F11" s="1">
        <f>A10</f>
        <v>10007</v>
      </c>
      <c r="G11" s="1" t="b">
        <v>0</v>
      </c>
      <c r="H11" s="1">
        <v>3</v>
      </c>
      <c r="I11" s="21">
        <v>0</v>
      </c>
      <c r="J11" s="28" t="s">
        <v>503</v>
      </c>
      <c r="K11" s="28"/>
      <c r="M11" s="28"/>
      <c r="N11" s="28"/>
      <c r="P11" s="1">
        <v>-1</v>
      </c>
      <c r="Q11" s="1">
        <v>1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ht="20" customHeight="1" spans="1:33">
      <c r="A12" s="1">
        <v>10009</v>
      </c>
      <c r="B12" s="1">
        <v>1</v>
      </c>
      <c r="C12" s="1">
        <v>2</v>
      </c>
      <c r="D12" s="1" t="s">
        <v>504</v>
      </c>
      <c r="F12" s="1">
        <f>A10</f>
        <v>10007</v>
      </c>
      <c r="G12" s="1" t="b">
        <v>0</v>
      </c>
      <c r="H12" s="1">
        <v>3</v>
      </c>
      <c r="I12" s="21">
        <v>0</v>
      </c>
      <c r="J12" s="28" t="s">
        <v>438</v>
      </c>
      <c r="K12" s="28"/>
      <c r="M12" s="28"/>
      <c r="N12" s="28"/>
      <c r="P12" s="1">
        <v>-1</v>
      </c>
      <c r="Q12" s="1">
        <v>1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ht="20" hidden="1" customHeight="1" spans="1:33">
      <c r="A13" s="1">
        <v>10010</v>
      </c>
      <c r="B13" s="1">
        <v>1</v>
      </c>
      <c r="C13" s="1">
        <v>1</v>
      </c>
      <c r="D13" s="1" t="s">
        <v>501</v>
      </c>
      <c r="E13" s="1">
        <v>3</v>
      </c>
      <c r="G13" s="1" t="b">
        <v>1</v>
      </c>
      <c r="H13" s="1">
        <v>4</v>
      </c>
      <c r="I13" s="21">
        <v>6</v>
      </c>
      <c r="J13" s="28" t="s">
        <v>320</v>
      </c>
      <c r="K13" s="28"/>
      <c r="M13" s="28"/>
      <c r="N13" s="28"/>
      <c r="P13" s="1">
        <v>-1</v>
      </c>
      <c r="Q13" s="1">
        <v>1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ht="20" hidden="1" customHeight="1" spans="1:33">
      <c r="A14" s="1">
        <v>10011</v>
      </c>
      <c r="B14" s="1">
        <v>1</v>
      </c>
      <c r="C14" s="1">
        <v>2</v>
      </c>
      <c r="D14" s="1" t="s">
        <v>502</v>
      </c>
      <c r="F14" s="1">
        <f>A13</f>
        <v>10010</v>
      </c>
      <c r="G14" s="1" t="b">
        <v>0</v>
      </c>
      <c r="H14" s="1">
        <v>4</v>
      </c>
      <c r="I14" s="21">
        <v>0</v>
      </c>
      <c r="J14" s="28" t="s">
        <v>503</v>
      </c>
      <c r="K14" s="28"/>
      <c r="M14" s="28"/>
      <c r="N14" s="28"/>
      <c r="P14" s="1">
        <v>-1</v>
      </c>
      <c r="Q14" s="1">
        <v>1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ht="20" hidden="1" customHeight="1" spans="1:33">
      <c r="A15" s="1">
        <v>10012</v>
      </c>
      <c r="B15" s="1">
        <v>1</v>
      </c>
      <c r="C15" s="1">
        <v>2</v>
      </c>
      <c r="D15" s="1" t="s">
        <v>504</v>
      </c>
      <c r="F15" s="1">
        <f>A13</f>
        <v>10010</v>
      </c>
      <c r="G15" s="1" t="b">
        <v>0</v>
      </c>
      <c r="H15" s="1">
        <v>4</v>
      </c>
      <c r="I15" s="21">
        <v>0</v>
      </c>
      <c r="J15" s="28" t="s">
        <v>438</v>
      </c>
      <c r="K15" s="28"/>
      <c r="M15" s="28"/>
      <c r="N15" s="28"/>
      <c r="P15" s="1">
        <v>-1</v>
      </c>
      <c r="Q15" s="1">
        <v>1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ht="20" hidden="1" customHeight="1" spans="1:33">
      <c r="A16" s="1">
        <v>10013</v>
      </c>
      <c r="B16" s="1">
        <v>1</v>
      </c>
      <c r="C16" s="1">
        <v>1</v>
      </c>
      <c r="D16" s="1" t="s">
        <v>501</v>
      </c>
      <c r="E16" s="1">
        <v>4</v>
      </c>
      <c r="G16" s="1" t="b">
        <v>1</v>
      </c>
      <c r="H16" s="1">
        <v>5</v>
      </c>
      <c r="I16" s="21">
        <v>6</v>
      </c>
      <c r="J16" s="28" t="s">
        <v>320</v>
      </c>
      <c r="K16" s="28"/>
      <c r="M16" s="28"/>
      <c r="N16" s="28"/>
      <c r="P16" s="1">
        <v>-1</v>
      </c>
      <c r="Q16" s="1">
        <v>1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ht="20" hidden="1" customHeight="1" spans="1:33">
      <c r="A17" s="1">
        <v>10014</v>
      </c>
      <c r="B17" s="1">
        <v>1</v>
      </c>
      <c r="C17" s="1">
        <v>2</v>
      </c>
      <c r="D17" s="1" t="s">
        <v>502</v>
      </c>
      <c r="F17" s="1">
        <f>A16</f>
        <v>10013</v>
      </c>
      <c r="G17" s="1" t="b">
        <v>0</v>
      </c>
      <c r="H17" s="1">
        <v>5</v>
      </c>
      <c r="I17" s="21">
        <v>0</v>
      </c>
      <c r="J17" s="28" t="s">
        <v>503</v>
      </c>
      <c r="K17" s="28"/>
      <c r="M17" s="28"/>
      <c r="N17" s="28"/>
      <c r="P17" s="1">
        <v>-1</v>
      </c>
      <c r="Q17" s="1">
        <v>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ht="20" hidden="1" customHeight="1" spans="1:33">
      <c r="A18" s="1">
        <v>10015</v>
      </c>
      <c r="B18" s="1">
        <v>1</v>
      </c>
      <c r="C18" s="1">
        <v>2</v>
      </c>
      <c r="D18" s="1" t="s">
        <v>504</v>
      </c>
      <c r="F18" s="1">
        <f>A16</f>
        <v>10013</v>
      </c>
      <c r="G18" s="1" t="b">
        <v>0</v>
      </c>
      <c r="H18" s="1">
        <v>5</v>
      </c>
      <c r="I18" s="21">
        <v>0</v>
      </c>
      <c r="J18" s="28" t="s">
        <v>438</v>
      </c>
      <c r="K18" s="28"/>
      <c r="M18" s="28"/>
      <c r="N18" s="28"/>
      <c r="P18" s="1">
        <v>-1</v>
      </c>
      <c r="Q18" s="1">
        <v>1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ht="20" hidden="1" customHeight="1" spans="1:33">
      <c r="A19" s="1">
        <v>10016</v>
      </c>
      <c r="B19" s="1">
        <v>1</v>
      </c>
      <c r="C19" s="1">
        <v>1</v>
      </c>
      <c r="D19" s="1" t="s">
        <v>501</v>
      </c>
      <c r="E19" s="1">
        <v>5</v>
      </c>
      <c r="G19" s="1" t="b">
        <v>1</v>
      </c>
      <c r="H19" s="1">
        <v>6</v>
      </c>
      <c r="I19" s="21">
        <v>6</v>
      </c>
      <c r="J19" s="28" t="s">
        <v>320</v>
      </c>
      <c r="K19" s="28"/>
      <c r="M19" s="28"/>
      <c r="N19" s="28"/>
      <c r="P19" s="1">
        <v>-1</v>
      </c>
      <c r="Q19" s="1">
        <v>1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ht="20" hidden="1" customHeight="1" spans="1:33">
      <c r="A20" s="1">
        <v>10017</v>
      </c>
      <c r="B20" s="1">
        <v>1</v>
      </c>
      <c r="C20" s="1">
        <v>2</v>
      </c>
      <c r="D20" s="1" t="s">
        <v>502</v>
      </c>
      <c r="F20" s="1">
        <f>A19</f>
        <v>10016</v>
      </c>
      <c r="G20" s="1" t="b">
        <v>0</v>
      </c>
      <c r="H20" s="1">
        <v>6</v>
      </c>
      <c r="I20" s="21">
        <v>0</v>
      </c>
      <c r="J20" s="28" t="s">
        <v>503</v>
      </c>
      <c r="K20" s="28"/>
      <c r="M20" s="28"/>
      <c r="N20" s="28"/>
      <c r="P20" s="1">
        <v>-1</v>
      </c>
      <c r="Q20" s="1">
        <v>1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ht="20" hidden="1" customHeight="1" spans="1:33">
      <c r="A21" s="1">
        <v>10018</v>
      </c>
      <c r="B21" s="1">
        <v>1</v>
      </c>
      <c r="C21" s="1">
        <v>2</v>
      </c>
      <c r="D21" s="1" t="s">
        <v>504</v>
      </c>
      <c r="F21" s="1">
        <f>A19</f>
        <v>10016</v>
      </c>
      <c r="G21" s="1" t="b">
        <v>0</v>
      </c>
      <c r="H21" s="1">
        <v>6</v>
      </c>
      <c r="I21" s="21">
        <v>0</v>
      </c>
      <c r="J21" s="28" t="s">
        <v>438</v>
      </c>
      <c r="K21" s="28"/>
      <c r="M21" s="28"/>
      <c r="N21" s="28"/>
      <c r="P21" s="1">
        <v>-1</v>
      </c>
      <c r="Q21" s="1">
        <v>1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ht="20" hidden="1" customHeight="1" spans="1:33">
      <c r="A22" s="1">
        <v>10019</v>
      </c>
      <c r="B22" s="1">
        <v>1</v>
      </c>
      <c r="C22" s="1">
        <v>1</v>
      </c>
      <c r="D22" s="1" t="s">
        <v>501</v>
      </c>
      <c r="E22" s="1">
        <v>6</v>
      </c>
      <c r="G22" s="1" t="b">
        <v>1</v>
      </c>
      <c r="H22" s="1">
        <v>7</v>
      </c>
      <c r="I22" s="21">
        <v>6</v>
      </c>
      <c r="J22" s="28" t="s">
        <v>320</v>
      </c>
      <c r="K22" s="28"/>
      <c r="M22" s="28"/>
      <c r="N22" s="28"/>
      <c r="P22" s="1">
        <v>-1</v>
      </c>
      <c r="Q22" s="1">
        <v>1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ht="20" hidden="1" customHeight="1" spans="1:33">
      <c r="A23" s="1">
        <v>10020</v>
      </c>
      <c r="B23" s="1">
        <v>1</v>
      </c>
      <c r="C23" s="1">
        <v>2</v>
      </c>
      <c r="D23" s="1" t="s">
        <v>502</v>
      </c>
      <c r="F23" s="1">
        <f>A22</f>
        <v>10019</v>
      </c>
      <c r="G23" s="1" t="b">
        <v>0</v>
      </c>
      <c r="H23" s="1">
        <v>7</v>
      </c>
      <c r="I23" s="21">
        <v>0</v>
      </c>
      <c r="J23" s="28" t="s">
        <v>503</v>
      </c>
      <c r="K23" s="28"/>
      <c r="M23" s="28"/>
      <c r="N23" s="28"/>
      <c r="P23" s="1">
        <v>-1</v>
      </c>
      <c r="Q23" s="1">
        <v>1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ht="20" hidden="1" customHeight="1" spans="1:33">
      <c r="A24" s="1">
        <v>10021</v>
      </c>
      <c r="B24" s="1">
        <v>1</v>
      </c>
      <c r="C24" s="1">
        <v>2</v>
      </c>
      <c r="D24" s="1" t="s">
        <v>504</v>
      </c>
      <c r="F24" s="1">
        <f>A22</f>
        <v>10019</v>
      </c>
      <c r="G24" s="1" t="b">
        <v>0</v>
      </c>
      <c r="H24" s="1">
        <v>7</v>
      </c>
      <c r="I24" s="21">
        <v>0</v>
      </c>
      <c r="J24" s="28" t="s">
        <v>438</v>
      </c>
      <c r="K24" s="28"/>
      <c r="M24" s="28"/>
      <c r="N24" s="28"/>
      <c r="P24" s="1">
        <v>-1</v>
      </c>
      <c r="Q24" s="1">
        <v>1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ht="20" hidden="1" customHeight="1" spans="1:33">
      <c r="A25" s="1">
        <v>10022</v>
      </c>
      <c r="B25" s="1">
        <v>1</v>
      </c>
      <c r="C25" s="1">
        <v>1</v>
      </c>
      <c r="D25" s="1" t="s">
        <v>501</v>
      </c>
      <c r="E25" s="1">
        <v>7</v>
      </c>
      <c r="G25" s="1" t="b">
        <v>1</v>
      </c>
      <c r="H25" s="1">
        <v>8</v>
      </c>
      <c r="I25" s="21">
        <v>6</v>
      </c>
      <c r="J25" s="28" t="s">
        <v>320</v>
      </c>
      <c r="K25" s="28"/>
      <c r="M25" s="28"/>
      <c r="N25" s="28"/>
      <c r="P25" s="1">
        <v>-1</v>
      </c>
      <c r="Q25" s="1">
        <v>1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ht="20" hidden="1" customHeight="1" spans="1:33">
      <c r="A26" s="1">
        <v>10023</v>
      </c>
      <c r="B26" s="1">
        <v>1</v>
      </c>
      <c r="C26" s="1">
        <v>2</v>
      </c>
      <c r="D26" s="1" t="s">
        <v>502</v>
      </c>
      <c r="F26" s="1">
        <f>A25</f>
        <v>10022</v>
      </c>
      <c r="G26" s="1" t="b">
        <v>0</v>
      </c>
      <c r="H26" s="1">
        <v>8</v>
      </c>
      <c r="I26" s="21">
        <v>0</v>
      </c>
      <c r="J26" s="28" t="s">
        <v>503</v>
      </c>
      <c r="K26" s="28"/>
      <c r="M26" s="28"/>
      <c r="N26" s="28"/>
      <c r="P26" s="1">
        <v>-1</v>
      </c>
      <c r="Q26" s="1">
        <v>1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ht="20" hidden="1" customHeight="1" spans="1:33">
      <c r="A27" s="1">
        <v>10024</v>
      </c>
      <c r="B27" s="1">
        <v>1</v>
      </c>
      <c r="C27" s="1">
        <v>2</v>
      </c>
      <c r="D27" s="1" t="s">
        <v>504</v>
      </c>
      <c r="F27" s="1">
        <f>A25</f>
        <v>10022</v>
      </c>
      <c r="G27" s="1" t="b">
        <v>0</v>
      </c>
      <c r="H27" s="1">
        <v>8</v>
      </c>
      <c r="I27" s="21">
        <v>0</v>
      </c>
      <c r="J27" s="28" t="s">
        <v>438</v>
      </c>
      <c r="K27" s="28"/>
      <c r="M27" s="28"/>
      <c r="N27" s="28"/>
      <c r="P27" s="1">
        <v>-1</v>
      </c>
      <c r="Q27" s="1">
        <v>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ht="20" hidden="1" customHeight="1" spans="1:33">
      <c r="A28" s="1">
        <v>10025</v>
      </c>
      <c r="B28" s="1">
        <v>1</v>
      </c>
      <c r="C28" s="1">
        <v>1</v>
      </c>
      <c r="D28" s="1" t="s">
        <v>501</v>
      </c>
      <c r="E28" s="1">
        <v>8</v>
      </c>
      <c r="G28" s="1" t="b">
        <v>1</v>
      </c>
      <c r="H28" s="1">
        <v>9</v>
      </c>
      <c r="I28" s="21">
        <v>6</v>
      </c>
      <c r="J28" s="28" t="s">
        <v>320</v>
      </c>
      <c r="K28" s="28"/>
      <c r="M28" s="28"/>
      <c r="N28" s="28"/>
      <c r="P28" s="1">
        <v>-1</v>
      </c>
      <c r="Q28" s="1">
        <v>1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ht="20" hidden="1" customHeight="1" spans="1:33">
      <c r="A29" s="1">
        <v>10026</v>
      </c>
      <c r="B29" s="1">
        <v>1</v>
      </c>
      <c r="C29" s="1">
        <v>2</v>
      </c>
      <c r="D29" s="1" t="s">
        <v>502</v>
      </c>
      <c r="F29" s="1">
        <f>A28</f>
        <v>10025</v>
      </c>
      <c r="G29" s="1" t="b">
        <v>0</v>
      </c>
      <c r="H29" s="1">
        <v>9</v>
      </c>
      <c r="I29" s="21">
        <v>0</v>
      </c>
      <c r="J29" s="28" t="s">
        <v>503</v>
      </c>
      <c r="K29" s="28"/>
      <c r="M29" s="28"/>
      <c r="N29" s="28"/>
      <c r="P29" s="1">
        <v>-1</v>
      </c>
      <c r="Q29" s="1">
        <v>1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ht="20" hidden="1" customHeight="1" spans="1:33">
      <c r="A30" s="1">
        <v>10027</v>
      </c>
      <c r="B30" s="1">
        <v>1</v>
      </c>
      <c r="C30" s="1">
        <v>2</v>
      </c>
      <c r="D30" s="1" t="s">
        <v>504</v>
      </c>
      <c r="F30" s="1">
        <f>A28</f>
        <v>10025</v>
      </c>
      <c r="G30" s="1" t="b">
        <v>0</v>
      </c>
      <c r="H30" s="1">
        <v>9</v>
      </c>
      <c r="I30" s="21">
        <v>0</v>
      </c>
      <c r="J30" s="28" t="s">
        <v>438</v>
      </c>
      <c r="K30" s="28"/>
      <c r="M30" s="28"/>
      <c r="N30" s="28"/>
      <c r="P30" s="1">
        <v>-1</v>
      </c>
      <c r="Q30" s="1">
        <v>1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ht="20" hidden="1" customHeight="1" spans="1:33">
      <c r="A31" s="1">
        <v>10028</v>
      </c>
      <c r="B31" s="1">
        <v>1</v>
      </c>
      <c r="C31" s="1">
        <v>1</v>
      </c>
      <c r="D31" s="1" t="s">
        <v>501</v>
      </c>
      <c r="E31" s="1">
        <v>9</v>
      </c>
      <c r="G31" s="1" t="b">
        <v>1</v>
      </c>
      <c r="H31" s="1">
        <v>10</v>
      </c>
      <c r="I31" s="21">
        <v>6</v>
      </c>
      <c r="J31" s="28" t="s">
        <v>320</v>
      </c>
      <c r="K31" s="28"/>
      <c r="M31" s="28"/>
      <c r="N31" s="28"/>
      <c r="P31" s="1">
        <v>-1</v>
      </c>
      <c r="Q31" s="1">
        <v>1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ht="20" hidden="1" customHeight="1" spans="1:33">
      <c r="A32" s="1">
        <v>10029</v>
      </c>
      <c r="B32" s="1">
        <v>1</v>
      </c>
      <c r="C32" s="1">
        <v>2</v>
      </c>
      <c r="D32" s="1" t="s">
        <v>502</v>
      </c>
      <c r="F32" s="1">
        <f>A31</f>
        <v>10028</v>
      </c>
      <c r="G32" s="1" t="b">
        <v>0</v>
      </c>
      <c r="H32" s="1">
        <v>10</v>
      </c>
      <c r="I32" s="21">
        <v>0</v>
      </c>
      <c r="J32" s="28" t="s">
        <v>503</v>
      </c>
      <c r="K32" s="28"/>
      <c r="M32" s="28"/>
      <c r="N32" s="28"/>
      <c r="P32" s="1">
        <v>-1</v>
      </c>
      <c r="Q32" s="1">
        <v>1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ht="20" hidden="1" customHeight="1" spans="1:33">
      <c r="A33" s="1">
        <v>10030</v>
      </c>
      <c r="B33" s="1">
        <v>1</v>
      </c>
      <c r="C33" s="1">
        <v>2</v>
      </c>
      <c r="D33" s="1" t="s">
        <v>504</v>
      </c>
      <c r="F33" s="1">
        <f>A31</f>
        <v>10028</v>
      </c>
      <c r="G33" s="1" t="b">
        <v>0</v>
      </c>
      <c r="H33" s="1">
        <v>10</v>
      </c>
      <c r="I33" s="21">
        <v>0</v>
      </c>
      <c r="J33" s="28" t="s">
        <v>438</v>
      </c>
      <c r="K33" s="28"/>
      <c r="M33" s="28"/>
      <c r="N33" s="28"/>
      <c r="P33" s="1">
        <v>-1</v>
      </c>
      <c r="Q33" s="1">
        <v>1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ht="20" hidden="1" customHeight="1" spans="1:33">
      <c r="A34" s="1">
        <v>10031</v>
      </c>
      <c r="B34" s="1">
        <v>1</v>
      </c>
      <c r="C34" s="1">
        <v>1</v>
      </c>
      <c r="D34" s="1" t="s">
        <v>501</v>
      </c>
      <c r="E34" s="1">
        <v>10</v>
      </c>
      <c r="G34" s="1" t="b">
        <v>1</v>
      </c>
      <c r="H34" s="1">
        <v>11</v>
      </c>
      <c r="I34" s="21">
        <v>6</v>
      </c>
      <c r="J34" s="28" t="s">
        <v>320</v>
      </c>
      <c r="K34" s="28"/>
      <c r="M34" s="28"/>
      <c r="N34" s="28"/>
      <c r="P34" s="1">
        <v>-1</v>
      </c>
      <c r="Q34" s="1">
        <v>1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ht="20" hidden="1" customHeight="1" spans="1:33">
      <c r="A35" s="1">
        <v>10032</v>
      </c>
      <c r="B35" s="1">
        <v>1</v>
      </c>
      <c r="C35" s="1">
        <v>2</v>
      </c>
      <c r="D35" s="1" t="s">
        <v>502</v>
      </c>
      <c r="F35" s="1">
        <f>A34</f>
        <v>10031</v>
      </c>
      <c r="G35" s="1" t="b">
        <v>0</v>
      </c>
      <c r="H35" s="1">
        <v>11</v>
      </c>
      <c r="I35" s="21">
        <v>0</v>
      </c>
      <c r="J35" s="28" t="s">
        <v>503</v>
      </c>
      <c r="K35" s="28"/>
      <c r="M35" s="28"/>
      <c r="N35" s="28"/>
      <c r="P35" s="1">
        <v>-1</v>
      </c>
      <c r="Q35" s="1">
        <v>1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ht="20" hidden="1" customHeight="1" spans="1:33">
      <c r="A36" s="1">
        <v>10033</v>
      </c>
      <c r="B36" s="1">
        <v>1</v>
      </c>
      <c r="C36" s="1">
        <v>2</v>
      </c>
      <c r="D36" s="1" t="s">
        <v>504</v>
      </c>
      <c r="F36" s="1">
        <f>A34</f>
        <v>10031</v>
      </c>
      <c r="G36" s="1" t="b">
        <v>0</v>
      </c>
      <c r="H36" s="1">
        <v>11</v>
      </c>
      <c r="I36" s="21">
        <v>0</v>
      </c>
      <c r="J36" s="28" t="s">
        <v>438</v>
      </c>
      <c r="K36" s="28"/>
      <c r="M36" s="28"/>
      <c r="N36" s="28"/>
      <c r="P36" s="1">
        <v>-1</v>
      </c>
      <c r="Q36" s="1">
        <v>1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ht="20" hidden="1" customHeight="1" spans="1:33">
      <c r="A37" s="1">
        <v>10034</v>
      </c>
      <c r="B37" s="1">
        <v>1</v>
      </c>
      <c r="C37" s="1">
        <v>1</v>
      </c>
      <c r="D37" s="1" t="s">
        <v>501</v>
      </c>
      <c r="E37" s="1">
        <v>11</v>
      </c>
      <c r="G37" s="1" t="b">
        <v>1</v>
      </c>
      <c r="H37" s="1">
        <v>12</v>
      </c>
      <c r="I37" s="21">
        <v>6</v>
      </c>
      <c r="J37" s="28" t="s">
        <v>320</v>
      </c>
      <c r="K37" s="28"/>
      <c r="M37" s="28"/>
      <c r="N37" s="28"/>
      <c r="P37" s="1">
        <v>-1</v>
      </c>
      <c r="Q37" s="1">
        <v>1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ht="20" hidden="1" customHeight="1" spans="1:33">
      <c r="A38" s="1">
        <v>10035</v>
      </c>
      <c r="B38" s="1">
        <v>1</v>
      </c>
      <c r="C38" s="1">
        <v>2</v>
      </c>
      <c r="D38" s="1" t="s">
        <v>502</v>
      </c>
      <c r="F38" s="1">
        <f>A37</f>
        <v>10034</v>
      </c>
      <c r="G38" s="1" t="b">
        <v>0</v>
      </c>
      <c r="H38" s="1">
        <v>12</v>
      </c>
      <c r="I38" s="21">
        <v>0</v>
      </c>
      <c r="J38" s="28" t="s">
        <v>503</v>
      </c>
      <c r="K38" s="28"/>
      <c r="M38" s="28"/>
      <c r="N38" s="28"/>
      <c r="P38" s="1">
        <v>-1</v>
      </c>
      <c r="Q38" s="1">
        <v>1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ht="20" hidden="1" customHeight="1" spans="1:33">
      <c r="A39" s="1">
        <v>10036</v>
      </c>
      <c r="B39" s="1">
        <v>1</v>
      </c>
      <c r="C39" s="1">
        <v>2</v>
      </c>
      <c r="D39" s="1" t="s">
        <v>504</v>
      </c>
      <c r="F39" s="1">
        <f>A37</f>
        <v>10034</v>
      </c>
      <c r="G39" s="1" t="b">
        <v>0</v>
      </c>
      <c r="H39" s="1">
        <v>12</v>
      </c>
      <c r="I39" s="21">
        <v>0</v>
      </c>
      <c r="J39" s="28" t="s">
        <v>438</v>
      </c>
      <c r="K39" s="28"/>
      <c r="M39" s="28"/>
      <c r="N39" s="28"/>
      <c r="P39" s="1">
        <v>-1</v>
      </c>
      <c r="Q39" s="1">
        <v>1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ht="20" hidden="1" customHeight="1" spans="1:33">
      <c r="A40" s="1">
        <v>10037</v>
      </c>
      <c r="B40" s="1">
        <v>1</v>
      </c>
      <c r="C40" s="1">
        <v>1</v>
      </c>
      <c r="D40" s="1" t="s">
        <v>501</v>
      </c>
      <c r="E40" s="1">
        <v>12</v>
      </c>
      <c r="G40" s="1" t="b">
        <v>1</v>
      </c>
      <c r="H40" s="1">
        <v>13</v>
      </c>
      <c r="I40" s="21">
        <v>6</v>
      </c>
      <c r="J40" s="28" t="s">
        <v>320</v>
      </c>
      <c r="K40" s="28"/>
      <c r="M40" s="28"/>
      <c r="N40" s="28"/>
      <c r="P40" s="1">
        <v>-1</v>
      </c>
      <c r="Q40" s="1">
        <v>1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ht="20" hidden="1" customHeight="1" spans="1:33">
      <c r="A41" s="1">
        <v>10038</v>
      </c>
      <c r="B41" s="1">
        <v>1</v>
      </c>
      <c r="C41" s="1">
        <v>2</v>
      </c>
      <c r="D41" s="1" t="s">
        <v>502</v>
      </c>
      <c r="F41" s="1">
        <f>A40</f>
        <v>10037</v>
      </c>
      <c r="G41" s="1" t="b">
        <v>0</v>
      </c>
      <c r="H41" s="1">
        <v>13</v>
      </c>
      <c r="I41" s="21">
        <v>0</v>
      </c>
      <c r="J41" s="28" t="s">
        <v>503</v>
      </c>
      <c r="K41" s="28"/>
      <c r="M41" s="28"/>
      <c r="N41" s="28"/>
      <c r="P41" s="1">
        <v>-1</v>
      </c>
      <c r="Q41" s="1">
        <v>1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ht="20" hidden="1" customHeight="1" spans="1:33">
      <c r="A42" s="1">
        <v>10039</v>
      </c>
      <c r="B42" s="1">
        <v>1</v>
      </c>
      <c r="C42" s="1">
        <v>2</v>
      </c>
      <c r="D42" s="1" t="s">
        <v>504</v>
      </c>
      <c r="F42" s="1">
        <f>A40</f>
        <v>10037</v>
      </c>
      <c r="G42" s="1" t="b">
        <v>0</v>
      </c>
      <c r="H42" s="1">
        <v>13</v>
      </c>
      <c r="I42" s="21">
        <v>0</v>
      </c>
      <c r="J42" s="28" t="s">
        <v>438</v>
      </c>
      <c r="K42" s="28"/>
      <c r="M42" s="28"/>
      <c r="N42" s="28"/>
      <c r="P42" s="1">
        <v>-1</v>
      </c>
      <c r="Q42" s="1">
        <v>1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ht="20" hidden="1" customHeight="1" spans="1:33">
      <c r="A43" s="1">
        <v>10040</v>
      </c>
      <c r="B43" s="1">
        <v>1</v>
      </c>
      <c r="C43" s="1">
        <v>1</v>
      </c>
      <c r="D43" s="1" t="s">
        <v>501</v>
      </c>
      <c r="E43" s="1">
        <v>13</v>
      </c>
      <c r="G43" s="1" t="b">
        <v>1</v>
      </c>
      <c r="H43" s="1">
        <v>14</v>
      </c>
      <c r="I43" s="21">
        <v>6</v>
      </c>
      <c r="J43" s="28" t="s">
        <v>320</v>
      </c>
      <c r="K43" s="28"/>
      <c r="M43" s="28"/>
      <c r="N43" s="28"/>
      <c r="P43" s="1">
        <v>-1</v>
      </c>
      <c r="Q43" s="1">
        <v>1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ht="20" hidden="1" customHeight="1" spans="1:33">
      <c r="A44" s="1">
        <v>10041</v>
      </c>
      <c r="B44" s="1">
        <v>1</v>
      </c>
      <c r="C44" s="1">
        <v>2</v>
      </c>
      <c r="D44" s="1" t="s">
        <v>502</v>
      </c>
      <c r="F44" s="1">
        <f>A43</f>
        <v>10040</v>
      </c>
      <c r="G44" s="1" t="b">
        <v>0</v>
      </c>
      <c r="H44" s="1">
        <v>14</v>
      </c>
      <c r="I44" s="21">
        <v>0</v>
      </c>
      <c r="J44" s="28" t="s">
        <v>503</v>
      </c>
      <c r="K44" s="28"/>
      <c r="M44" s="28"/>
      <c r="N44" s="28"/>
      <c r="P44" s="1">
        <v>-1</v>
      </c>
      <c r="Q44" s="1">
        <v>1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ht="20" hidden="1" customHeight="1" spans="1:33">
      <c r="A45" s="1">
        <v>10042</v>
      </c>
      <c r="B45" s="1">
        <v>1</v>
      </c>
      <c r="C45" s="1">
        <v>2</v>
      </c>
      <c r="D45" s="1" t="s">
        <v>504</v>
      </c>
      <c r="F45" s="1">
        <f>A43</f>
        <v>10040</v>
      </c>
      <c r="G45" s="1" t="b">
        <v>0</v>
      </c>
      <c r="H45" s="1">
        <v>14</v>
      </c>
      <c r="I45" s="21">
        <v>0</v>
      </c>
      <c r="J45" s="28" t="s">
        <v>438</v>
      </c>
      <c r="K45" s="28"/>
      <c r="M45" s="28"/>
      <c r="N45" s="28"/>
      <c r="P45" s="1">
        <v>-1</v>
      </c>
      <c r="Q45" s="1">
        <v>1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ht="20" hidden="1" customHeight="1" spans="1:33">
      <c r="A46" s="1">
        <v>10043</v>
      </c>
      <c r="B46" s="1">
        <v>1</v>
      </c>
      <c r="C46" s="1">
        <v>1</v>
      </c>
      <c r="D46" s="1" t="s">
        <v>501</v>
      </c>
      <c r="E46" s="1">
        <v>14</v>
      </c>
      <c r="G46" s="1" t="b">
        <v>1</v>
      </c>
      <c r="H46" s="1">
        <v>15</v>
      </c>
      <c r="I46" s="21">
        <v>6</v>
      </c>
      <c r="J46" s="28" t="s">
        <v>320</v>
      </c>
      <c r="K46" s="28"/>
      <c r="M46" s="28"/>
      <c r="N46" s="28"/>
      <c r="P46" s="1">
        <v>-1</v>
      </c>
      <c r="Q46" s="1">
        <v>1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ht="20" hidden="1" customHeight="1" spans="1:17">
      <c r="A47" s="1">
        <v>10044</v>
      </c>
      <c r="B47" s="1">
        <v>1</v>
      </c>
      <c r="C47" s="1">
        <v>2</v>
      </c>
      <c r="D47" s="1" t="s">
        <v>502</v>
      </c>
      <c r="F47" s="1">
        <f>A46</f>
        <v>10043</v>
      </c>
      <c r="G47" s="1" t="b">
        <v>0</v>
      </c>
      <c r="H47" s="1">
        <v>15</v>
      </c>
      <c r="I47" s="21">
        <v>0</v>
      </c>
      <c r="J47" s="28" t="s">
        <v>503</v>
      </c>
      <c r="K47" s="28"/>
      <c r="M47" s="28"/>
      <c r="N47" s="28"/>
      <c r="P47" s="1">
        <v>-1</v>
      </c>
      <c r="Q47" s="1">
        <v>1</v>
      </c>
    </row>
    <row r="48" ht="20" hidden="1" customHeight="1" spans="1:17">
      <c r="A48" s="1">
        <v>10045</v>
      </c>
      <c r="B48" s="1">
        <v>1</v>
      </c>
      <c r="C48" s="1">
        <v>2</v>
      </c>
      <c r="D48" s="1" t="s">
        <v>504</v>
      </c>
      <c r="F48" s="1">
        <f>A46</f>
        <v>10043</v>
      </c>
      <c r="G48" s="1" t="b">
        <v>0</v>
      </c>
      <c r="H48" s="1">
        <v>15</v>
      </c>
      <c r="I48" s="21">
        <v>0</v>
      </c>
      <c r="J48" s="28" t="s">
        <v>438</v>
      </c>
      <c r="K48" s="28"/>
      <c r="M48" s="28"/>
      <c r="N48" s="28"/>
      <c r="P48" s="1">
        <v>-1</v>
      </c>
      <c r="Q48" s="1">
        <v>1</v>
      </c>
    </row>
    <row r="49" ht="20" hidden="1" customHeight="1" spans="1:17">
      <c r="A49" s="1">
        <v>10046</v>
      </c>
      <c r="B49" s="1">
        <v>1</v>
      </c>
      <c r="C49" s="1">
        <v>1</v>
      </c>
      <c r="D49" s="1" t="s">
        <v>501</v>
      </c>
      <c r="E49" s="1">
        <v>15</v>
      </c>
      <c r="G49" s="1" t="b">
        <v>1</v>
      </c>
      <c r="H49" s="1">
        <v>16</v>
      </c>
      <c r="I49" s="21">
        <v>6</v>
      </c>
      <c r="J49" s="28" t="s">
        <v>320</v>
      </c>
      <c r="K49" s="28"/>
      <c r="M49" s="28"/>
      <c r="N49" s="28"/>
      <c r="P49" s="1">
        <v>-1</v>
      </c>
      <c r="Q49" s="1">
        <v>1</v>
      </c>
    </row>
    <row r="50" ht="20" hidden="1" customHeight="1" spans="1:17">
      <c r="A50" s="1">
        <v>10047</v>
      </c>
      <c r="B50" s="1">
        <v>1</v>
      </c>
      <c r="C50" s="1">
        <v>2</v>
      </c>
      <c r="D50" s="1" t="s">
        <v>502</v>
      </c>
      <c r="F50" s="1">
        <f>A49</f>
        <v>10046</v>
      </c>
      <c r="G50" s="1" t="b">
        <v>0</v>
      </c>
      <c r="H50" s="1">
        <v>16</v>
      </c>
      <c r="I50" s="21">
        <v>0</v>
      </c>
      <c r="J50" s="28" t="s">
        <v>503</v>
      </c>
      <c r="K50" s="28"/>
      <c r="M50" s="28"/>
      <c r="N50" s="28"/>
      <c r="P50" s="1">
        <v>-1</v>
      </c>
      <c r="Q50" s="1">
        <v>1</v>
      </c>
    </row>
    <row r="51" ht="20" hidden="1" customHeight="1" spans="1:17">
      <c r="A51" s="1">
        <v>10048</v>
      </c>
      <c r="B51" s="1">
        <v>1</v>
      </c>
      <c r="C51" s="1">
        <v>2</v>
      </c>
      <c r="D51" s="1" t="s">
        <v>504</v>
      </c>
      <c r="F51" s="1">
        <f>A49</f>
        <v>10046</v>
      </c>
      <c r="G51" s="1" t="b">
        <v>0</v>
      </c>
      <c r="H51" s="1">
        <v>16</v>
      </c>
      <c r="I51" s="21">
        <v>0</v>
      </c>
      <c r="J51" s="28" t="s">
        <v>438</v>
      </c>
      <c r="K51" s="28"/>
      <c r="M51" s="28"/>
      <c r="N51" s="28"/>
      <c r="P51" s="1">
        <v>-1</v>
      </c>
      <c r="Q51" s="1">
        <v>1</v>
      </c>
    </row>
    <row r="52" ht="20" hidden="1" customHeight="1" spans="1:17">
      <c r="A52" s="1">
        <v>10049</v>
      </c>
      <c r="B52" s="1">
        <v>1</v>
      </c>
      <c r="C52" s="1">
        <v>1</v>
      </c>
      <c r="D52" s="1" t="s">
        <v>501</v>
      </c>
      <c r="E52" s="1">
        <v>16</v>
      </c>
      <c r="G52" s="1" t="b">
        <v>1</v>
      </c>
      <c r="H52" s="1">
        <v>17</v>
      </c>
      <c r="I52" s="21">
        <v>6</v>
      </c>
      <c r="J52" s="28" t="s">
        <v>320</v>
      </c>
      <c r="K52" s="28"/>
      <c r="M52" s="28"/>
      <c r="N52" s="28"/>
      <c r="P52" s="1">
        <v>-1</v>
      </c>
      <c r="Q52" s="1">
        <v>1</v>
      </c>
    </row>
    <row r="53" ht="20" hidden="1" customHeight="1" spans="1:17">
      <c r="A53" s="1">
        <v>10050</v>
      </c>
      <c r="B53" s="1">
        <v>1</v>
      </c>
      <c r="C53" s="1">
        <v>2</v>
      </c>
      <c r="D53" s="1" t="s">
        <v>502</v>
      </c>
      <c r="F53" s="1">
        <f>A52</f>
        <v>10049</v>
      </c>
      <c r="G53" s="1" t="b">
        <v>0</v>
      </c>
      <c r="H53" s="1">
        <v>17</v>
      </c>
      <c r="I53" s="21">
        <v>0</v>
      </c>
      <c r="J53" s="28" t="s">
        <v>503</v>
      </c>
      <c r="K53" s="28"/>
      <c r="M53" s="28"/>
      <c r="N53" s="28"/>
      <c r="P53" s="1">
        <v>-1</v>
      </c>
      <c r="Q53" s="1">
        <v>1</v>
      </c>
    </row>
    <row r="54" ht="20" hidden="1" customHeight="1" spans="1:17">
      <c r="A54" s="1">
        <v>10051</v>
      </c>
      <c r="B54" s="1">
        <v>1</v>
      </c>
      <c r="C54" s="1">
        <v>2</v>
      </c>
      <c r="D54" s="1" t="s">
        <v>504</v>
      </c>
      <c r="F54" s="1">
        <f>A52</f>
        <v>10049</v>
      </c>
      <c r="G54" s="1" t="b">
        <v>0</v>
      </c>
      <c r="H54" s="1">
        <v>17</v>
      </c>
      <c r="I54" s="21">
        <v>0</v>
      </c>
      <c r="J54" s="28" t="s">
        <v>438</v>
      </c>
      <c r="K54" s="28"/>
      <c r="M54" s="28"/>
      <c r="N54" s="28"/>
      <c r="P54" s="1">
        <v>-1</v>
      </c>
      <c r="Q54" s="1">
        <v>1</v>
      </c>
    </row>
    <row r="55" ht="20" hidden="1" customHeight="1" spans="1:17">
      <c r="A55" s="1">
        <v>10052</v>
      </c>
      <c r="B55" s="1">
        <v>1</v>
      </c>
      <c r="C55" s="1">
        <v>1</v>
      </c>
      <c r="D55" s="1" t="s">
        <v>501</v>
      </c>
      <c r="E55" s="1">
        <v>17</v>
      </c>
      <c r="G55" s="1" t="b">
        <v>1</v>
      </c>
      <c r="H55" s="1">
        <v>18</v>
      </c>
      <c r="I55" s="21">
        <v>6</v>
      </c>
      <c r="J55" s="28" t="s">
        <v>320</v>
      </c>
      <c r="K55" s="28"/>
      <c r="M55" s="28"/>
      <c r="N55" s="28"/>
      <c r="P55" s="1">
        <v>-1</v>
      </c>
      <c r="Q55" s="1">
        <v>1</v>
      </c>
    </row>
    <row r="56" ht="20" hidden="1" customHeight="1" spans="1:17">
      <c r="A56" s="1">
        <v>10053</v>
      </c>
      <c r="B56" s="1">
        <v>1</v>
      </c>
      <c r="C56" s="1">
        <v>2</v>
      </c>
      <c r="D56" s="1" t="s">
        <v>502</v>
      </c>
      <c r="F56" s="1">
        <f>A55</f>
        <v>10052</v>
      </c>
      <c r="G56" s="1" t="b">
        <v>0</v>
      </c>
      <c r="H56" s="1">
        <v>18</v>
      </c>
      <c r="I56" s="21">
        <v>0</v>
      </c>
      <c r="J56" s="28" t="s">
        <v>503</v>
      </c>
      <c r="K56" s="28"/>
      <c r="M56" s="28"/>
      <c r="N56" s="28"/>
      <c r="P56" s="1">
        <v>-1</v>
      </c>
      <c r="Q56" s="1">
        <v>1</v>
      </c>
    </row>
    <row r="57" ht="20" hidden="1" customHeight="1" spans="1:17">
      <c r="A57" s="1">
        <v>10054</v>
      </c>
      <c r="B57" s="1">
        <v>1</v>
      </c>
      <c r="C57" s="1">
        <v>2</v>
      </c>
      <c r="D57" s="1" t="s">
        <v>504</v>
      </c>
      <c r="F57" s="1">
        <f>A55</f>
        <v>10052</v>
      </c>
      <c r="G57" s="1" t="b">
        <v>0</v>
      </c>
      <c r="H57" s="1">
        <v>18</v>
      </c>
      <c r="I57" s="21">
        <v>0</v>
      </c>
      <c r="J57" s="28" t="s">
        <v>438</v>
      </c>
      <c r="K57" s="28"/>
      <c r="M57" s="28"/>
      <c r="N57" s="28"/>
      <c r="P57" s="1">
        <v>-1</v>
      </c>
      <c r="Q57" s="1">
        <v>1</v>
      </c>
    </row>
    <row r="58" ht="20" hidden="1" customHeight="1" spans="1:17">
      <c r="A58" s="1">
        <v>10055</v>
      </c>
      <c r="B58" s="1">
        <v>1</v>
      </c>
      <c r="C58" s="1">
        <v>1</v>
      </c>
      <c r="D58" s="1" t="s">
        <v>501</v>
      </c>
      <c r="E58" s="1">
        <v>18</v>
      </c>
      <c r="G58" s="1" t="b">
        <v>1</v>
      </c>
      <c r="H58" s="1">
        <v>19</v>
      </c>
      <c r="I58" s="21">
        <v>6</v>
      </c>
      <c r="J58" s="28" t="s">
        <v>320</v>
      </c>
      <c r="K58" s="28"/>
      <c r="M58" s="28"/>
      <c r="N58" s="28"/>
      <c r="P58" s="1">
        <v>-1</v>
      </c>
      <c r="Q58" s="1">
        <v>1</v>
      </c>
    </row>
    <row r="59" ht="20" hidden="1" customHeight="1" spans="1:17">
      <c r="A59" s="1">
        <v>10056</v>
      </c>
      <c r="B59" s="1">
        <v>1</v>
      </c>
      <c r="C59" s="1">
        <v>2</v>
      </c>
      <c r="D59" s="1" t="s">
        <v>502</v>
      </c>
      <c r="F59" s="1">
        <f>A58</f>
        <v>10055</v>
      </c>
      <c r="G59" s="1" t="b">
        <v>0</v>
      </c>
      <c r="H59" s="1">
        <v>19</v>
      </c>
      <c r="I59" s="21">
        <v>0</v>
      </c>
      <c r="J59" s="28" t="s">
        <v>503</v>
      </c>
      <c r="K59" s="28"/>
      <c r="M59" s="28"/>
      <c r="N59" s="28"/>
      <c r="P59" s="1">
        <v>-1</v>
      </c>
      <c r="Q59" s="1">
        <v>1</v>
      </c>
    </row>
    <row r="60" ht="20" hidden="1" customHeight="1" spans="1:17">
      <c r="A60" s="1">
        <v>10057</v>
      </c>
      <c r="B60" s="1">
        <v>1</v>
      </c>
      <c r="C60" s="1">
        <v>2</v>
      </c>
      <c r="D60" s="1" t="s">
        <v>504</v>
      </c>
      <c r="F60" s="1">
        <f>A58</f>
        <v>10055</v>
      </c>
      <c r="G60" s="1" t="b">
        <v>0</v>
      </c>
      <c r="H60" s="1">
        <v>19</v>
      </c>
      <c r="I60" s="21">
        <v>0</v>
      </c>
      <c r="J60" s="28" t="s">
        <v>438</v>
      </c>
      <c r="K60" s="28"/>
      <c r="M60" s="28"/>
      <c r="N60" s="28"/>
      <c r="P60" s="1">
        <v>-1</v>
      </c>
      <c r="Q60" s="1">
        <v>1</v>
      </c>
    </row>
    <row r="61" ht="20" hidden="1" customHeight="1" spans="1:17">
      <c r="A61" s="1">
        <v>10058</v>
      </c>
      <c r="B61" s="1">
        <v>1</v>
      </c>
      <c r="C61" s="1">
        <v>1</v>
      </c>
      <c r="D61" s="1" t="s">
        <v>501</v>
      </c>
      <c r="E61" s="1">
        <v>19</v>
      </c>
      <c r="G61" s="1" t="b">
        <v>1</v>
      </c>
      <c r="H61" s="1">
        <v>20</v>
      </c>
      <c r="I61" s="21">
        <v>6</v>
      </c>
      <c r="J61" s="28" t="s">
        <v>320</v>
      </c>
      <c r="K61" s="28"/>
      <c r="M61" s="28"/>
      <c r="N61" s="28"/>
      <c r="P61" s="1">
        <v>-1</v>
      </c>
      <c r="Q61" s="1">
        <v>1</v>
      </c>
    </row>
    <row r="62" ht="20" hidden="1" customHeight="1" spans="1:17">
      <c r="A62" s="1">
        <v>10059</v>
      </c>
      <c r="B62" s="1">
        <v>1</v>
      </c>
      <c r="C62" s="1">
        <v>2</v>
      </c>
      <c r="D62" s="1" t="s">
        <v>502</v>
      </c>
      <c r="F62" s="1">
        <f>A61</f>
        <v>10058</v>
      </c>
      <c r="G62" s="1" t="b">
        <v>0</v>
      </c>
      <c r="H62" s="1">
        <v>20</v>
      </c>
      <c r="I62" s="21">
        <v>0</v>
      </c>
      <c r="J62" s="28" t="s">
        <v>503</v>
      </c>
      <c r="K62" s="28"/>
      <c r="M62" s="28"/>
      <c r="N62" s="28"/>
      <c r="P62" s="1">
        <v>-1</v>
      </c>
      <c r="Q62" s="1">
        <v>1</v>
      </c>
    </row>
    <row r="63" ht="20" hidden="1" customHeight="1" spans="1:17">
      <c r="A63" s="1">
        <v>10060</v>
      </c>
      <c r="B63" s="1">
        <v>1</v>
      </c>
      <c r="C63" s="1">
        <v>2</v>
      </c>
      <c r="D63" s="1" t="s">
        <v>504</v>
      </c>
      <c r="F63" s="1">
        <f>A61</f>
        <v>10058</v>
      </c>
      <c r="G63" s="1" t="b">
        <v>0</v>
      </c>
      <c r="H63" s="1">
        <v>20</v>
      </c>
      <c r="I63" s="21">
        <v>0</v>
      </c>
      <c r="J63" s="28" t="s">
        <v>438</v>
      </c>
      <c r="K63" s="28"/>
      <c r="M63" s="28"/>
      <c r="N63" s="28"/>
      <c r="P63" s="1">
        <v>-1</v>
      </c>
      <c r="Q63" s="1">
        <v>1</v>
      </c>
    </row>
    <row r="64" ht="20" hidden="1" customHeight="1" spans="1:17">
      <c r="A64" s="1">
        <v>10061</v>
      </c>
      <c r="B64" s="1">
        <v>1</v>
      </c>
      <c r="C64" s="1">
        <v>1</v>
      </c>
      <c r="D64" s="1" t="s">
        <v>501</v>
      </c>
      <c r="E64" s="1">
        <v>20</v>
      </c>
      <c r="G64" s="1" t="b">
        <v>1</v>
      </c>
      <c r="H64" s="1">
        <v>21</v>
      </c>
      <c r="I64" s="21">
        <v>6</v>
      </c>
      <c r="J64" s="28" t="s">
        <v>320</v>
      </c>
      <c r="K64" s="28"/>
      <c r="M64" s="28"/>
      <c r="N64" s="28"/>
      <c r="P64" s="1">
        <v>-1</v>
      </c>
      <c r="Q64" s="1">
        <v>1</v>
      </c>
    </row>
    <row r="65" ht="20" hidden="1" customHeight="1" spans="1:17">
      <c r="A65" s="1">
        <v>10062</v>
      </c>
      <c r="B65" s="1">
        <v>1</v>
      </c>
      <c r="C65" s="1">
        <v>2</v>
      </c>
      <c r="D65" s="1" t="s">
        <v>502</v>
      </c>
      <c r="F65" s="1">
        <f>A64</f>
        <v>10061</v>
      </c>
      <c r="G65" s="1" t="b">
        <v>0</v>
      </c>
      <c r="H65" s="1">
        <v>21</v>
      </c>
      <c r="I65" s="21">
        <v>0</v>
      </c>
      <c r="J65" s="28" t="s">
        <v>503</v>
      </c>
      <c r="K65" s="28"/>
      <c r="M65" s="28"/>
      <c r="N65" s="28"/>
      <c r="P65" s="1">
        <v>-1</v>
      </c>
      <c r="Q65" s="1">
        <v>1</v>
      </c>
    </row>
    <row r="66" ht="20" hidden="1" customHeight="1" spans="1:17">
      <c r="A66" s="1">
        <v>10063</v>
      </c>
      <c r="B66" s="1">
        <v>1</v>
      </c>
      <c r="C66" s="1">
        <v>2</v>
      </c>
      <c r="D66" s="1" t="s">
        <v>504</v>
      </c>
      <c r="F66" s="1">
        <f>A64</f>
        <v>10061</v>
      </c>
      <c r="G66" s="1" t="b">
        <v>0</v>
      </c>
      <c r="H66" s="1">
        <v>21</v>
      </c>
      <c r="I66" s="21">
        <v>0</v>
      </c>
      <c r="J66" s="28" t="s">
        <v>438</v>
      </c>
      <c r="K66" s="28"/>
      <c r="M66" s="28"/>
      <c r="N66" s="28"/>
      <c r="P66" s="1">
        <v>-1</v>
      </c>
      <c r="Q66" s="1">
        <v>1</v>
      </c>
    </row>
    <row r="67" ht="20" hidden="1" customHeight="1" spans="1:17">
      <c r="A67" s="1">
        <v>10064</v>
      </c>
      <c r="B67" s="1">
        <v>1</v>
      </c>
      <c r="C67" s="1">
        <v>1</v>
      </c>
      <c r="D67" s="1" t="s">
        <v>501</v>
      </c>
      <c r="E67" s="1">
        <v>21</v>
      </c>
      <c r="G67" s="1" t="b">
        <v>1</v>
      </c>
      <c r="H67" s="1">
        <v>22</v>
      </c>
      <c r="I67" s="21">
        <v>6</v>
      </c>
      <c r="J67" s="28" t="s">
        <v>320</v>
      </c>
      <c r="K67" s="28"/>
      <c r="M67" s="28"/>
      <c r="N67" s="28"/>
      <c r="P67" s="1">
        <v>-1</v>
      </c>
      <c r="Q67" s="1">
        <v>1</v>
      </c>
    </row>
    <row r="68" ht="20" hidden="1" customHeight="1" spans="1:17">
      <c r="A68" s="1">
        <v>10065</v>
      </c>
      <c r="B68" s="1">
        <v>1</v>
      </c>
      <c r="C68" s="1">
        <v>2</v>
      </c>
      <c r="D68" s="1" t="s">
        <v>502</v>
      </c>
      <c r="F68" s="1">
        <f>A67</f>
        <v>10064</v>
      </c>
      <c r="G68" s="1" t="b">
        <v>0</v>
      </c>
      <c r="H68" s="1">
        <v>22</v>
      </c>
      <c r="I68" s="21">
        <v>0</v>
      </c>
      <c r="J68" s="28" t="s">
        <v>503</v>
      </c>
      <c r="K68" s="28"/>
      <c r="M68" s="28"/>
      <c r="N68" s="28"/>
      <c r="P68" s="1">
        <v>-1</v>
      </c>
      <c r="Q68" s="1">
        <v>1</v>
      </c>
    </row>
    <row r="69" ht="20" hidden="1" customHeight="1" spans="1:17">
      <c r="A69" s="1">
        <v>10066</v>
      </c>
      <c r="B69" s="1">
        <v>1</v>
      </c>
      <c r="C69" s="1">
        <v>2</v>
      </c>
      <c r="D69" s="1" t="s">
        <v>504</v>
      </c>
      <c r="F69" s="1">
        <f>A67</f>
        <v>10064</v>
      </c>
      <c r="G69" s="1" t="b">
        <v>0</v>
      </c>
      <c r="H69" s="1">
        <v>22</v>
      </c>
      <c r="I69" s="21">
        <v>0</v>
      </c>
      <c r="J69" s="28" t="s">
        <v>438</v>
      </c>
      <c r="K69" s="28"/>
      <c r="M69" s="28"/>
      <c r="N69" s="28"/>
      <c r="P69" s="1">
        <v>-1</v>
      </c>
      <c r="Q69" s="1">
        <v>1</v>
      </c>
    </row>
    <row r="70" ht="20" hidden="1" customHeight="1" spans="1:17">
      <c r="A70" s="1">
        <v>10067</v>
      </c>
      <c r="B70" s="1">
        <v>1</v>
      </c>
      <c r="C70" s="1">
        <v>1</v>
      </c>
      <c r="D70" s="1" t="s">
        <v>501</v>
      </c>
      <c r="E70" s="1">
        <v>22</v>
      </c>
      <c r="G70" s="1" t="b">
        <v>1</v>
      </c>
      <c r="H70" s="1">
        <v>23</v>
      </c>
      <c r="I70" s="21">
        <v>6</v>
      </c>
      <c r="J70" s="28" t="s">
        <v>320</v>
      </c>
      <c r="K70" s="28"/>
      <c r="M70" s="28"/>
      <c r="N70" s="28"/>
      <c r="P70" s="1">
        <v>-1</v>
      </c>
      <c r="Q70" s="1">
        <v>1</v>
      </c>
    </row>
    <row r="71" ht="20" hidden="1" customHeight="1" spans="1:17">
      <c r="A71" s="1">
        <v>10068</v>
      </c>
      <c r="B71" s="1">
        <v>1</v>
      </c>
      <c r="C71" s="1">
        <v>2</v>
      </c>
      <c r="D71" s="1" t="s">
        <v>502</v>
      </c>
      <c r="F71" s="1">
        <f>A70</f>
        <v>10067</v>
      </c>
      <c r="G71" s="1" t="b">
        <v>0</v>
      </c>
      <c r="H71" s="1">
        <v>23</v>
      </c>
      <c r="I71" s="21">
        <v>0</v>
      </c>
      <c r="J71" s="28" t="s">
        <v>503</v>
      </c>
      <c r="K71" s="28"/>
      <c r="M71" s="28"/>
      <c r="N71" s="28"/>
      <c r="P71" s="1">
        <v>-1</v>
      </c>
      <c r="Q71" s="1">
        <v>1</v>
      </c>
    </row>
    <row r="72" ht="20" hidden="1" customHeight="1" spans="1:17">
      <c r="A72" s="1">
        <v>10069</v>
      </c>
      <c r="B72" s="1">
        <v>1</v>
      </c>
      <c r="C72" s="1">
        <v>2</v>
      </c>
      <c r="D72" s="1" t="s">
        <v>504</v>
      </c>
      <c r="F72" s="1">
        <f>A70</f>
        <v>10067</v>
      </c>
      <c r="G72" s="1" t="b">
        <v>0</v>
      </c>
      <c r="H72" s="1">
        <v>23</v>
      </c>
      <c r="I72" s="21">
        <v>0</v>
      </c>
      <c r="J72" s="28" t="s">
        <v>438</v>
      </c>
      <c r="K72" s="28"/>
      <c r="M72" s="28"/>
      <c r="N72" s="28"/>
      <c r="P72" s="1">
        <v>-1</v>
      </c>
      <c r="Q72" s="1">
        <v>1</v>
      </c>
    </row>
    <row r="73" ht="20" hidden="1" customHeight="1" spans="1:17">
      <c r="A73" s="1">
        <v>10070</v>
      </c>
      <c r="B73" s="1">
        <v>1</v>
      </c>
      <c r="C73" s="1">
        <v>1</v>
      </c>
      <c r="D73" s="1" t="s">
        <v>501</v>
      </c>
      <c r="E73" s="1">
        <v>23</v>
      </c>
      <c r="G73" s="1" t="b">
        <v>1</v>
      </c>
      <c r="H73" s="1">
        <v>24</v>
      </c>
      <c r="I73" s="21">
        <v>6</v>
      </c>
      <c r="J73" s="28" t="s">
        <v>320</v>
      </c>
      <c r="K73" s="28"/>
      <c r="M73" s="28"/>
      <c r="N73" s="28"/>
      <c r="P73" s="1">
        <v>-1</v>
      </c>
      <c r="Q73" s="1">
        <v>1</v>
      </c>
    </row>
    <row r="74" ht="20" hidden="1" customHeight="1" spans="1:17">
      <c r="A74" s="1">
        <v>10071</v>
      </c>
      <c r="B74" s="1">
        <v>1</v>
      </c>
      <c r="C74" s="1">
        <v>2</v>
      </c>
      <c r="D74" s="1" t="s">
        <v>502</v>
      </c>
      <c r="F74" s="1">
        <f>A73</f>
        <v>10070</v>
      </c>
      <c r="G74" s="1" t="b">
        <v>0</v>
      </c>
      <c r="H74" s="1">
        <v>24</v>
      </c>
      <c r="I74" s="21">
        <v>0</v>
      </c>
      <c r="J74" s="28" t="s">
        <v>503</v>
      </c>
      <c r="K74" s="28"/>
      <c r="M74" s="28"/>
      <c r="N74" s="28"/>
      <c r="P74" s="1">
        <v>-1</v>
      </c>
      <c r="Q74" s="1">
        <v>1</v>
      </c>
    </row>
    <row r="75" ht="20" hidden="1" customHeight="1" spans="1:17">
      <c r="A75" s="1">
        <v>10072</v>
      </c>
      <c r="B75" s="1">
        <v>1</v>
      </c>
      <c r="C75" s="1">
        <v>2</v>
      </c>
      <c r="D75" s="1" t="s">
        <v>504</v>
      </c>
      <c r="F75" s="1">
        <f>A73</f>
        <v>10070</v>
      </c>
      <c r="G75" s="1" t="b">
        <v>0</v>
      </c>
      <c r="H75" s="1">
        <v>24</v>
      </c>
      <c r="I75" s="21">
        <v>0</v>
      </c>
      <c r="J75" s="28" t="s">
        <v>438</v>
      </c>
      <c r="K75" s="28"/>
      <c r="M75" s="28"/>
      <c r="N75" s="28"/>
      <c r="P75" s="1">
        <v>-1</v>
      </c>
      <c r="Q75" s="1">
        <v>1</v>
      </c>
    </row>
    <row r="76" ht="20" hidden="1" customHeight="1" spans="1:17">
      <c r="A76" s="1">
        <v>10073</v>
      </c>
      <c r="B76" s="1">
        <v>1</v>
      </c>
      <c r="C76" s="1">
        <v>1</v>
      </c>
      <c r="D76" s="1" t="s">
        <v>501</v>
      </c>
      <c r="E76" s="1">
        <v>24</v>
      </c>
      <c r="G76" s="1" t="b">
        <v>1</v>
      </c>
      <c r="H76" s="1">
        <v>25</v>
      </c>
      <c r="I76" s="21">
        <v>6</v>
      </c>
      <c r="J76" s="28" t="s">
        <v>320</v>
      </c>
      <c r="K76" s="28"/>
      <c r="M76" s="28"/>
      <c r="N76" s="28"/>
      <c r="P76" s="1">
        <v>-1</v>
      </c>
      <c r="Q76" s="1">
        <v>1</v>
      </c>
    </row>
    <row r="77" ht="20" hidden="1" customHeight="1" spans="1:17">
      <c r="A77" s="1">
        <v>10074</v>
      </c>
      <c r="B77" s="1">
        <v>1</v>
      </c>
      <c r="C77" s="1">
        <v>2</v>
      </c>
      <c r="D77" s="1" t="s">
        <v>502</v>
      </c>
      <c r="F77" s="1">
        <f>A76</f>
        <v>10073</v>
      </c>
      <c r="G77" s="1" t="b">
        <v>0</v>
      </c>
      <c r="H77" s="1">
        <v>25</v>
      </c>
      <c r="I77" s="21">
        <v>0</v>
      </c>
      <c r="J77" s="28" t="s">
        <v>503</v>
      </c>
      <c r="K77" s="28"/>
      <c r="M77" s="28"/>
      <c r="N77" s="28"/>
      <c r="P77" s="1">
        <v>-1</v>
      </c>
      <c r="Q77" s="1">
        <v>1</v>
      </c>
    </row>
    <row r="78" ht="20" hidden="1" customHeight="1" spans="1:17">
      <c r="A78" s="1">
        <v>10075</v>
      </c>
      <c r="B78" s="1">
        <v>1</v>
      </c>
      <c r="C78" s="1">
        <v>2</v>
      </c>
      <c r="D78" s="1" t="s">
        <v>504</v>
      </c>
      <c r="F78" s="1">
        <f>A76</f>
        <v>10073</v>
      </c>
      <c r="G78" s="1" t="b">
        <v>0</v>
      </c>
      <c r="H78" s="1">
        <v>25</v>
      </c>
      <c r="I78" s="21">
        <v>0</v>
      </c>
      <c r="J78" s="28" t="s">
        <v>438</v>
      </c>
      <c r="K78" s="28"/>
      <c r="M78" s="28"/>
      <c r="N78" s="28"/>
      <c r="P78" s="1">
        <v>-1</v>
      </c>
      <c r="Q78" s="1">
        <v>1</v>
      </c>
    </row>
    <row r="79" ht="20" hidden="1" customHeight="1" spans="1:17">
      <c r="A79" s="1">
        <v>10076</v>
      </c>
      <c r="B79" s="1">
        <v>1</v>
      </c>
      <c r="C79" s="1">
        <v>1</v>
      </c>
      <c r="D79" s="1" t="s">
        <v>501</v>
      </c>
      <c r="E79" s="1">
        <v>25</v>
      </c>
      <c r="G79" s="1" t="b">
        <v>1</v>
      </c>
      <c r="H79" s="1">
        <v>26</v>
      </c>
      <c r="I79" s="21">
        <v>6</v>
      </c>
      <c r="J79" s="28" t="s">
        <v>320</v>
      </c>
      <c r="K79" s="28"/>
      <c r="M79" s="28"/>
      <c r="N79" s="28"/>
      <c r="P79" s="1">
        <v>-1</v>
      </c>
      <c r="Q79" s="1">
        <v>1</v>
      </c>
    </row>
    <row r="80" ht="20" hidden="1" customHeight="1" spans="1:17">
      <c r="A80" s="1">
        <v>10077</v>
      </c>
      <c r="B80" s="1">
        <v>1</v>
      </c>
      <c r="C80" s="1">
        <v>2</v>
      </c>
      <c r="D80" s="1" t="s">
        <v>502</v>
      </c>
      <c r="F80" s="1">
        <f>A79</f>
        <v>10076</v>
      </c>
      <c r="G80" s="1" t="b">
        <v>0</v>
      </c>
      <c r="H80" s="1">
        <v>26</v>
      </c>
      <c r="I80" s="21">
        <v>0</v>
      </c>
      <c r="J80" s="28" t="s">
        <v>503</v>
      </c>
      <c r="K80" s="28"/>
      <c r="M80" s="28"/>
      <c r="N80" s="28"/>
      <c r="P80" s="1">
        <v>-1</v>
      </c>
      <c r="Q80" s="1">
        <v>1</v>
      </c>
    </row>
    <row r="81" ht="20" hidden="1" customHeight="1" spans="1:17">
      <c r="A81" s="1">
        <v>10078</v>
      </c>
      <c r="B81" s="1">
        <v>1</v>
      </c>
      <c r="C81" s="1">
        <v>2</v>
      </c>
      <c r="D81" s="1" t="s">
        <v>504</v>
      </c>
      <c r="F81" s="1">
        <f>A79</f>
        <v>10076</v>
      </c>
      <c r="G81" s="1" t="b">
        <v>0</v>
      </c>
      <c r="H81" s="1">
        <v>26</v>
      </c>
      <c r="I81" s="21">
        <v>0</v>
      </c>
      <c r="J81" s="28" t="s">
        <v>438</v>
      </c>
      <c r="K81" s="28"/>
      <c r="M81" s="28"/>
      <c r="N81" s="28"/>
      <c r="P81" s="1">
        <v>-1</v>
      </c>
      <c r="Q81" s="1">
        <v>1</v>
      </c>
    </row>
    <row r="82" ht="20" customHeight="1" spans="1:17">
      <c r="A82" s="1">
        <v>10079</v>
      </c>
      <c r="B82" s="1">
        <v>1</v>
      </c>
      <c r="C82" s="1">
        <v>1</v>
      </c>
      <c r="D82" s="1" t="s">
        <v>501</v>
      </c>
      <c r="E82" s="1">
        <v>26</v>
      </c>
      <c r="G82" s="1" t="b">
        <v>1</v>
      </c>
      <c r="H82" s="1">
        <v>27</v>
      </c>
      <c r="I82" s="21">
        <v>6</v>
      </c>
      <c r="J82" s="28" t="s">
        <v>320</v>
      </c>
      <c r="K82" s="28"/>
      <c r="M82" s="28"/>
      <c r="N82" s="28"/>
      <c r="P82" s="1">
        <v>-1</v>
      </c>
      <c r="Q82" s="1">
        <v>1</v>
      </c>
    </row>
    <row r="83" ht="20" customHeight="1" spans="1:17">
      <c r="A83" s="1">
        <v>10080</v>
      </c>
      <c r="B83" s="1">
        <v>1</v>
      </c>
      <c r="C83" s="1">
        <v>2</v>
      </c>
      <c r="D83" s="1" t="s">
        <v>502</v>
      </c>
      <c r="F83" s="1">
        <f>A82</f>
        <v>10079</v>
      </c>
      <c r="G83" s="1" t="b">
        <v>0</v>
      </c>
      <c r="H83" s="1">
        <v>27</v>
      </c>
      <c r="I83" s="21">
        <v>0</v>
      </c>
      <c r="J83" s="28" t="s">
        <v>503</v>
      </c>
      <c r="K83" s="28"/>
      <c r="M83" s="28"/>
      <c r="N83" s="28"/>
      <c r="P83" s="1">
        <v>-1</v>
      </c>
      <c r="Q83" s="1">
        <v>1</v>
      </c>
    </row>
    <row r="84" ht="20" customHeight="1" spans="1:17">
      <c r="A84" s="1">
        <v>10081</v>
      </c>
      <c r="B84" s="1">
        <v>1</v>
      </c>
      <c r="C84" s="1">
        <v>2</v>
      </c>
      <c r="D84" s="1" t="s">
        <v>504</v>
      </c>
      <c r="F84" s="1">
        <f>A82</f>
        <v>10079</v>
      </c>
      <c r="G84" s="1" t="b">
        <v>0</v>
      </c>
      <c r="H84" s="1">
        <v>27</v>
      </c>
      <c r="I84" s="21">
        <v>0</v>
      </c>
      <c r="J84" s="28" t="s">
        <v>438</v>
      </c>
      <c r="K84" s="28"/>
      <c r="M84" s="28"/>
      <c r="N84" s="28"/>
      <c r="P84" s="1">
        <v>-1</v>
      </c>
      <c r="Q84" s="1">
        <v>1</v>
      </c>
    </row>
    <row r="85" ht="20" customHeight="1" spans="1:17">
      <c r="A85" s="1">
        <v>10082</v>
      </c>
      <c r="B85" s="1">
        <v>1</v>
      </c>
      <c r="C85" s="1">
        <v>1</v>
      </c>
      <c r="D85" s="1" t="s">
        <v>501</v>
      </c>
      <c r="E85" s="1">
        <v>27</v>
      </c>
      <c r="G85" s="1" t="b">
        <v>1</v>
      </c>
      <c r="H85" s="1">
        <v>28</v>
      </c>
      <c r="I85" s="21">
        <v>6</v>
      </c>
      <c r="J85" s="28" t="s">
        <v>320</v>
      </c>
      <c r="K85" s="28"/>
      <c r="M85" s="28"/>
      <c r="N85" s="28"/>
      <c r="P85" s="1">
        <v>-1</v>
      </c>
      <c r="Q85" s="1">
        <v>1</v>
      </c>
    </row>
    <row r="86" ht="20" customHeight="1" spans="1:17">
      <c r="A86" s="1">
        <v>10083</v>
      </c>
      <c r="B86" s="1">
        <v>1</v>
      </c>
      <c r="C86" s="1">
        <v>2</v>
      </c>
      <c r="D86" s="1" t="s">
        <v>502</v>
      </c>
      <c r="F86" s="1">
        <f>A85</f>
        <v>10082</v>
      </c>
      <c r="G86" s="1" t="b">
        <v>0</v>
      </c>
      <c r="H86" s="1">
        <v>28</v>
      </c>
      <c r="I86" s="21">
        <v>0</v>
      </c>
      <c r="J86" s="28" t="s">
        <v>503</v>
      </c>
      <c r="K86" s="28"/>
      <c r="M86" s="28"/>
      <c r="N86" s="28"/>
      <c r="P86" s="1">
        <v>-1</v>
      </c>
      <c r="Q86" s="1">
        <v>1</v>
      </c>
    </row>
    <row r="87" ht="20" customHeight="1" spans="1:17">
      <c r="A87" s="1">
        <v>10084</v>
      </c>
      <c r="B87" s="1">
        <v>1</v>
      </c>
      <c r="C87" s="1">
        <v>2</v>
      </c>
      <c r="D87" s="1" t="s">
        <v>504</v>
      </c>
      <c r="F87" s="1">
        <f>A85</f>
        <v>10082</v>
      </c>
      <c r="G87" s="1" t="b">
        <v>0</v>
      </c>
      <c r="H87" s="1">
        <v>28</v>
      </c>
      <c r="I87" s="21">
        <v>0</v>
      </c>
      <c r="J87" s="28" t="s">
        <v>438</v>
      </c>
      <c r="K87" s="28"/>
      <c r="M87" s="28"/>
      <c r="N87" s="28"/>
      <c r="P87" s="1">
        <v>-1</v>
      </c>
      <c r="Q87" s="1">
        <v>1</v>
      </c>
    </row>
    <row r="88" ht="20" customHeight="1" spans="1:17">
      <c r="A88" s="1">
        <v>10085</v>
      </c>
      <c r="B88" s="1">
        <v>1</v>
      </c>
      <c r="C88" s="1">
        <v>1</v>
      </c>
      <c r="D88" s="1" t="s">
        <v>501</v>
      </c>
      <c r="E88" s="1">
        <v>28</v>
      </c>
      <c r="G88" s="1" t="b">
        <v>1</v>
      </c>
      <c r="H88" s="1">
        <v>29</v>
      </c>
      <c r="I88" s="21">
        <v>6</v>
      </c>
      <c r="J88" s="28" t="s">
        <v>320</v>
      </c>
      <c r="K88" s="28"/>
      <c r="M88" s="28"/>
      <c r="N88" s="28"/>
      <c r="P88" s="1">
        <v>-1</v>
      </c>
      <c r="Q88" s="1">
        <v>1</v>
      </c>
    </row>
    <row r="89" ht="20" customHeight="1" spans="1:17">
      <c r="A89" s="1">
        <v>10086</v>
      </c>
      <c r="B89" s="1">
        <v>1</v>
      </c>
      <c r="C89" s="1">
        <v>2</v>
      </c>
      <c r="D89" s="1" t="s">
        <v>502</v>
      </c>
      <c r="F89" s="1">
        <f>A88</f>
        <v>10085</v>
      </c>
      <c r="G89" s="1" t="b">
        <v>0</v>
      </c>
      <c r="H89" s="1">
        <v>29</v>
      </c>
      <c r="I89" s="21">
        <v>0</v>
      </c>
      <c r="J89" s="28" t="s">
        <v>503</v>
      </c>
      <c r="K89" s="28"/>
      <c r="M89" s="28"/>
      <c r="N89" s="28"/>
      <c r="P89" s="1">
        <v>-1</v>
      </c>
      <c r="Q89" s="1">
        <v>1</v>
      </c>
    </row>
    <row r="90" ht="20" customHeight="1" spans="1:17">
      <c r="A90" s="1">
        <v>10087</v>
      </c>
      <c r="B90" s="1">
        <v>1</v>
      </c>
      <c r="C90" s="1">
        <v>2</v>
      </c>
      <c r="D90" s="1" t="s">
        <v>504</v>
      </c>
      <c r="F90" s="1">
        <f>A88</f>
        <v>10085</v>
      </c>
      <c r="G90" s="1" t="b">
        <v>0</v>
      </c>
      <c r="H90" s="1">
        <v>29</v>
      </c>
      <c r="I90" s="21">
        <v>0</v>
      </c>
      <c r="J90" s="28" t="s">
        <v>438</v>
      </c>
      <c r="K90" s="28"/>
      <c r="M90" s="28"/>
      <c r="N90" s="28"/>
      <c r="P90" s="1">
        <v>-1</v>
      </c>
      <c r="Q90" s="1">
        <v>1</v>
      </c>
    </row>
    <row r="91" ht="20" customHeight="1" spans="1:17">
      <c r="A91" s="1">
        <v>10088</v>
      </c>
      <c r="B91" s="1">
        <v>1</v>
      </c>
      <c r="C91" s="1">
        <v>1</v>
      </c>
      <c r="D91" s="1" t="s">
        <v>501</v>
      </c>
      <c r="E91" s="1">
        <v>29</v>
      </c>
      <c r="G91" s="1" t="b">
        <v>1</v>
      </c>
      <c r="H91" s="1">
        <v>30</v>
      </c>
      <c r="I91" s="21">
        <v>6</v>
      </c>
      <c r="J91" s="28" t="s">
        <v>320</v>
      </c>
      <c r="K91" s="28"/>
      <c r="M91" s="28"/>
      <c r="N91" s="28"/>
      <c r="P91" s="1">
        <v>-1</v>
      </c>
      <c r="Q91" s="1">
        <v>1</v>
      </c>
    </row>
    <row r="92" ht="20" customHeight="1" spans="1:17">
      <c r="A92" s="1">
        <v>10089</v>
      </c>
      <c r="B92" s="1">
        <v>1</v>
      </c>
      <c r="C92" s="1">
        <v>2</v>
      </c>
      <c r="D92" s="1" t="s">
        <v>502</v>
      </c>
      <c r="F92" s="1">
        <f>A91</f>
        <v>10088</v>
      </c>
      <c r="G92" s="1" t="b">
        <v>0</v>
      </c>
      <c r="H92" s="1">
        <v>30</v>
      </c>
      <c r="I92" s="21">
        <v>0</v>
      </c>
      <c r="J92" s="28" t="s">
        <v>503</v>
      </c>
      <c r="K92" s="28"/>
      <c r="M92" s="28"/>
      <c r="N92" s="28"/>
      <c r="P92" s="1">
        <v>-1</v>
      </c>
      <c r="Q92" s="1">
        <v>1</v>
      </c>
    </row>
    <row r="93" s="34" customFormat="1" ht="20" customHeight="1" spans="1:17">
      <c r="A93" s="10">
        <v>10090</v>
      </c>
      <c r="B93" s="10">
        <v>1</v>
      </c>
      <c r="C93" s="10">
        <v>2</v>
      </c>
      <c r="D93" s="10" t="s">
        <v>504</v>
      </c>
      <c r="E93" s="10"/>
      <c r="F93" s="10">
        <f>A91</f>
        <v>10088</v>
      </c>
      <c r="G93" s="10" t="b">
        <v>0</v>
      </c>
      <c r="H93" s="10">
        <v>30</v>
      </c>
      <c r="I93" s="36">
        <v>0</v>
      </c>
      <c r="J93" s="37" t="s">
        <v>438</v>
      </c>
      <c r="K93" s="37"/>
      <c r="L93" s="10"/>
      <c r="M93" s="37"/>
      <c r="N93" s="37"/>
      <c r="O93" s="10"/>
      <c r="P93" s="10">
        <v>-1</v>
      </c>
      <c r="Q93" s="10">
        <v>1</v>
      </c>
    </row>
    <row r="94" ht="20" customHeight="1" spans="1:17">
      <c r="A94" s="1">
        <v>20001</v>
      </c>
      <c r="B94" s="1">
        <v>2</v>
      </c>
      <c r="C94" s="1">
        <v>3</v>
      </c>
      <c r="D94" s="1" t="s">
        <v>505</v>
      </c>
      <c r="E94" s="1">
        <v>0</v>
      </c>
      <c r="G94" s="1" t="b">
        <v>1</v>
      </c>
      <c r="I94" s="21">
        <v>6</v>
      </c>
      <c r="J94" s="28" t="s">
        <v>506</v>
      </c>
      <c r="K94" s="28" t="s">
        <v>507</v>
      </c>
      <c r="L94" s="1">
        <v>360</v>
      </c>
      <c r="M94" s="28"/>
      <c r="N94" s="28"/>
      <c r="P94" s="1">
        <v>-1</v>
      </c>
      <c r="Q94" s="21">
        <v>-1</v>
      </c>
    </row>
    <row r="95" ht="20" customHeight="1" spans="1:17">
      <c r="A95" s="1">
        <v>20002</v>
      </c>
      <c r="B95" s="1">
        <v>2</v>
      </c>
      <c r="C95" s="1">
        <v>3</v>
      </c>
      <c r="D95" s="1" t="s">
        <v>508</v>
      </c>
      <c r="E95" s="1">
        <v>0</v>
      </c>
      <c r="G95" s="1" t="b">
        <v>1</v>
      </c>
      <c r="I95" s="21">
        <v>30</v>
      </c>
      <c r="J95" s="28" t="s">
        <v>509</v>
      </c>
      <c r="K95" s="28" t="s">
        <v>510</v>
      </c>
      <c r="L95" s="1">
        <v>360</v>
      </c>
      <c r="M95" s="28"/>
      <c r="N95" s="28"/>
      <c r="P95" s="1">
        <v>-1</v>
      </c>
      <c r="Q95" s="21">
        <v>-1</v>
      </c>
    </row>
    <row r="96" ht="20" customHeight="1" spans="1:17">
      <c r="A96" s="1">
        <v>20003</v>
      </c>
      <c r="B96" s="1">
        <v>2</v>
      </c>
      <c r="C96" s="1">
        <v>3</v>
      </c>
      <c r="D96" s="1" t="s">
        <v>511</v>
      </c>
      <c r="E96" s="1">
        <v>0</v>
      </c>
      <c r="G96" s="1" t="b">
        <v>1</v>
      </c>
      <c r="I96" s="21">
        <v>98</v>
      </c>
      <c r="J96" s="28" t="s">
        <v>512</v>
      </c>
      <c r="K96" s="28" t="s">
        <v>513</v>
      </c>
      <c r="L96" s="1">
        <v>360</v>
      </c>
      <c r="M96" s="28"/>
      <c r="N96" s="28"/>
      <c r="P96" s="1">
        <v>-1</v>
      </c>
      <c r="Q96" s="21">
        <v>-1</v>
      </c>
    </row>
    <row r="97" ht="20" customHeight="1" spans="1:17">
      <c r="A97" s="1">
        <v>20004</v>
      </c>
      <c r="B97" s="1">
        <v>2</v>
      </c>
      <c r="C97" s="1">
        <v>3</v>
      </c>
      <c r="D97" s="1" t="s">
        <v>514</v>
      </c>
      <c r="E97" s="1">
        <v>0</v>
      </c>
      <c r="G97" s="1" t="b">
        <v>1</v>
      </c>
      <c r="I97" s="21">
        <v>198</v>
      </c>
      <c r="J97" s="28" t="s">
        <v>515</v>
      </c>
      <c r="K97" s="28" t="s">
        <v>516</v>
      </c>
      <c r="L97" s="1">
        <v>360</v>
      </c>
      <c r="M97" s="28"/>
      <c r="N97" s="28"/>
      <c r="P97" s="1">
        <v>-1</v>
      </c>
      <c r="Q97" s="21">
        <v>-1</v>
      </c>
    </row>
    <row r="98" ht="20" customHeight="1" spans="1:17">
      <c r="A98" s="1">
        <v>20005</v>
      </c>
      <c r="B98" s="1">
        <v>2</v>
      </c>
      <c r="C98" s="1">
        <v>3</v>
      </c>
      <c r="D98" s="1" t="s">
        <v>517</v>
      </c>
      <c r="E98" s="1">
        <v>0</v>
      </c>
      <c r="G98" s="1" t="b">
        <v>1</v>
      </c>
      <c r="I98" s="21">
        <v>328</v>
      </c>
      <c r="J98" s="28" t="s">
        <v>518</v>
      </c>
      <c r="K98" s="28" t="s">
        <v>519</v>
      </c>
      <c r="L98" s="1">
        <v>360</v>
      </c>
      <c r="M98" s="28"/>
      <c r="N98" s="28"/>
      <c r="P98" s="1">
        <v>-1</v>
      </c>
      <c r="Q98" s="21">
        <v>-1</v>
      </c>
    </row>
    <row r="99" s="34" customFormat="1" ht="20" customHeight="1" spans="1:17">
      <c r="A99" s="10">
        <v>20006</v>
      </c>
      <c r="B99" s="10">
        <v>2</v>
      </c>
      <c r="C99" s="10">
        <v>3</v>
      </c>
      <c r="D99" s="10" t="s">
        <v>520</v>
      </c>
      <c r="E99" s="10">
        <v>0</v>
      </c>
      <c r="F99" s="10"/>
      <c r="G99" s="10" t="b">
        <v>1</v>
      </c>
      <c r="H99" s="10"/>
      <c r="I99" s="36">
        <v>648</v>
      </c>
      <c r="J99" s="37" t="s">
        <v>521</v>
      </c>
      <c r="K99" s="37" t="s">
        <v>522</v>
      </c>
      <c r="L99" s="10">
        <v>360</v>
      </c>
      <c r="M99" s="37"/>
      <c r="N99" s="37"/>
      <c r="O99" s="10"/>
      <c r="P99" s="10">
        <v>-1</v>
      </c>
      <c r="Q99" s="36">
        <v>-1</v>
      </c>
    </row>
    <row r="100" ht="20" customHeight="1" spans="1:17">
      <c r="A100" s="1">
        <v>30001</v>
      </c>
      <c r="B100" s="1">
        <v>3</v>
      </c>
      <c r="C100" s="1">
        <v>4</v>
      </c>
      <c r="D100" s="1" t="s">
        <v>58</v>
      </c>
      <c r="E100" s="1">
        <v>0</v>
      </c>
      <c r="G100" s="1" t="b">
        <v>1</v>
      </c>
      <c r="I100" s="21">
        <v>10</v>
      </c>
      <c r="M100" s="28" t="s">
        <v>523</v>
      </c>
      <c r="N100" s="28" t="s">
        <v>524</v>
      </c>
      <c r="O100" s="1">
        <v>7</v>
      </c>
      <c r="P100" s="1">
        <v>0</v>
      </c>
      <c r="Q100" s="1">
        <v>0</v>
      </c>
    </row>
    <row r="101" ht="20" customHeight="1" spans="1:17">
      <c r="A101" s="1">
        <v>30002</v>
      </c>
      <c r="B101" s="1">
        <v>3</v>
      </c>
      <c r="C101" s="1">
        <v>4</v>
      </c>
      <c r="D101" s="1" t="s">
        <v>61</v>
      </c>
      <c r="E101" s="1">
        <v>0</v>
      </c>
      <c r="G101" s="1" t="b">
        <v>1</v>
      </c>
      <c r="I101" s="21">
        <f>I100*2</f>
        <v>20</v>
      </c>
      <c r="M101" s="28" t="s">
        <v>525</v>
      </c>
      <c r="N101" s="28" t="s">
        <v>526</v>
      </c>
      <c r="O101" s="1">
        <v>7</v>
      </c>
      <c r="P101" s="1">
        <v>0</v>
      </c>
      <c r="Q101" s="1">
        <v>0</v>
      </c>
    </row>
    <row r="102" ht="20" customHeight="1" spans="1:17">
      <c r="A102" s="1">
        <v>30003</v>
      </c>
      <c r="B102" s="1">
        <v>3</v>
      </c>
      <c r="C102" s="1">
        <v>5</v>
      </c>
      <c r="D102" s="1" t="s">
        <v>62</v>
      </c>
      <c r="E102" s="1">
        <v>0</v>
      </c>
      <c r="G102" s="1" t="b">
        <v>1</v>
      </c>
      <c r="I102" s="21">
        <v>30</v>
      </c>
      <c r="M102" s="28" t="s">
        <v>527</v>
      </c>
      <c r="N102" s="28" t="s">
        <v>528</v>
      </c>
      <c r="O102" s="1">
        <v>30</v>
      </c>
      <c r="P102" s="1">
        <v>0</v>
      </c>
      <c r="Q102" s="1">
        <v>0</v>
      </c>
    </row>
    <row r="103" ht="20" customHeight="1" spans="1:17">
      <c r="A103" s="1">
        <v>30004</v>
      </c>
      <c r="B103" s="1">
        <v>3</v>
      </c>
      <c r="C103" s="1">
        <v>5</v>
      </c>
      <c r="D103" s="1" t="s">
        <v>63</v>
      </c>
      <c r="E103" s="1">
        <v>0</v>
      </c>
      <c r="G103" s="1" t="b">
        <v>1</v>
      </c>
      <c r="I103" s="21">
        <f>I102*2</f>
        <v>60</v>
      </c>
      <c r="M103" s="28" t="s">
        <v>529</v>
      </c>
      <c r="N103" s="28" t="s">
        <v>530</v>
      </c>
      <c r="O103" s="1">
        <v>30</v>
      </c>
      <c r="P103" s="1">
        <v>0</v>
      </c>
      <c r="Q103" s="1">
        <v>0</v>
      </c>
    </row>
    <row r="104" ht="20" customHeight="1"/>
    <row r="105" ht="20" customHeight="1"/>
    <row r="106" ht="20" customHeight="1"/>
    <row r="107" ht="20" customHeight="1"/>
    <row r="108" ht="20" customHeight="1"/>
    <row r="109" spans="4:10">
      <c r="D109" s="9" t="s">
        <v>531</v>
      </c>
      <c r="E109" s="9"/>
      <c r="F109" s="9"/>
      <c r="G109" s="9"/>
      <c r="H109" s="9"/>
      <c r="I109" s="9"/>
      <c r="J109" s="38"/>
    </row>
    <row r="110" spans="4:9">
      <c r="D110" s="35"/>
      <c r="E110" s="35" t="s">
        <v>532</v>
      </c>
      <c r="F110" s="35" t="s">
        <v>533</v>
      </c>
      <c r="G110" s="35" t="s">
        <v>534</v>
      </c>
      <c r="H110" s="35" t="s">
        <v>535</v>
      </c>
      <c r="I110" s="35" t="s">
        <v>536</v>
      </c>
    </row>
    <row r="111" spans="4:9">
      <c r="D111" s="9" t="s">
        <v>52</v>
      </c>
      <c r="E111" s="9">
        <v>6</v>
      </c>
      <c r="F111" s="9">
        <f>E111*100</f>
        <v>600</v>
      </c>
      <c r="G111" s="9">
        <v>60</v>
      </c>
      <c r="H111" s="9">
        <v>2</v>
      </c>
      <c r="I111" s="9"/>
    </row>
    <row r="112" spans="4:9">
      <c r="D112" s="9" t="s">
        <v>55</v>
      </c>
      <c r="E112" s="9">
        <v>6</v>
      </c>
      <c r="F112" s="9">
        <v>1200</v>
      </c>
      <c r="G112" s="9">
        <v>600</v>
      </c>
      <c r="H112" s="9">
        <v>2</v>
      </c>
      <c r="I112" s="9">
        <v>1</v>
      </c>
    </row>
    <row r="113" spans="4:9">
      <c r="D113" s="9" t="s">
        <v>58</v>
      </c>
      <c r="E113" s="9">
        <v>10</v>
      </c>
      <c r="F113" s="9">
        <f>E113*100</f>
        <v>1000</v>
      </c>
      <c r="G113" s="9">
        <f>F113/100</f>
        <v>10</v>
      </c>
      <c r="H113" s="9">
        <v>2</v>
      </c>
      <c r="I113" s="9"/>
    </row>
    <row r="114" spans="4:9">
      <c r="D114" s="9" t="s">
        <v>61</v>
      </c>
      <c r="E114" s="9">
        <v>20</v>
      </c>
      <c r="F114" s="9">
        <f>E114*100</f>
        <v>2000</v>
      </c>
      <c r="G114" s="9">
        <f>F114/100</f>
        <v>20</v>
      </c>
      <c r="H114" s="9">
        <v>4</v>
      </c>
      <c r="I114" s="9"/>
    </row>
    <row r="115" spans="4:9">
      <c r="D115" s="9" t="s">
        <v>62</v>
      </c>
      <c r="E115" s="9">
        <v>30</v>
      </c>
      <c r="F115" s="9">
        <f>E115*100</f>
        <v>3000</v>
      </c>
      <c r="G115" s="9">
        <f>F115/100</f>
        <v>30</v>
      </c>
      <c r="H115" s="9">
        <v>6</v>
      </c>
      <c r="I115" s="9"/>
    </row>
    <row r="116" spans="4:9">
      <c r="D116" s="9" t="s">
        <v>63</v>
      </c>
      <c r="E116" s="9">
        <v>60</v>
      </c>
      <c r="F116" s="9">
        <f>E116*100</f>
        <v>6000</v>
      </c>
      <c r="G116" s="9">
        <f>F116/100</f>
        <v>60</v>
      </c>
      <c r="H116" s="9">
        <v>12</v>
      </c>
      <c r="I116" s="9"/>
    </row>
  </sheetData>
  <autoFilter xmlns:etc="http://www.wps.cn/officeDocument/2017/etCustomData" ref="A1:Q103" etc:filterBottomFollowUsedRange="0">
    <extLst/>
  </autoFilter>
  <mergeCells count="1">
    <mergeCell ref="D109:I109"/>
  </mergeCells>
  <dataValidations count="3">
    <dataValidation type="list" allowBlank="1" showInputMessage="1" showErrorMessage="1" sqref="A3:H3 J3:O3 Q3">
      <formula1>"int,long,float,double,boolean,char,string"</formula1>
    </dataValidation>
    <dataValidation type="list" allowBlank="1" showInputMessage="1" showErrorMessage="1" sqref="I3">
      <formula1>"int,long,float,double,boolean,char,string,decimal"</formula1>
    </dataValidation>
    <dataValidation type="list" allowBlank="1" showInputMessage="1" showErrorMessage="1" sqref="P3">
      <formula1>"int,long,float,double,boolean,char,string,datetime"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7.25"/>
  <cols>
    <col min="2" max="2" width="11.2583333333333" customWidth="1"/>
    <col min="3" max="3" width="30.625" customWidth="1"/>
    <col min="4" max="20" width="33.625" customWidth="1"/>
    <col min="21" max="21" width="33.625" style="21" customWidth="1"/>
    <col min="22" max="22" width="33.625" customWidth="1"/>
    <col min="23" max="23" width="12.625"/>
  </cols>
  <sheetData>
    <row r="1" s="18" customFormat="1" ht="30" customHeight="1" spans="1:36">
      <c r="A1" s="22" t="s">
        <v>72</v>
      </c>
      <c r="B1" s="22" t="s">
        <v>396</v>
      </c>
      <c r="C1" s="22" t="s">
        <v>397</v>
      </c>
      <c r="D1" s="22" t="s">
        <v>398</v>
      </c>
      <c r="E1" s="22" t="s">
        <v>399</v>
      </c>
      <c r="F1" s="22" t="s">
        <v>400</v>
      </c>
      <c r="G1" s="23" t="s">
        <v>401</v>
      </c>
      <c r="H1" s="22" t="s">
        <v>402</v>
      </c>
      <c r="I1" s="22" t="s">
        <v>403</v>
      </c>
      <c r="J1" s="23" t="s">
        <v>404</v>
      </c>
      <c r="K1" s="22" t="s">
        <v>405</v>
      </c>
      <c r="L1" s="22" t="s">
        <v>406</v>
      </c>
      <c r="M1" s="23" t="s">
        <v>407</v>
      </c>
      <c r="N1" s="22" t="s">
        <v>408</v>
      </c>
      <c r="O1" s="22" t="s">
        <v>409</v>
      </c>
      <c r="P1" s="23" t="s">
        <v>410</v>
      </c>
      <c r="Q1" s="22" t="s">
        <v>411</v>
      </c>
      <c r="R1" s="22" t="s">
        <v>412</v>
      </c>
      <c r="S1" s="23" t="s">
        <v>413</v>
      </c>
      <c r="T1" s="22" t="s">
        <v>414</v>
      </c>
      <c r="U1" s="22" t="s">
        <v>415</v>
      </c>
      <c r="V1" s="23" t="s">
        <v>416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="19" customFormat="1" ht="30" customHeight="1" spans="1:36">
      <c r="A2" s="24" t="s">
        <v>93</v>
      </c>
      <c r="B2" s="24" t="s">
        <v>150</v>
      </c>
      <c r="C2" s="24" t="s">
        <v>417</v>
      </c>
      <c r="D2" s="24" t="s">
        <v>418</v>
      </c>
      <c r="E2" s="24" t="s">
        <v>419</v>
      </c>
      <c r="F2" s="24" t="s">
        <v>420</v>
      </c>
      <c r="G2" s="25" t="s">
        <v>421</v>
      </c>
      <c r="H2" s="24" t="s">
        <v>422</v>
      </c>
      <c r="I2" s="24" t="s">
        <v>423</v>
      </c>
      <c r="J2" s="25" t="s">
        <v>424</v>
      </c>
      <c r="K2" s="24" t="s">
        <v>425</v>
      </c>
      <c r="L2" s="24" t="s">
        <v>426</v>
      </c>
      <c r="M2" s="25" t="s">
        <v>427</v>
      </c>
      <c r="N2" s="24" t="s">
        <v>428</v>
      </c>
      <c r="O2" s="24" t="s">
        <v>429</v>
      </c>
      <c r="P2" s="25" t="s">
        <v>430</v>
      </c>
      <c r="Q2" s="24" t="s">
        <v>431</v>
      </c>
      <c r="R2" s="24" t="s">
        <v>432</v>
      </c>
      <c r="S2" s="25" t="s">
        <v>433</v>
      </c>
      <c r="T2" s="24" t="s">
        <v>434</v>
      </c>
      <c r="U2" s="24" t="s">
        <v>435</v>
      </c>
      <c r="V2" s="25" t="s">
        <v>436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="20" customFormat="1" ht="30" customHeight="1" spans="1:22">
      <c r="A3" s="26" t="s">
        <v>115</v>
      </c>
      <c r="B3" s="26" t="s">
        <v>115</v>
      </c>
      <c r="C3" s="26" t="s">
        <v>116</v>
      </c>
      <c r="D3" s="26" t="s">
        <v>116</v>
      </c>
      <c r="E3" s="26" t="s">
        <v>116</v>
      </c>
      <c r="F3" s="26" t="s">
        <v>119</v>
      </c>
      <c r="G3" s="27" t="s">
        <v>116</v>
      </c>
      <c r="H3" s="26" t="s">
        <v>116</v>
      </c>
      <c r="I3" s="26" t="s">
        <v>119</v>
      </c>
      <c r="J3" s="27" t="s">
        <v>116</v>
      </c>
      <c r="K3" s="26" t="s">
        <v>116</v>
      </c>
      <c r="L3" s="26" t="s">
        <v>119</v>
      </c>
      <c r="M3" s="27" t="s">
        <v>116</v>
      </c>
      <c r="N3" s="26" t="s">
        <v>116</v>
      </c>
      <c r="O3" s="26" t="s">
        <v>119</v>
      </c>
      <c r="P3" s="27" t="s">
        <v>116</v>
      </c>
      <c r="Q3" s="26" t="s">
        <v>116</v>
      </c>
      <c r="R3" s="26" t="s">
        <v>119</v>
      </c>
      <c r="S3" s="27" t="s">
        <v>116</v>
      </c>
      <c r="T3" s="26" t="s">
        <v>116</v>
      </c>
      <c r="U3" s="26" t="s">
        <v>119</v>
      </c>
      <c r="V3" s="27" t="s">
        <v>116</v>
      </c>
    </row>
    <row r="4" ht="20" customHeight="1" spans="1:36">
      <c r="A4" s="1">
        <v>10001</v>
      </c>
      <c r="B4" s="1">
        <v>1</v>
      </c>
      <c r="C4" s="1" t="s">
        <v>437</v>
      </c>
      <c r="D4" s="28" t="s">
        <v>438</v>
      </c>
      <c r="E4" s="28" t="s">
        <v>439</v>
      </c>
      <c r="F4" s="29">
        <f>1/10*1/10*1/10</f>
        <v>0.001</v>
      </c>
      <c r="G4" s="28" t="s">
        <v>326</v>
      </c>
      <c r="H4" s="28" t="s">
        <v>440</v>
      </c>
      <c r="I4" s="29">
        <f>1/10*1/10*1/10*9</f>
        <v>0.009</v>
      </c>
      <c r="J4" s="28" t="s">
        <v>441</v>
      </c>
      <c r="K4" s="28" t="s">
        <v>442</v>
      </c>
      <c r="L4" s="29">
        <f>1/10*1/10*9/10*3</f>
        <v>0.027</v>
      </c>
      <c r="M4" s="28" t="s">
        <v>323</v>
      </c>
      <c r="N4" s="28" t="s">
        <v>443</v>
      </c>
      <c r="O4" s="29">
        <f>1/10*1/10*1/10*9*3</f>
        <v>0.027</v>
      </c>
      <c r="P4" s="28" t="s">
        <v>322</v>
      </c>
      <c r="Q4" s="28" t="s">
        <v>444</v>
      </c>
      <c r="R4" s="29">
        <f>1/10*1/10*8/10*9*3</f>
        <v>0.216</v>
      </c>
      <c r="S4" s="28" t="s">
        <v>321</v>
      </c>
      <c r="T4" s="28" t="s">
        <v>445</v>
      </c>
      <c r="U4" s="29">
        <f>1/10*9/10*8/10*3+9/10*8/10*7/10</f>
        <v>0.72</v>
      </c>
      <c r="V4" s="28" t="s">
        <v>320</v>
      </c>
      <c r="W4" s="33">
        <f t="shared" ref="W4:W6" si="0">F4+I4+L4+O4+R4+U4</f>
        <v>1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ht="20" customHeight="1" spans="1:36">
      <c r="A5" s="1">
        <v>10002</v>
      </c>
      <c r="B5" s="1">
        <v>1</v>
      </c>
      <c r="C5" s="1" t="s">
        <v>446</v>
      </c>
      <c r="D5" s="28" t="s">
        <v>447</v>
      </c>
      <c r="E5" s="28" t="s">
        <v>448</v>
      </c>
      <c r="F5" s="29">
        <f>(1+5+15+35+70+126)/59049</f>
        <v>0.00426764212772443</v>
      </c>
      <c r="G5" s="28" t="s">
        <v>326</v>
      </c>
      <c r="H5" s="28" t="s">
        <v>449</v>
      </c>
      <c r="I5" s="29">
        <f>(210+330+495+710+976)/59049</f>
        <v>0.0460803739267388</v>
      </c>
      <c r="J5" s="28" t="s">
        <v>441</v>
      </c>
      <c r="K5" s="28" t="s">
        <v>450</v>
      </c>
      <c r="L5" s="29">
        <f>(1290+1645+2030+2430+2826)/59049</f>
        <v>0.173093532489966</v>
      </c>
      <c r="M5" s="28" t="s">
        <v>323</v>
      </c>
      <c r="N5" s="28" t="s">
        <v>451</v>
      </c>
      <c r="O5" s="29">
        <f>(3195+3510+3750+3900+3951)/59049</f>
        <v>0.310013717421125</v>
      </c>
      <c r="P5" s="28" t="s">
        <v>322</v>
      </c>
      <c r="Q5" s="28" t="s">
        <v>452</v>
      </c>
      <c r="R5" s="29">
        <f>(3900+3750+3510+3195+2826)/59049</f>
        <v>0.290961743636641</v>
      </c>
      <c r="S5" s="28" t="s">
        <v>321</v>
      </c>
      <c r="T5" s="28" t="s">
        <v>445</v>
      </c>
      <c r="U5" s="29">
        <f>(2430+2030+1645+1290+976+710+495+330+210+126+70+35+15+5+1)/59049</f>
        <v>0.175582990397805</v>
      </c>
      <c r="V5" s="28" t="s">
        <v>320</v>
      </c>
      <c r="W5" s="33">
        <f t="shared" si="0"/>
        <v>1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ht="20" customHeight="1" spans="1:36">
      <c r="A6" s="1">
        <v>10003</v>
      </c>
      <c r="B6" s="1">
        <v>1</v>
      </c>
      <c r="C6" s="1" t="s">
        <v>453</v>
      </c>
      <c r="D6" s="28" t="s">
        <v>454</v>
      </c>
      <c r="E6" s="28" t="s">
        <v>455</v>
      </c>
      <c r="F6" s="29">
        <f>1/9</f>
        <v>0.111111111111111</v>
      </c>
      <c r="G6" s="28" t="s">
        <v>326</v>
      </c>
      <c r="H6" s="28" t="s">
        <v>456</v>
      </c>
      <c r="I6" s="29">
        <f>1/9</f>
        <v>0.111111111111111</v>
      </c>
      <c r="J6" s="28" t="s">
        <v>441</v>
      </c>
      <c r="K6" s="28" t="s">
        <v>457</v>
      </c>
      <c r="L6" s="29">
        <f>1/9</f>
        <v>0.111111111111111</v>
      </c>
      <c r="M6" s="28" t="s">
        <v>323</v>
      </c>
      <c r="N6" s="28" t="s">
        <v>458</v>
      </c>
      <c r="O6" s="29">
        <f>1/9</f>
        <v>0.111111111111111</v>
      </c>
      <c r="P6" s="28" t="s">
        <v>322</v>
      </c>
      <c r="Q6" s="28" t="s">
        <v>459</v>
      </c>
      <c r="R6" s="29">
        <f>1/9</f>
        <v>0.111111111111111</v>
      </c>
      <c r="S6" s="28" t="s">
        <v>321</v>
      </c>
      <c r="T6" s="28" t="s">
        <v>445</v>
      </c>
      <c r="U6" s="29">
        <f>4/9</f>
        <v>0.444444444444444</v>
      </c>
      <c r="V6" s="28" t="s">
        <v>320</v>
      </c>
      <c r="W6" s="33">
        <f t="shared" si="0"/>
        <v>1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</row>
    <row r="11" spans="4:19">
      <c r="D11" s="9" t="s">
        <v>35</v>
      </c>
      <c r="E11" s="9"/>
      <c r="F11" s="9"/>
      <c r="G11" s="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17"/>
    </row>
    <row r="12" spans="4:18">
      <c r="D12" s="9" t="s">
        <v>537</v>
      </c>
      <c r="E12" s="9" t="s">
        <v>11</v>
      </c>
      <c r="F12" s="9" t="s">
        <v>17</v>
      </c>
      <c r="G12" s="9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9">
        <v>1</v>
      </c>
      <c r="E13" s="9">
        <f>总产出!O4</f>
        <v>30</v>
      </c>
      <c r="F13" s="9">
        <f>总产出!O5</f>
        <v>5</v>
      </c>
      <c r="G13" s="9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8">
      <c r="D14" s="9">
        <v>2</v>
      </c>
      <c r="E14" s="9">
        <f>E13</f>
        <v>30</v>
      </c>
      <c r="F14" s="9">
        <f>F13+E14/60+$F$13</f>
        <v>10.5</v>
      </c>
      <c r="G14" s="9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4:18">
      <c r="D15" s="9">
        <v>3</v>
      </c>
      <c r="E15" s="9">
        <f t="shared" ref="E15:E22" si="1">E14</f>
        <v>30</v>
      </c>
      <c r="F15" s="9">
        <f t="shared" ref="F15:F22" si="2">F14+E15/60+$F$13</f>
        <v>16</v>
      </c>
      <c r="G15" s="9">
        <v>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4:18">
      <c r="D16" s="9">
        <v>4</v>
      </c>
      <c r="E16" s="9">
        <f t="shared" si="1"/>
        <v>30</v>
      </c>
      <c r="F16" s="9">
        <f t="shared" si="2"/>
        <v>21.5</v>
      </c>
      <c r="G16" s="9">
        <v>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4:18">
      <c r="D17" s="9">
        <v>5</v>
      </c>
      <c r="E17" s="9">
        <f t="shared" si="1"/>
        <v>30</v>
      </c>
      <c r="F17" s="9">
        <f t="shared" si="2"/>
        <v>27</v>
      </c>
      <c r="G17" s="9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4:18">
      <c r="D18" s="9">
        <v>6</v>
      </c>
      <c r="E18" s="9">
        <f t="shared" si="1"/>
        <v>30</v>
      </c>
      <c r="F18" s="9">
        <f t="shared" si="2"/>
        <v>32.5</v>
      </c>
      <c r="G18" s="9">
        <v>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4:18">
      <c r="D19" s="9">
        <v>7</v>
      </c>
      <c r="E19" s="9">
        <f t="shared" si="1"/>
        <v>30</v>
      </c>
      <c r="F19" s="9">
        <f t="shared" si="2"/>
        <v>38</v>
      </c>
      <c r="G19" s="9">
        <v>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4:18">
      <c r="D20" s="9">
        <v>8</v>
      </c>
      <c r="E20" s="9">
        <f t="shared" si="1"/>
        <v>30</v>
      </c>
      <c r="F20" s="9">
        <f t="shared" si="2"/>
        <v>43.5</v>
      </c>
      <c r="G20" s="9">
        <v>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4:18">
      <c r="D21" s="9">
        <v>9</v>
      </c>
      <c r="E21" s="9">
        <f t="shared" si="1"/>
        <v>30</v>
      </c>
      <c r="F21" s="9">
        <f t="shared" si="2"/>
        <v>49</v>
      </c>
      <c r="G21" s="9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4:18">
      <c r="D22" s="9">
        <v>10</v>
      </c>
      <c r="E22" s="9">
        <f t="shared" si="1"/>
        <v>30</v>
      </c>
      <c r="F22" s="9">
        <f t="shared" si="2"/>
        <v>54.5</v>
      </c>
      <c r="G22" s="9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5" spans="4:6">
      <c r="D25" s="9"/>
      <c r="E25" s="9" t="s">
        <v>394</v>
      </c>
      <c r="F25" s="9" t="s">
        <v>395</v>
      </c>
    </row>
    <row r="26" spans="4:6">
      <c r="D26" s="9" t="s">
        <v>538</v>
      </c>
      <c r="E26" s="9">
        <v>3000</v>
      </c>
      <c r="F26" s="9">
        <f>E26/100</f>
        <v>30</v>
      </c>
    </row>
    <row r="27" spans="4:6">
      <c r="D27" s="9" t="s">
        <v>539</v>
      </c>
      <c r="E27" s="9">
        <v>6000</v>
      </c>
      <c r="F27" s="9">
        <f>F26</f>
        <v>30</v>
      </c>
    </row>
    <row r="28" spans="4:6">
      <c r="D28" s="9" t="s">
        <v>540</v>
      </c>
      <c r="E28" s="9">
        <v>9000</v>
      </c>
      <c r="F28" s="9">
        <f>F26</f>
        <v>30</v>
      </c>
    </row>
  </sheetData>
  <autoFilter xmlns:etc="http://www.wps.cn/officeDocument/2017/etCustomData" ref="A1:V6" etc:filterBottomFollowUsedRange="0">
    <extLst/>
  </autoFilter>
  <mergeCells count="1">
    <mergeCell ref="D11:G11"/>
  </mergeCells>
  <dataValidations count="1">
    <dataValidation type="list" allowBlank="1" showInputMessage="1" showErrorMessage="1" sqref="A3:V3">
      <formula1>"int,long,float,double,boolean,char,string"</formula1>
    </dataValidation>
  </dataValidation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125"/>
  <sheetViews>
    <sheetView workbookViewId="0">
      <pane ySplit="25" topLeftCell="A26" activePane="bottomLeft" state="frozen"/>
      <selection/>
      <selection pane="bottomLeft" activeCell="J29" sqref="J29"/>
    </sheetView>
  </sheetViews>
  <sheetFormatPr defaultColWidth="9" defaultRowHeight="13.5"/>
  <cols>
    <col min="2" max="8" width="18.625" customWidth="1"/>
    <col min="9" max="23" width="15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K4" s="9"/>
      <c r="L4" s="9"/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8"/>
      <c r="I5" s="8"/>
      <c r="K5" s="9" t="s">
        <v>16</v>
      </c>
      <c r="L5" s="7">
        <f>总产出!L5</f>
        <v>0.990909090909091</v>
      </c>
    </row>
    <row r="6" s="1" customFormat="1" ht="18" customHeight="1" spans="2:6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1" t="s">
        <v>13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23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544</v>
      </c>
      <c r="H25" s="9" t="s">
        <v>545</v>
      </c>
      <c r="I25" s="9" t="s">
        <v>189</v>
      </c>
      <c r="J25" s="9" t="s">
        <v>190</v>
      </c>
      <c r="K25" s="9" t="s">
        <v>191</v>
      </c>
      <c r="L25" s="9" t="s">
        <v>192</v>
      </c>
      <c r="M25" s="9" t="s">
        <v>193</v>
      </c>
      <c r="N25" s="9" t="s">
        <v>194</v>
      </c>
      <c r="O25" s="9" t="s">
        <v>195</v>
      </c>
      <c r="P25" s="9" t="s">
        <v>196</v>
      </c>
      <c r="Q25" s="9" t="s">
        <v>197</v>
      </c>
      <c r="R25" s="9" t="s">
        <v>198</v>
      </c>
      <c r="S25" s="9" t="s">
        <v>199</v>
      </c>
      <c r="T25" s="9" t="s">
        <v>200</v>
      </c>
      <c r="U25" s="9" t="s">
        <v>201</v>
      </c>
      <c r="V25" s="9" t="s">
        <v>202</v>
      </c>
      <c r="W25" s="9" t="s">
        <v>203</v>
      </c>
    </row>
    <row r="26" s="2" customFormat="1" ht="18" customHeight="1" spans="2:23">
      <c r="B26" s="2">
        <v>1</v>
      </c>
      <c r="C26" s="2">
        <f>$C$8*B26</f>
        <v>1000</v>
      </c>
      <c r="D26" s="2">
        <f>ROUND($C$8*$C$5+$C$8*$C$4*(1-$L$5),0)</f>
        <v>88</v>
      </c>
      <c r="E26" s="2">
        <f>D26*B26</f>
        <v>88</v>
      </c>
      <c r="F26" s="2">
        <f>ROUND(E26*VLOOKUP($B$10,总产出!$T$4:$U$14,2,FALSE),0)</f>
        <v>9</v>
      </c>
      <c r="G26" s="2">
        <f>SUM(I26:W26)</f>
        <v>25</v>
      </c>
      <c r="H26" s="2">
        <f>G26</f>
        <v>25</v>
      </c>
      <c r="I26" s="2" cm="1">
        <f t="array" ref="I26">IF(VLOOKUP($I$25,mission!$D$46:$F$60,3,FALSE)&lt;=$F$5*60/$C$7,INDEX(mission!$E$46:$E$60,MATCH($I$25,mission!$D$46:$D$60,0)),0)</f>
        <v>5</v>
      </c>
      <c r="J26" s="2" cm="1">
        <f t="array" ref="J26">IF(VLOOKUP($J$25,mission!$D$46:$F$60,3,FALSE)&lt;=$F$5*60/$C$7,INDEX(mission!$E$46:$E$60,MATCH($J$25,mission!$D$46:$D$60,0)),0)</f>
        <v>0</v>
      </c>
      <c r="K26" s="2" cm="1">
        <f t="array" ref="K26">IF(VLOOKUP($K$25,mission!$D$46:$F$60,3,FALSE)&lt;=$F$5*60/$C$7,INDEX(mission!$E$46:$E$60,MATCH($K$25,mission!$D$46:$D$60,0)),0)</f>
        <v>0</v>
      </c>
      <c r="L26" s="2" cm="1">
        <f t="array" ref="L26">IF(VLOOKUP($L$25,mission!$D$46:$F$60,3,FALSE)&lt;=$C$8,INDEX(mission!$E$46:$E$60,MATCH($L$25,mission!$D$46:$D$60,0)),0)</f>
        <v>5</v>
      </c>
      <c r="M26" s="2" cm="1">
        <f t="array" ref="M26">IF(VLOOKUP($M$25,mission!$D$46:$F$60,3,FALSE)&lt;=$C$8,INDEX(mission!$E$46:$E$60,MATCH($M$25,mission!$D$46:$D$60,0)),0)</f>
        <v>0</v>
      </c>
      <c r="N26" s="2" cm="1">
        <f t="array" ref="N26">IF(VLOOKUP($N$25,mission!$D$46:$F$60,3,FALSE)&lt;=$C$8,INDEX(mission!$E$46:$E$60,MATCH($N$25,mission!$D$46:$D$60,0)),0)</f>
        <v>0</v>
      </c>
      <c r="O26" s="2" cm="1">
        <f t="array" ref="O26">IF(VLOOKUP($O$25,mission!$D$46:$F$60,3,FALSE)&lt;=$C$8*$C$4,INDEX(mission!$E$46:$E$60,MATCH($O$25,mission!$D$46:$D$60,0)),0)</f>
        <v>0</v>
      </c>
      <c r="P26" s="2" cm="1">
        <f t="array" ref="P26">IF(VLOOKUP($P$25,mission!$D$46:$F$60,3,FALSE)&lt;=$C$8*$C$4,INDEX(mission!$E$46:$E$60,MATCH($P$25,mission!$D$46:$D$60,0)),0)</f>
        <v>0</v>
      </c>
      <c r="Q26" s="2" cm="1">
        <f t="array" ref="Q26">IF(VLOOKUP($Q$25,mission!$D$46:$F$60,3,FALSE)&lt;=$C$8*$C$4,INDEX(mission!$E$46:$E$60,MATCH($Q$25,mission!$D$46:$D$60,0)),0)</f>
        <v>0</v>
      </c>
      <c r="R26" s="2" cm="1">
        <f t="array" ref="R26">IF(VLOOKUP($R$25,mission!$D$46:$F$60,3,FALSE)&lt;=$F$5*60/$C$7,INDEX(mission!$E$46:$E$60,MATCH($R$25,mission!$D$46:$D$60,0)),0)</f>
        <v>5</v>
      </c>
      <c r="S26" s="2" cm="1">
        <f t="array" ref="S26">IF(VLOOKUP($S$25,mission!$D$46:$F$60,3,FALSE)&lt;=$F$5*60/$C$7,INDEX(mission!$E$46:$E$60,MATCH($S$25,mission!$D$46:$D$60,0)),0)</f>
        <v>0</v>
      </c>
      <c r="T26" s="2" cm="1">
        <f t="array" ref="T26">IF(VLOOKUP($T$25,mission!$D$46:$F$60,3,FALSE)&lt;=$F$5*60,INDEX(mission!$E$46:$E$60,MATCH($T$25,mission!$D$46:$D$60,0)),0)</f>
        <v>10</v>
      </c>
      <c r="U26" s="2" cm="1">
        <f t="array" ref="U26">IF(VLOOKUP($U$25,mission!$D$46:$F$60,3,FALSE)&lt;=$F$5*60,INDEX(mission!$E$46:$E$60,MATCH($U$25,mission!$D$46:$D$60,0)),0)</f>
        <v>0</v>
      </c>
      <c r="V26" s="2" cm="1">
        <f t="array" ref="V26">IF(VLOOKUP($V$25,mission!$D$46:$F$60,3,FALSE)&lt;=$F$5*60,INDEX(mission!$E$46:$E$60,MATCH($V$25,mission!$D$46:$D$60,0)),0)</f>
        <v>0</v>
      </c>
      <c r="W26" s="2" cm="1">
        <f t="array" ref="W26">IF(VLOOKUP($W$25,mission!$D$46:$F$60,3,FALSE)&lt;=$F$5*60,INDEX(mission!$E$46:$E$60,MATCH($W$25,mission!$D$46:$D$60,0)),0)</f>
        <v>0</v>
      </c>
    </row>
    <row r="27" s="2" customFormat="1" ht="18" customHeight="1" spans="2:23">
      <c r="B27" s="2">
        <v>2</v>
      </c>
      <c r="C27" s="2">
        <f t="shared" ref="C27:C58" si="0">$C$8*B27</f>
        <v>2000</v>
      </c>
      <c r="D27" s="2">
        <f t="shared" ref="D27:D36" si="1">ROUND($C$8*$C$5+$C$8*$C$4*(1-$L$5),0)</f>
        <v>88</v>
      </c>
      <c r="E27" s="2">
        <f>D27*B27</f>
        <v>176</v>
      </c>
      <c r="F27" s="2">
        <f>ROUND(E27*VLOOKUP($B$10,总产出!$T$4:$U$14,2,FALSE),0)</f>
        <v>18</v>
      </c>
      <c r="G27" s="2">
        <f t="shared" ref="G27:G58" si="2">SUM(I27:W27)</f>
        <v>25</v>
      </c>
      <c r="H27" s="2">
        <f>G27+H26</f>
        <v>50</v>
      </c>
      <c r="I27" s="2" cm="1">
        <f t="array" ref="I27">IF(VLOOKUP($I$25,mission!$D$46:$F$60,3,FALSE)&lt;=$F$5*60/$C$7,INDEX(mission!$E$46:$E$60,MATCH($I$25,mission!$D$46:$D$60,0)),0)</f>
        <v>5</v>
      </c>
      <c r="J27" s="2" cm="1">
        <f t="array" ref="J27">IF(VLOOKUP($J$25,mission!$D$46:$F$60,3,FALSE)&lt;=$F$5*60/$C$7,INDEX(mission!$E$46:$E$60,MATCH($J$25,mission!$D$46:$D$60,0)),0)</f>
        <v>0</v>
      </c>
      <c r="K27" s="2" cm="1">
        <f t="array" ref="K27">IF(VLOOKUP($K$25,mission!$D$46:$F$60,3,FALSE)&lt;=$F$5*60/$C$7,INDEX(mission!$E$46:$E$60,MATCH($K$25,mission!$D$46:$D$60,0)),0)</f>
        <v>0</v>
      </c>
      <c r="L27" s="2" cm="1">
        <f t="array" ref="L27">IF(VLOOKUP($L$25,mission!$D$46:$F$60,3,FALSE)&lt;=$C$8,INDEX(mission!$E$46:$E$60,MATCH($L$25,mission!$D$46:$D$60,0)),0)</f>
        <v>5</v>
      </c>
      <c r="M27" s="2" cm="1">
        <f t="array" ref="M27">IF(VLOOKUP($M$25,mission!$D$46:$F$60,3,FALSE)&lt;=$C$8,INDEX(mission!$E$46:$E$60,MATCH($M$25,mission!$D$46:$D$60,0)),0)</f>
        <v>0</v>
      </c>
      <c r="N27" s="2" cm="1">
        <f t="array" ref="N27">IF(VLOOKUP($N$25,mission!$D$46:$F$60,3,FALSE)&lt;=$C$8,INDEX(mission!$E$46:$E$60,MATCH($N$25,mission!$D$46:$D$60,0)),0)</f>
        <v>0</v>
      </c>
      <c r="O27" s="2" cm="1">
        <f t="array" ref="O27">IF(VLOOKUP($O$25,mission!$D$46:$F$60,3,FALSE)&lt;=$C$8*$C$4,INDEX(mission!$E$46:$E$60,MATCH($O$25,mission!$D$46:$D$60,0)),0)</f>
        <v>0</v>
      </c>
      <c r="P27" s="2" cm="1">
        <f t="array" ref="P27">IF(VLOOKUP($P$25,mission!$D$46:$F$60,3,FALSE)&lt;=$C$8*$C$4,INDEX(mission!$E$46:$E$60,MATCH($P$25,mission!$D$46:$D$60,0)),0)</f>
        <v>0</v>
      </c>
      <c r="Q27" s="2" cm="1">
        <f t="array" ref="Q27">IF(VLOOKUP($Q$25,mission!$D$46:$F$60,3,FALSE)&lt;=$C$8*$C$4,INDEX(mission!$E$46:$E$60,MATCH($Q$25,mission!$D$46:$D$60,0)),0)</f>
        <v>0</v>
      </c>
      <c r="R27" s="2" cm="1">
        <f t="array" ref="R27">IF(VLOOKUP($R$25,mission!$D$46:$F$60,3,FALSE)&lt;=$F$5*60/$C$7,INDEX(mission!$E$46:$E$60,MATCH($R$25,mission!$D$46:$D$60,0)),0)</f>
        <v>5</v>
      </c>
      <c r="S27" s="2" cm="1">
        <f t="array" ref="S27">IF(VLOOKUP($S$25,mission!$D$46:$F$60,3,FALSE)&lt;=$F$5*60/$C$7,INDEX(mission!$E$46:$E$60,MATCH($S$25,mission!$D$46:$D$60,0)),0)</f>
        <v>0</v>
      </c>
      <c r="T27" s="2" cm="1">
        <f t="array" ref="T27">IF(VLOOKUP($T$25,mission!$D$46:$F$60,3,FALSE)&lt;=$F$5*60,INDEX(mission!$E$46:$E$60,MATCH($T$25,mission!$D$46:$D$60,0)),0)</f>
        <v>10</v>
      </c>
      <c r="U27" s="2" cm="1">
        <f t="array" ref="U27">IF(VLOOKUP($U$25,mission!$D$46:$F$60,3,FALSE)&lt;=$F$5*60,INDEX(mission!$E$46:$E$60,MATCH($U$25,mission!$D$46:$D$60,0)),0)</f>
        <v>0</v>
      </c>
      <c r="V27" s="2" cm="1">
        <f t="array" ref="V27">IF(VLOOKUP($V$25,mission!$D$46:$F$60,3,FALSE)&lt;=$F$5*60,INDEX(mission!$E$46:$E$60,MATCH($V$25,mission!$D$46:$D$60,0)),0)</f>
        <v>0</v>
      </c>
      <c r="W27" s="2" cm="1">
        <f t="array" ref="W27">IF(VLOOKUP($W$25,mission!$D$46:$F$60,3,FALSE)&lt;=$F$5*60,INDEX(mission!$E$46:$E$60,MATCH($W$25,mission!$D$46:$D$60,0)),0)</f>
        <v>0</v>
      </c>
    </row>
    <row r="28" s="2" customFormat="1" ht="18" customHeight="1" spans="2:23">
      <c r="B28" s="2">
        <v>3</v>
      </c>
      <c r="C28" s="2">
        <f t="shared" si="0"/>
        <v>3000</v>
      </c>
      <c r="D28" s="2">
        <f t="shared" si="1"/>
        <v>88</v>
      </c>
      <c r="E28" s="2">
        <f t="shared" ref="E28:E59" si="3">D28*B28</f>
        <v>264</v>
      </c>
      <c r="F28" s="2">
        <f>ROUND(E28*VLOOKUP($B$10,总产出!$T$4:$U$14,2,FALSE),0)</f>
        <v>26</v>
      </c>
      <c r="G28" s="2">
        <f t="shared" si="2"/>
        <v>25</v>
      </c>
      <c r="H28" s="2">
        <f t="shared" ref="H28:H59" si="4">G28+H27</f>
        <v>75</v>
      </c>
      <c r="I28" s="2" cm="1">
        <f t="array" ref="I28">IF(VLOOKUP($I$25,mission!$D$46:$F$60,3,FALSE)&lt;=$F$5*60/$C$7,INDEX(mission!$E$46:$E$60,MATCH($I$25,mission!$D$46:$D$60,0)),0)</f>
        <v>5</v>
      </c>
      <c r="J28" s="2" cm="1">
        <f t="array" ref="J28">IF(VLOOKUP($J$25,mission!$D$46:$F$60,3,FALSE)&lt;=$F$5*60/$C$7,INDEX(mission!$E$46:$E$60,MATCH($J$25,mission!$D$46:$D$60,0)),0)</f>
        <v>0</v>
      </c>
      <c r="K28" s="2" cm="1">
        <f t="array" ref="K28">IF(VLOOKUP($K$25,mission!$D$46:$F$60,3,FALSE)&lt;=$F$5*60/$C$7,INDEX(mission!$E$46:$E$60,MATCH($K$25,mission!$D$46:$D$60,0)),0)</f>
        <v>0</v>
      </c>
      <c r="L28" s="2" cm="1">
        <f t="array" ref="L28">IF(VLOOKUP($L$25,mission!$D$46:$F$60,3,FALSE)&lt;=$C$8,INDEX(mission!$E$46:$E$60,MATCH($L$25,mission!$D$46:$D$60,0)),0)</f>
        <v>5</v>
      </c>
      <c r="M28" s="2" cm="1">
        <f t="array" ref="M28">IF(VLOOKUP($M$25,mission!$D$46:$F$60,3,FALSE)&lt;=$C$8,INDEX(mission!$E$46:$E$60,MATCH($M$25,mission!$D$46:$D$60,0)),0)</f>
        <v>0</v>
      </c>
      <c r="N28" s="2" cm="1">
        <f t="array" ref="N28">IF(VLOOKUP($N$25,mission!$D$46:$F$60,3,FALSE)&lt;=$C$8,INDEX(mission!$E$46:$E$60,MATCH($N$25,mission!$D$46:$D$60,0)),0)</f>
        <v>0</v>
      </c>
      <c r="O28" s="2" cm="1">
        <f t="array" ref="O28">IF(VLOOKUP($O$25,mission!$D$46:$F$60,3,FALSE)&lt;=$C$8*$C$4,INDEX(mission!$E$46:$E$60,MATCH($O$25,mission!$D$46:$D$60,0)),0)</f>
        <v>0</v>
      </c>
      <c r="P28" s="2" cm="1">
        <f t="array" ref="P28">IF(VLOOKUP($P$25,mission!$D$46:$F$60,3,FALSE)&lt;=$C$8*$C$4,INDEX(mission!$E$46:$E$60,MATCH($P$25,mission!$D$46:$D$60,0)),0)</f>
        <v>0</v>
      </c>
      <c r="Q28" s="2" cm="1">
        <f t="array" ref="Q28">IF(VLOOKUP($Q$25,mission!$D$46:$F$60,3,FALSE)&lt;=$C$8*$C$4,INDEX(mission!$E$46:$E$60,MATCH($Q$25,mission!$D$46:$D$60,0)),0)</f>
        <v>0</v>
      </c>
      <c r="R28" s="2" cm="1">
        <f t="array" ref="R28">IF(VLOOKUP($R$25,mission!$D$46:$F$60,3,FALSE)&lt;=$F$5*60/$C$7,INDEX(mission!$E$46:$E$60,MATCH($R$25,mission!$D$46:$D$60,0)),0)</f>
        <v>5</v>
      </c>
      <c r="S28" s="2" cm="1">
        <f t="array" ref="S28">IF(VLOOKUP($S$25,mission!$D$46:$F$60,3,FALSE)&lt;=$F$5*60/$C$7,INDEX(mission!$E$46:$E$60,MATCH($S$25,mission!$D$46:$D$60,0)),0)</f>
        <v>0</v>
      </c>
      <c r="T28" s="2" cm="1">
        <f t="array" ref="T28">IF(VLOOKUP($T$25,mission!$D$46:$F$60,3,FALSE)&lt;=$F$5*60,INDEX(mission!$E$46:$E$60,MATCH($T$25,mission!$D$46:$D$60,0)),0)</f>
        <v>10</v>
      </c>
      <c r="U28" s="2" cm="1">
        <f t="array" ref="U28">IF(VLOOKUP($U$25,mission!$D$46:$F$60,3,FALSE)&lt;=$F$5*60,INDEX(mission!$E$46:$E$60,MATCH($U$25,mission!$D$46:$D$60,0)),0)</f>
        <v>0</v>
      </c>
      <c r="V28" s="2" cm="1">
        <f t="array" ref="V28">IF(VLOOKUP($V$25,mission!$D$46:$F$60,3,FALSE)&lt;=$F$5*60,INDEX(mission!$E$46:$E$60,MATCH($V$25,mission!$D$46:$D$60,0)),0)</f>
        <v>0</v>
      </c>
      <c r="W28" s="2" cm="1">
        <f t="array" ref="W28">IF(VLOOKUP($W$25,mission!$D$46:$F$60,3,FALSE)&lt;=$F$5*60,INDEX(mission!$E$46:$E$60,MATCH($W$25,mission!$D$46:$D$60,0)),0)</f>
        <v>0</v>
      </c>
    </row>
    <row r="29" s="2" customFormat="1" ht="18" customHeight="1" spans="2:23">
      <c r="B29" s="2">
        <v>4</v>
      </c>
      <c r="C29" s="2">
        <f t="shared" si="0"/>
        <v>4000</v>
      </c>
      <c r="D29" s="2">
        <f t="shared" si="1"/>
        <v>88</v>
      </c>
      <c r="E29" s="2">
        <f t="shared" si="3"/>
        <v>352</v>
      </c>
      <c r="F29" s="2">
        <f>ROUND(E29*VLOOKUP($B$10,总产出!$T$4:$U$14,2,FALSE),0)</f>
        <v>35</v>
      </c>
      <c r="G29" s="2">
        <f t="shared" si="2"/>
        <v>25</v>
      </c>
      <c r="H29" s="2">
        <f t="shared" si="4"/>
        <v>100</v>
      </c>
      <c r="I29" s="2" cm="1">
        <f t="array" ref="I29">IF(VLOOKUP($I$25,mission!$D$46:$F$60,3,FALSE)&lt;=$F$5*60/$C$7,INDEX(mission!$E$46:$E$60,MATCH($I$25,mission!$D$46:$D$60,0)),0)</f>
        <v>5</v>
      </c>
      <c r="J29" s="2" cm="1">
        <f t="array" ref="J29">IF(VLOOKUP($J$25,mission!$D$46:$F$60,3,FALSE)&lt;=$F$5*60/$C$7,INDEX(mission!$E$46:$E$60,MATCH($J$25,mission!$D$46:$D$60,0)),0)</f>
        <v>0</v>
      </c>
      <c r="K29" s="2" cm="1">
        <f t="array" ref="K29">IF(VLOOKUP($K$25,mission!$D$46:$F$60,3,FALSE)&lt;=$F$5*60/$C$7,INDEX(mission!$E$46:$E$60,MATCH($K$25,mission!$D$46:$D$60,0)),0)</f>
        <v>0</v>
      </c>
      <c r="L29" s="2" cm="1">
        <f t="array" ref="L29">IF(VLOOKUP($L$25,mission!$D$46:$F$60,3,FALSE)&lt;=$C$8,INDEX(mission!$E$46:$E$60,MATCH($L$25,mission!$D$46:$D$60,0)),0)</f>
        <v>5</v>
      </c>
      <c r="M29" s="2" cm="1">
        <f t="array" ref="M29">IF(VLOOKUP($M$25,mission!$D$46:$F$60,3,FALSE)&lt;=$C$8,INDEX(mission!$E$46:$E$60,MATCH($M$25,mission!$D$46:$D$60,0)),0)</f>
        <v>0</v>
      </c>
      <c r="N29" s="2" cm="1">
        <f t="array" ref="N29">IF(VLOOKUP($N$25,mission!$D$46:$F$60,3,FALSE)&lt;=$C$8,INDEX(mission!$E$46:$E$60,MATCH($N$25,mission!$D$46:$D$60,0)),0)</f>
        <v>0</v>
      </c>
      <c r="O29" s="2" cm="1">
        <f t="array" ref="O29">IF(VLOOKUP($O$25,mission!$D$46:$F$60,3,FALSE)&lt;=$C$8*$C$4,INDEX(mission!$E$46:$E$60,MATCH($O$25,mission!$D$46:$D$60,0)),0)</f>
        <v>0</v>
      </c>
      <c r="P29" s="2" cm="1">
        <f t="array" ref="P29">IF(VLOOKUP($P$25,mission!$D$46:$F$60,3,FALSE)&lt;=$C$8*$C$4,INDEX(mission!$E$46:$E$60,MATCH($P$25,mission!$D$46:$D$60,0)),0)</f>
        <v>0</v>
      </c>
      <c r="Q29" s="2" cm="1">
        <f t="array" ref="Q29">IF(VLOOKUP($Q$25,mission!$D$46:$F$60,3,FALSE)&lt;=$C$8*$C$4,INDEX(mission!$E$46:$E$60,MATCH($Q$25,mission!$D$46:$D$60,0)),0)</f>
        <v>0</v>
      </c>
      <c r="R29" s="2" cm="1">
        <f t="array" ref="R29">IF(VLOOKUP($R$25,mission!$D$46:$F$60,3,FALSE)&lt;=$F$5*60/$C$7,INDEX(mission!$E$46:$E$60,MATCH($R$25,mission!$D$46:$D$60,0)),0)</f>
        <v>5</v>
      </c>
      <c r="S29" s="2" cm="1">
        <f t="array" ref="S29">IF(VLOOKUP($S$25,mission!$D$46:$F$60,3,FALSE)&lt;=$F$5*60/$C$7,INDEX(mission!$E$46:$E$60,MATCH($S$25,mission!$D$46:$D$60,0)),0)</f>
        <v>0</v>
      </c>
      <c r="T29" s="2" cm="1">
        <f t="array" ref="T29">IF(VLOOKUP($T$25,mission!$D$46:$F$60,3,FALSE)&lt;=$F$5*60,INDEX(mission!$E$46:$E$60,MATCH($T$25,mission!$D$46:$D$60,0)),0)</f>
        <v>10</v>
      </c>
      <c r="U29" s="2" cm="1">
        <f t="array" ref="U29">IF(VLOOKUP($U$25,mission!$D$46:$F$60,3,FALSE)&lt;=$F$5*60,INDEX(mission!$E$46:$E$60,MATCH($U$25,mission!$D$46:$D$60,0)),0)</f>
        <v>0</v>
      </c>
      <c r="V29" s="2" cm="1">
        <f t="array" ref="V29">IF(VLOOKUP($V$25,mission!$D$46:$F$60,3,FALSE)&lt;=$F$5*60,INDEX(mission!$E$46:$E$60,MATCH($V$25,mission!$D$46:$D$60,0)),0)</f>
        <v>0</v>
      </c>
      <c r="W29" s="2" cm="1">
        <f t="array" ref="W29">IF(VLOOKUP($W$25,mission!$D$46:$F$60,3,FALSE)&lt;=$F$5*60,INDEX(mission!$E$46:$E$60,MATCH($W$25,mission!$D$46:$D$60,0)),0)</f>
        <v>0</v>
      </c>
    </row>
    <row r="30" s="2" customFormat="1" ht="18" customHeight="1" spans="2:23">
      <c r="B30" s="2">
        <v>5</v>
      </c>
      <c r="C30" s="2">
        <f t="shared" si="0"/>
        <v>5000</v>
      </c>
      <c r="D30" s="2">
        <f t="shared" si="1"/>
        <v>88</v>
      </c>
      <c r="E30" s="2">
        <f t="shared" si="3"/>
        <v>440</v>
      </c>
      <c r="F30" s="2">
        <f>ROUND(E30*VLOOKUP($B$10,总产出!$T$4:$U$14,2,FALSE),0)</f>
        <v>44</v>
      </c>
      <c r="G30" s="2">
        <f t="shared" si="2"/>
        <v>25</v>
      </c>
      <c r="H30" s="2">
        <f t="shared" si="4"/>
        <v>125</v>
      </c>
      <c r="I30" s="2" cm="1">
        <f t="array" ref="I30">IF(VLOOKUP($I$25,mission!$D$46:$F$60,3,FALSE)&lt;=$F$5*60/$C$7,INDEX(mission!$E$46:$E$60,MATCH($I$25,mission!$D$46:$D$60,0)),0)</f>
        <v>5</v>
      </c>
      <c r="J30" s="2" cm="1">
        <f t="array" ref="J30">IF(VLOOKUP($J$25,mission!$D$46:$F$60,3,FALSE)&lt;=$F$5*60/$C$7,INDEX(mission!$E$46:$E$60,MATCH($J$25,mission!$D$46:$D$60,0)),0)</f>
        <v>0</v>
      </c>
      <c r="K30" s="2" cm="1">
        <f t="array" ref="K30">IF(VLOOKUP($K$25,mission!$D$46:$F$60,3,FALSE)&lt;=$F$5*60/$C$7,INDEX(mission!$E$46:$E$60,MATCH($K$25,mission!$D$46:$D$60,0)),0)</f>
        <v>0</v>
      </c>
      <c r="L30" s="2" cm="1">
        <f t="array" ref="L30">IF(VLOOKUP($L$25,mission!$D$46:$F$60,3,FALSE)&lt;=$C$8,INDEX(mission!$E$46:$E$60,MATCH($L$25,mission!$D$46:$D$60,0)),0)</f>
        <v>5</v>
      </c>
      <c r="M30" s="2" cm="1">
        <f t="array" ref="M30">IF(VLOOKUP($M$25,mission!$D$46:$F$60,3,FALSE)&lt;=$C$8,INDEX(mission!$E$46:$E$60,MATCH($M$25,mission!$D$46:$D$60,0)),0)</f>
        <v>0</v>
      </c>
      <c r="N30" s="2" cm="1">
        <f t="array" ref="N30">IF(VLOOKUP($N$25,mission!$D$46:$F$60,3,FALSE)&lt;=$C$8,INDEX(mission!$E$46:$E$60,MATCH($N$25,mission!$D$46:$D$60,0)),0)</f>
        <v>0</v>
      </c>
      <c r="O30" s="2" cm="1">
        <f t="array" ref="O30">IF(VLOOKUP($O$25,mission!$D$46:$F$60,3,FALSE)&lt;=$C$8*$C$4,INDEX(mission!$E$46:$E$60,MATCH($O$25,mission!$D$46:$D$60,0)),0)</f>
        <v>0</v>
      </c>
      <c r="P30" s="2" cm="1">
        <f t="array" ref="P30">IF(VLOOKUP($P$25,mission!$D$46:$F$60,3,FALSE)&lt;=$C$8*$C$4,INDEX(mission!$E$46:$E$60,MATCH($P$25,mission!$D$46:$D$60,0)),0)</f>
        <v>0</v>
      </c>
      <c r="Q30" s="2" cm="1">
        <f t="array" ref="Q30">IF(VLOOKUP($Q$25,mission!$D$46:$F$60,3,FALSE)&lt;=$C$8*$C$4,INDEX(mission!$E$46:$E$60,MATCH($Q$25,mission!$D$46:$D$60,0)),0)</f>
        <v>0</v>
      </c>
      <c r="R30" s="2" cm="1">
        <f t="array" ref="R30">IF(VLOOKUP($R$25,mission!$D$46:$F$60,3,FALSE)&lt;=$F$5*60/$C$7,INDEX(mission!$E$46:$E$60,MATCH($R$25,mission!$D$46:$D$60,0)),0)</f>
        <v>5</v>
      </c>
      <c r="S30" s="2" cm="1">
        <f t="array" ref="S30">IF(VLOOKUP($S$25,mission!$D$46:$F$60,3,FALSE)&lt;=$F$5*60/$C$7,INDEX(mission!$E$46:$E$60,MATCH($S$25,mission!$D$46:$D$60,0)),0)</f>
        <v>0</v>
      </c>
      <c r="T30" s="2" cm="1">
        <f t="array" ref="T30">IF(VLOOKUP($T$25,mission!$D$46:$F$60,3,FALSE)&lt;=$F$5*60,INDEX(mission!$E$46:$E$60,MATCH($T$25,mission!$D$46:$D$60,0)),0)</f>
        <v>10</v>
      </c>
      <c r="U30" s="2" cm="1">
        <f t="array" ref="U30">IF(VLOOKUP($U$25,mission!$D$46:$F$60,3,FALSE)&lt;=$F$5*60,INDEX(mission!$E$46:$E$60,MATCH($U$25,mission!$D$46:$D$60,0)),0)</f>
        <v>0</v>
      </c>
      <c r="V30" s="2" cm="1">
        <f t="array" ref="V30">IF(VLOOKUP($V$25,mission!$D$46:$F$60,3,FALSE)&lt;=$F$5*60,INDEX(mission!$E$46:$E$60,MATCH($V$25,mission!$D$46:$D$60,0)),0)</f>
        <v>0</v>
      </c>
      <c r="W30" s="2" cm="1">
        <f t="array" ref="W30">IF(VLOOKUP($W$25,mission!$D$46:$F$60,3,FALSE)&lt;=$F$5*60,INDEX(mission!$E$46:$E$60,MATCH($W$25,mission!$D$46:$D$60,0)),0)</f>
        <v>0</v>
      </c>
    </row>
    <row r="31" s="2" customFormat="1" ht="18" customHeight="1" spans="2:23">
      <c r="B31" s="2">
        <v>6</v>
      </c>
      <c r="C31" s="2">
        <f t="shared" si="0"/>
        <v>6000</v>
      </c>
      <c r="D31" s="2">
        <f t="shared" si="1"/>
        <v>88</v>
      </c>
      <c r="E31" s="2">
        <f t="shared" si="3"/>
        <v>528</v>
      </c>
      <c r="F31" s="2">
        <f>ROUND(E31*VLOOKUP($B$10,总产出!$T$4:$U$14,2,FALSE),0)</f>
        <v>53</v>
      </c>
      <c r="G31" s="2">
        <f t="shared" si="2"/>
        <v>25</v>
      </c>
      <c r="H31" s="2">
        <f t="shared" si="4"/>
        <v>150</v>
      </c>
      <c r="I31" s="2" cm="1">
        <f t="array" ref="I31">IF(VLOOKUP($I$25,mission!$D$46:$F$60,3,FALSE)&lt;=$F$5*60/$C$7,INDEX(mission!$E$46:$E$60,MATCH($I$25,mission!$D$46:$D$60,0)),0)</f>
        <v>5</v>
      </c>
      <c r="J31" s="2" cm="1">
        <f t="array" ref="J31">IF(VLOOKUP($J$25,mission!$D$46:$F$60,3,FALSE)&lt;=$F$5*60/$C$7,INDEX(mission!$E$46:$E$60,MATCH($J$25,mission!$D$46:$D$60,0)),0)</f>
        <v>0</v>
      </c>
      <c r="K31" s="2" cm="1">
        <f t="array" ref="K31">IF(VLOOKUP($K$25,mission!$D$46:$F$60,3,FALSE)&lt;=$F$5*60/$C$7,INDEX(mission!$E$46:$E$60,MATCH($K$25,mission!$D$46:$D$60,0)),0)</f>
        <v>0</v>
      </c>
      <c r="L31" s="2" cm="1">
        <f t="array" ref="L31">IF(VLOOKUP($L$25,mission!$D$46:$F$60,3,FALSE)&lt;=$C$8,INDEX(mission!$E$46:$E$60,MATCH($L$25,mission!$D$46:$D$60,0)),0)</f>
        <v>5</v>
      </c>
      <c r="M31" s="2" cm="1">
        <f t="array" ref="M31">IF(VLOOKUP($M$25,mission!$D$46:$F$60,3,FALSE)&lt;=$C$8,INDEX(mission!$E$46:$E$60,MATCH($M$25,mission!$D$46:$D$60,0)),0)</f>
        <v>0</v>
      </c>
      <c r="N31" s="2" cm="1">
        <f t="array" ref="N31">IF(VLOOKUP($N$25,mission!$D$46:$F$60,3,FALSE)&lt;=$C$8,INDEX(mission!$E$46:$E$60,MATCH($N$25,mission!$D$46:$D$60,0)),0)</f>
        <v>0</v>
      </c>
      <c r="O31" s="2" cm="1">
        <f t="array" ref="O31">IF(VLOOKUP($O$25,mission!$D$46:$F$60,3,FALSE)&lt;=$C$8*$C$4,INDEX(mission!$E$46:$E$60,MATCH($O$25,mission!$D$46:$D$60,0)),0)</f>
        <v>0</v>
      </c>
      <c r="P31" s="2" cm="1">
        <f t="array" ref="P31">IF(VLOOKUP($P$25,mission!$D$46:$F$60,3,FALSE)&lt;=$C$8*$C$4,INDEX(mission!$E$46:$E$60,MATCH($P$25,mission!$D$46:$D$60,0)),0)</f>
        <v>0</v>
      </c>
      <c r="Q31" s="2" cm="1">
        <f t="array" ref="Q31">IF(VLOOKUP($Q$25,mission!$D$46:$F$60,3,FALSE)&lt;=$C$8*$C$4,INDEX(mission!$E$46:$E$60,MATCH($Q$25,mission!$D$46:$D$60,0)),0)</f>
        <v>0</v>
      </c>
      <c r="R31" s="2" cm="1">
        <f t="array" ref="R31">IF(VLOOKUP($R$25,mission!$D$46:$F$60,3,FALSE)&lt;=$F$5*60/$C$7,INDEX(mission!$E$46:$E$60,MATCH($R$25,mission!$D$46:$D$60,0)),0)</f>
        <v>5</v>
      </c>
      <c r="S31" s="2" cm="1">
        <f t="array" ref="S31">IF(VLOOKUP($S$25,mission!$D$46:$F$60,3,FALSE)&lt;=$F$5*60/$C$7,INDEX(mission!$E$46:$E$60,MATCH($S$25,mission!$D$46:$D$60,0)),0)</f>
        <v>0</v>
      </c>
      <c r="T31" s="2" cm="1">
        <f t="array" ref="T31">IF(VLOOKUP($T$25,mission!$D$46:$F$60,3,FALSE)&lt;=$F$5*60,INDEX(mission!$E$46:$E$60,MATCH($T$25,mission!$D$46:$D$60,0)),0)</f>
        <v>10</v>
      </c>
      <c r="U31" s="2" cm="1">
        <f t="array" ref="U31">IF(VLOOKUP($U$25,mission!$D$46:$F$60,3,FALSE)&lt;=$F$5*60,INDEX(mission!$E$46:$E$60,MATCH($U$25,mission!$D$46:$D$60,0)),0)</f>
        <v>0</v>
      </c>
      <c r="V31" s="2" cm="1">
        <f t="array" ref="V31">IF(VLOOKUP($V$25,mission!$D$46:$F$60,3,FALSE)&lt;=$F$5*60,INDEX(mission!$E$46:$E$60,MATCH($V$25,mission!$D$46:$D$60,0)),0)</f>
        <v>0</v>
      </c>
      <c r="W31" s="2" cm="1">
        <f t="array" ref="W31">IF(VLOOKUP($W$25,mission!$D$46:$F$60,3,FALSE)&lt;=$F$5*60,INDEX(mission!$E$46:$E$60,MATCH($W$25,mission!$D$46:$D$60,0)),0)</f>
        <v>0</v>
      </c>
    </row>
    <row r="32" s="2" customFormat="1" ht="18" customHeight="1" spans="2:23">
      <c r="B32" s="2">
        <v>7</v>
      </c>
      <c r="C32" s="2">
        <f t="shared" si="0"/>
        <v>7000</v>
      </c>
      <c r="D32" s="2">
        <f t="shared" si="1"/>
        <v>88</v>
      </c>
      <c r="E32" s="2">
        <f t="shared" si="3"/>
        <v>616</v>
      </c>
      <c r="F32" s="2">
        <f>ROUND(E32*VLOOKUP($B$10,总产出!$T$4:$U$14,2,FALSE),0)</f>
        <v>62</v>
      </c>
      <c r="G32" s="2">
        <f t="shared" si="2"/>
        <v>25</v>
      </c>
      <c r="H32" s="2">
        <f t="shared" si="4"/>
        <v>175</v>
      </c>
      <c r="I32" s="2" cm="1">
        <f t="array" ref="I32">IF(VLOOKUP($I$25,mission!$D$46:$F$60,3,FALSE)&lt;=$F$5*60/$C$7,INDEX(mission!$E$46:$E$60,MATCH($I$25,mission!$D$46:$D$60,0)),0)</f>
        <v>5</v>
      </c>
      <c r="J32" s="2" cm="1">
        <f t="array" ref="J32">IF(VLOOKUP($J$25,mission!$D$46:$F$60,3,FALSE)&lt;=$F$5*60/$C$7,INDEX(mission!$E$46:$E$60,MATCH($J$25,mission!$D$46:$D$60,0)),0)</f>
        <v>0</v>
      </c>
      <c r="K32" s="2" cm="1">
        <f t="array" ref="K32">IF(VLOOKUP($K$25,mission!$D$46:$F$60,3,FALSE)&lt;=$F$5*60/$C$7,INDEX(mission!$E$46:$E$60,MATCH($K$25,mission!$D$46:$D$60,0)),0)</f>
        <v>0</v>
      </c>
      <c r="L32" s="2" cm="1">
        <f t="array" ref="L32">IF(VLOOKUP($L$25,mission!$D$46:$F$60,3,FALSE)&lt;=$C$8,INDEX(mission!$E$46:$E$60,MATCH($L$25,mission!$D$46:$D$60,0)),0)</f>
        <v>5</v>
      </c>
      <c r="M32" s="2" cm="1">
        <f t="array" ref="M32">IF(VLOOKUP($M$25,mission!$D$46:$F$60,3,FALSE)&lt;=$C$8,INDEX(mission!$E$46:$E$60,MATCH($M$25,mission!$D$46:$D$60,0)),0)</f>
        <v>0</v>
      </c>
      <c r="N32" s="2" cm="1">
        <f t="array" ref="N32">IF(VLOOKUP($N$25,mission!$D$46:$F$60,3,FALSE)&lt;=$C$8,INDEX(mission!$E$46:$E$60,MATCH($N$25,mission!$D$46:$D$60,0)),0)</f>
        <v>0</v>
      </c>
      <c r="O32" s="2" cm="1">
        <f t="array" ref="O32">IF(VLOOKUP($O$25,mission!$D$46:$F$60,3,FALSE)&lt;=$C$8*$C$4,INDEX(mission!$E$46:$E$60,MATCH($O$25,mission!$D$46:$D$60,0)),0)</f>
        <v>0</v>
      </c>
      <c r="P32" s="2" cm="1">
        <f t="array" ref="P32">IF(VLOOKUP($P$25,mission!$D$46:$F$60,3,FALSE)&lt;=$C$8*$C$4,INDEX(mission!$E$46:$E$60,MATCH($P$25,mission!$D$46:$D$60,0)),0)</f>
        <v>0</v>
      </c>
      <c r="Q32" s="2" cm="1">
        <f t="array" ref="Q32">IF(VLOOKUP($Q$25,mission!$D$46:$F$60,3,FALSE)&lt;=$C$8*$C$4,INDEX(mission!$E$46:$E$60,MATCH($Q$25,mission!$D$46:$D$60,0)),0)</f>
        <v>0</v>
      </c>
      <c r="R32" s="2" cm="1">
        <f t="array" ref="R32">IF(VLOOKUP($R$25,mission!$D$46:$F$60,3,FALSE)&lt;=$F$5*60/$C$7,INDEX(mission!$E$46:$E$60,MATCH($R$25,mission!$D$46:$D$60,0)),0)</f>
        <v>5</v>
      </c>
      <c r="S32" s="2" cm="1">
        <f t="array" ref="S32">IF(VLOOKUP($S$25,mission!$D$46:$F$60,3,FALSE)&lt;=$F$5*60/$C$7,INDEX(mission!$E$46:$E$60,MATCH($S$25,mission!$D$46:$D$60,0)),0)</f>
        <v>0</v>
      </c>
      <c r="T32" s="2" cm="1">
        <f t="array" ref="T32">IF(VLOOKUP($T$25,mission!$D$46:$F$60,3,FALSE)&lt;=$F$5*60,INDEX(mission!$E$46:$E$60,MATCH($T$25,mission!$D$46:$D$60,0)),0)</f>
        <v>10</v>
      </c>
      <c r="U32" s="2" cm="1">
        <f t="array" ref="U32">IF(VLOOKUP($U$25,mission!$D$46:$F$60,3,FALSE)&lt;=$F$5*60,INDEX(mission!$E$46:$E$60,MATCH($U$25,mission!$D$46:$D$60,0)),0)</f>
        <v>0</v>
      </c>
      <c r="V32" s="2" cm="1">
        <f t="array" ref="V32">IF(VLOOKUP($V$25,mission!$D$46:$F$60,3,FALSE)&lt;=$F$5*60,INDEX(mission!$E$46:$E$60,MATCH($V$25,mission!$D$46:$D$60,0)),0)</f>
        <v>0</v>
      </c>
      <c r="W32" s="2" cm="1">
        <f t="array" ref="W32">IF(VLOOKUP($W$25,mission!$D$46:$F$60,3,FALSE)&lt;=$F$5*60,INDEX(mission!$E$46:$E$60,MATCH($W$25,mission!$D$46:$D$60,0)),0)</f>
        <v>0</v>
      </c>
    </row>
    <row r="33" s="2" customFormat="1" ht="18" customHeight="1" spans="2:23">
      <c r="B33" s="2">
        <v>8</v>
      </c>
      <c r="C33" s="2">
        <f t="shared" si="0"/>
        <v>8000</v>
      </c>
      <c r="D33" s="2">
        <f t="shared" si="1"/>
        <v>88</v>
      </c>
      <c r="E33" s="2">
        <f t="shared" si="3"/>
        <v>704</v>
      </c>
      <c r="F33" s="2">
        <f>ROUND(E33*VLOOKUP($B$10,总产出!$T$4:$U$14,2,FALSE),0)</f>
        <v>70</v>
      </c>
      <c r="G33" s="2">
        <f t="shared" si="2"/>
        <v>25</v>
      </c>
      <c r="H33" s="2">
        <f t="shared" si="4"/>
        <v>200</v>
      </c>
      <c r="I33" s="2" cm="1">
        <f t="array" ref="I33">IF(VLOOKUP($I$25,mission!$D$46:$F$60,3,FALSE)&lt;=$F$5*60/$C$7,INDEX(mission!$E$46:$E$60,MATCH($I$25,mission!$D$46:$D$60,0)),0)</f>
        <v>5</v>
      </c>
      <c r="J33" s="2" cm="1">
        <f t="array" ref="J33">IF(VLOOKUP($J$25,mission!$D$46:$F$60,3,FALSE)&lt;=$F$5*60/$C$7,INDEX(mission!$E$46:$E$60,MATCH($J$25,mission!$D$46:$D$60,0)),0)</f>
        <v>0</v>
      </c>
      <c r="K33" s="2" cm="1">
        <f t="array" ref="K33">IF(VLOOKUP($K$25,mission!$D$46:$F$60,3,FALSE)&lt;=$F$5*60/$C$7,INDEX(mission!$E$46:$E$60,MATCH($K$25,mission!$D$46:$D$60,0)),0)</f>
        <v>0</v>
      </c>
      <c r="L33" s="2" cm="1">
        <f t="array" ref="L33">IF(VLOOKUP($L$25,mission!$D$46:$F$60,3,FALSE)&lt;=$C$8,INDEX(mission!$E$46:$E$60,MATCH($L$25,mission!$D$46:$D$60,0)),0)</f>
        <v>5</v>
      </c>
      <c r="M33" s="2" cm="1">
        <f t="array" ref="M33">IF(VLOOKUP($M$25,mission!$D$46:$F$60,3,FALSE)&lt;=$C$8,INDEX(mission!$E$46:$E$60,MATCH($M$25,mission!$D$46:$D$60,0)),0)</f>
        <v>0</v>
      </c>
      <c r="N33" s="2" cm="1">
        <f t="array" ref="N33">IF(VLOOKUP($N$25,mission!$D$46:$F$60,3,FALSE)&lt;=$C$8,INDEX(mission!$E$46:$E$60,MATCH($N$25,mission!$D$46:$D$60,0)),0)</f>
        <v>0</v>
      </c>
      <c r="O33" s="2" cm="1">
        <f t="array" ref="O33">IF(VLOOKUP($O$25,mission!$D$46:$F$60,3,FALSE)&lt;=$C$8*$C$4,INDEX(mission!$E$46:$E$60,MATCH($O$25,mission!$D$46:$D$60,0)),0)</f>
        <v>0</v>
      </c>
      <c r="P33" s="2" cm="1">
        <f t="array" ref="P33">IF(VLOOKUP($P$25,mission!$D$46:$F$60,3,FALSE)&lt;=$C$8*$C$4,INDEX(mission!$E$46:$E$60,MATCH($P$25,mission!$D$46:$D$60,0)),0)</f>
        <v>0</v>
      </c>
      <c r="Q33" s="2" cm="1">
        <f t="array" ref="Q33">IF(VLOOKUP($Q$25,mission!$D$46:$F$60,3,FALSE)&lt;=$C$8*$C$4,INDEX(mission!$E$46:$E$60,MATCH($Q$25,mission!$D$46:$D$60,0)),0)</f>
        <v>0</v>
      </c>
      <c r="R33" s="2" cm="1">
        <f t="array" ref="R33">IF(VLOOKUP($R$25,mission!$D$46:$F$60,3,FALSE)&lt;=$F$5*60/$C$7,INDEX(mission!$E$46:$E$60,MATCH($R$25,mission!$D$46:$D$60,0)),0)</f>
        <v>5</v>
      </c>
      <c r="S33" s="2" cm="1">
        <f t="array" ref="S33">IF(VLOOKUP($S$25,mission!$D$46:$F$60,3,FALSE)&lt;=$F$5*60/$C$7,INDEX(mission!$E$46:$E$60,MATCH($S$25,mission!$D$46:$D$60,0)),0)</f>
        <v>0</v>
      </c>
      <c r="T33" s="2" cm="1">
        <f t="array" ref="T33">IF(VLOOKUP($T$25,mission!$D$46:$F$60,3,FALSE)&lt;=$F$5*60,INDEX(mission!$E$46:$E$60,MATCH($T$25,mission!$D$46:$D$60,0)),0)</f>
        <v>10</v>
      </c>
      <c r="U33" s="2" cm="1">
        <f t="array" ref="U33">IF(VLOOKUP($U$25,mission!$D$46:$F$60,3,FALSE)&lt;=$F$5*60,INDEX(mission!$E$46:$E$60,MATCH($U$25,mission!$D$46:$D$60,0)),0)</f>
        <v>0</v>
      </c>
      <c r="V33" s="2" cm="1">
        <f t="array" ref="V33">IF(VLOOKUP($V$25,mission!$D$46:$F$60,3,FALSE)&lt;=$F$5*60,INDEX(mission!$E$46:$E$60,MATCH($V$25,mission!$D$46:$D$60,0)),0)</f>
        <v>0</v>
      </c>
      <c r="W33" s="2" cm="1">
        <f t="array" ref="W33">IF(VLOOKUP($W$25,mission!$D$46:$F$60,3,FALSE)&lt;=$F$5*60,INDEX(mission!$E$46:$E$60,MATCH($W$25,mission!$D$46:$D$60,0)),0)</f>
        <v>0</v>
      </c>
    </row>
    <row r="34" s="2" customFormat="1" ht="18" customHeight="1" spans="2:23">
      <c r="B34" s="2">
        <v>9</v>
      </c>
      <c r="C34" s="2">
        <f t="shared" si="0"/>
        <v>9000</v>
      </c>
      <c r="D34" s="2">
        <f t="shared" si="1"/>
        <v>88</v>
      </c>
      <c r="E34" s="2">
        <f t="shared" si="3"/>
        <v>792</v>
      </c>
      <c r="F34" s="2">
        <f>ROUND(E34*VLOOKUP($B$10,总产出!$T$4:$U$14,2,FALSE),0)</f>
        <v>79</v>
      </c>
      <c r="G34" s="2">
        <f t="shared" si="2"/>
        <v>25</v>
      </c>
      <c r="H34" s="2">
        <f t="shared" si="4"/>
        <v>225</v>
      </c>
      <c r="I34" s="2" cm="1">
        <f t="array" ref="I34">IF(VLOOKUP($I$25,mission!$D$46:$F$60,3,FALSE)&lt;=$F$5*60/$C$7,INDEX(mission!$E$46:$E$60,MATCH($I$25,mission!$D$46:$D$60,0)),0)</f>
        <v>5</v>
      </c>
      <c r="J34" s="2" cm="1">
        <f t="array" ref="J34">IF(VLOOKUP($J$25,mission!$D$46:$F$60,3,FALSE)&lt;=$F$5*60/$C$7,INDEX(mission!$E$46:$E$60,MATCH($J$25,mission!$D$46:$D$60,0)),0)</f>
        <v>0</v>
      </c>
      <c r="K34" s="2" cm="1">
        <f t="array" ref="K34">IF(VLOOKUP($K$25,mission!$D$46:$F$60,3,FALSE)&lt;=$F$5*60/$C$7,INDEX(mission!$E$46:$E$60,MATCH($K$25,mission!$D$46:$D$60,0)),0)</f>
        <v>0</v>
      </c>
      <c r="L34" s="2" cm="1">
        <f t="array" ref="L34">IF(VLOOKUP($L$25,mission!$D$46:$F$60,3,FALSE)&lt;=$C$8,INDEX(mission!$E$46:$E$60,MATCH($L$25,mission!$D$46:$D$60,0)),0)</f>
        <v>5</v>
      </c>
      <c r="M34" s="2" cm="1">
        <f t="array" ref="M34">IF(VLOOKUP($M$25,mission!$D$46:$F$60,3,FALSE)&lt;=$C$8,INDEX(mission!$E$46:$E$60,MATCH($M$25,mission!$D$46:$D$60,0)),0)</f>
        <v>0</v>
      </c>
      <c r="N34" s="2" cm="1">
        <f t="array" ref="N34">IF(VLOOKUP($N$25,mission!$D$46:$F$60,3,FALSE)&lt;=$C$8,INDEX(mission!$E$46:$E$60,MATCH($N$25,mission!$D$46:$D$60,0)),0)</f>
        <v>0</v>
      </c>
      <c r="O34" s="2" cm="1">
        <f t="array" ref="O34">IF(VLOOKUP($O$25,mission!$D$46:$F$60,3,FALSE)&lt;=$C$8*$C$4,INDEX(mission!$E$46:$E$60,MATCH($O$25,mission!$D$46:$D$60,0)),0)</f>
        <v>0</v>
      </c>
      <c r="P34" s="2" cm="1">
        <f t="array" ref="P34">IF(VLOOKUP($P$25,mission!$D$46:$F$60,3,FALSE)&lt;=$C$8*$C$4,INDEX(mission!$E$46:$E$60,MATCH($P$25,mission!$D$46:$D$60,0)),0)</f>
        <v>0</v>
      </c>
      <c r="Q34" s="2" cm="1">
        <f t="array" ref="Q34">IF(VLOOKUP($Q$25,mission!$D$46:$F$60,3,FALSE)&lt;=$C$8*$C$4,INDEX(mission!$E$46:$E$60,MATCH($Q$25,mission!$D$46:$D$60,0)),0)</f>
        <v>0</v>
      </c>
      <c r="R34" s="2" cm="1">
        <f t="array" ref="R34">IF(VLOOKUP($R$25,mission!$D$46:$F$60,3,FALSE)&lt;=$F$5*60/$C$7,INDEX(mission!$E$46:$E$60,MATCH($R$25,mission!$D$46:$D$60,0)),0)</f>
        <v>5</v>
      </c>
      <c r="S34" s="2" cm="1">
        <f t="array" ref="S34">IF(VLOOKUP($S$25,mission!$D$46:$F$60,3,FALSE)&lt;=$F$5*60/$C$7,INDEX(mission!$E$46:$E$60,MATCH($S$25,mission!$D$46:$D$60,0)),0)</f>
        <v>0</v>
      </c>
      <c r="T34" s="2" cm="1">
        <f t="array" ref="T34">IF(VLOOKUP($T$25,mission!$D$46:$F$60,3,FALSE)&lt;=$F$5*60,INDEX(mission!$E$46:$E$60,MATCH($T$25,mission!$D$46:$D$60,0)),0)</f>
        <v>10</v>
      </c>
      <c r="U34" s="2" cm="1">
        <f t="array" ref="U34">IF(VLOOKUP($U$25,mission!$D$46:$F$60,3,FALSE)&lt;=$F$5*60,INDEX(mission!$E$46:$E$60,MATCH($U$25,mission!$D$46:$D$60,0)),0)</f>
        <v>0</v>
      </c>
      <c r="V34" s="2" cm="1">
        <f t="array" ref="V34">IF(VLOOKUP($V$25,mission!$D$46:$F$60,3,FALSE)&lt;=$F$5*60,INDEX(mission!$E$46:$E$60,MATCH($V$25,mission!$D$46:$D$60,0)),0)</f>
        <v>0</v>
      </c>
      <c r="W34" s="2" cm="1">
        <f t="array" ref="W34">IF(VLOOKUP($W$25,mission!$D$46:$F$60,3,FALSE)&lt;=$F$5*60,INDEX(mission!$E$46:$E$60,MATCH($W$25,mission!$D$46:$D$60,0)),0)</f>
        <v>0</v>
      </c>
    </row>
    <row r="35" s="2" customFormat="1" ht="18" customHeight="1" spans="2:23">
      <c r="B35" s="2">
        <v>10</v>
      </c>
      <c r="C35" s="2">
        <f t="shared" si="0"/>
        <v>10000</v>
      </c>
      <c r="D35" s="2">
        <f t="shared" si="1"/>
        <v>88</v>
      </c>
      <c r="E35" s="2">
        <f t="shared" si="3"/>
        <v>880</v>
      </c>
      <c r="F35" s="2">
        <f>ROUND(E35*VLOOKUP($B$10,总产出!$T$4:$U$14,2,FALSE),0)</f>
        <v>88</v>
      </c>
      <c r="G35" s="2">
        <f t="shared" si="2"/>
        <v>25</v>
      </c>
      <c r="H35" s="2">
        <f t="shared" si="4"/>
        <v>250</v>
      </c>
      <c r="I35" s="2" cm="1">
        <f t="array" ref="I35">IF(VLOOKUP($I$25,mission!$D$46:$F$60,3,FALSE)&lt;=$F$5*60/$C$7,INDEX(mission!$E$46:$E$60,MATCH($I$25,mission!$D$46:$D$60,0)),0)</f>
        <v>5</v>
      </c>
      <c r="J35" s="2" cm="1">
        <f t="array" ref="J35">IF(VLOOKUP($J$25,mission!$D$46:$F$60,3,FALSE)&lt;=$F$5*60/$C$7,INDEX(mission!$E$46:$E$60,MATCH($J$25,mission!$D$46:$D$60,0)),0)</f>
        <v>0</v>
      </c>
      <c r="K35" s="2" cm="1">
        <f t="array" ref="K35">IF(VLOOKUP($K$25,mission!$D$46:$F$60,3,FALSE)&lt;=$F$5*60/$C$7,INDEX(mission!$E$46:$E$60,MATCH($K$25,mission!$D$46:$D$60,0)),0)</f>
        <v>0</v>
      </c>
      <c r="L35" s="2" cm="1">
        <f t="array" ref="L35">IF(VLOOKUP($L$25,mission!$D$46:$F$60,3,FALSE)&lt;=$C$8,INDEX(mission!$E$46:$E$60,MATCH($L$25,mission!$D$46:$D$60,0)),0)</f>
        <v>5</v>
      </c>
      <c r="M35" s="2" cm="1">
        <f t="array" ref="M35">IF(VLOOKUP($M$25,mission!$D$46:$F$60,3,FALSE)&lt;=$C$8,INDEX(mission!$E$46:$E$60,MATCH($M$25,mission!$D$46:$D$60,0)),0)</f>
        <v>0</v>
      </c>
      <c r="N35" s="2" cm="1">
        <f t="array" ref="N35">IF(VLOOKUP($N$25,mission!$D$46:$F$60,3,FALSE)&lt;=$C$8,INDEX(mission!$E$46:$E$60,MATCH($N$25,mission!$D$46:$D$60,0)),0)</f>
        <v>0</v>
      </c>
      <c r="O35" s="2" cm="1">
        <f t="array" ref="O35">IF(VLOOKUP($O$25,mission!$D$46:$F$60,3,FALSE)&lt;=$C$8*$C$4,INDEX(mission!$E$46:$E$60,MATCH($O$25,mission!$D$46:$D$60,0)),0)</f>
        <v>0</v>
      </c>
      <c r="P35" s="2" cm="1">
        <f t="array" ref="P35">IF(VLOOKUP($P$25,mission!$D$46:$F$60,3,FALSE)&lt;=$C$8*$C$4,INDEX(mission!$E$46:$E$60,MATCH($P$25,mission!$D$46:$D$60,0)),0)</f>
        <v>0</v>
      </c>
      <c r="Q35" s="2" cm="1">
        <f t="array" ref="Q35">IF(VLOOKUP($Q$25,mission!$D$46:$F$60,3,FALSE)&lt;=$C$8*$C$4,INDEX(mission!$E$46:$E$60,MATCH($Q$25,mission!$D$46:$D$60,0)),0)</f>
        <v>0</v>
      </c>
      <c r="R35" s="2" cm="1">
        <f t="array" ref="R35">IF(VLOOKUP($R$25,mission!$D$46:$F$60,3,FALSE)&lt;=$F$5*60/$C$7,INDEX(mission!$E$46:$E$60,MATCH($R$25,mission!$D$46:$D$60,0)),0)</f>
        <v>5</v>
      </c>
      <c r="S35" s="2" cm="1">
        <f t="array" ref="S35">IF(VLOOKUP($S$25,mission!$D$46:$F$60,3,FALSE)&lt;=$F$5*60/$C$7,INDEX(mission!$E$46:$E$60,MATCH($S$25,mission!$D$46:$D$60,0)),0)</f>
        <v>0</v>
      </c>
      <c r="T35" s="2" cm="1">
        <f t="array" ref="T35">IF(VLOOKUP($T$25,mission!$D$46:$F$60,3,FALSE)&lt;=$F$5*60,INDEX(mission!$E$46:$E$60,MATCH($T$25,mission!$D$46:$D$60,0)),0)</f>
        <v>10</v>
      </c>
      <c r="U35" s="2" cm="1">
        <f t="array" ref="U35">IF(VLOOKUP($U$25,mission!$D$46:$F$60,3,FALSE)&lt;=$F$5*60,INDEX(mission!$E$46:$E$60,MATCH($U$25,mission!$D$46:$D$60,0)),0)</f>
        <v>0</v>
      </c>
      <c r="V35" s="2" cm="1">
        <f t="array" ref="V35">IF(VLOOKUP($V$25,mission!$D$46:$F$60,3,FALSE)&lt;=$F$5*60,INDEX(mission!$E$46:$E$60,MATCH($V$25,mission!$D$46:$D$60,0)),0)</f>
        <v>0</v>
      </c>
      <c r="W35" s="2" cm="1">
        <f t="array" ref="W35">IF(VLOOKUP($W$25,mission!$D$46:$F$60,3,FALSE)&lt;=$F$5*60,INDEX(mission!$E$46:$E$60,MATCH($W$25,mission!$D$46:$D$60,0)),0)</f>
        <v>0</v>
      </c>
    </row>
    <row r="36" s="2" customFormat="1" ht="18" customHeight="1" spans="2:23">
      <c r="B36" s="2">
        <v>11</v>
      </c>
      <c r="C36" s="2">
        <f t="shared" si="0"/>
        <v>11000</v>
      </c>
      <c r="D36" s="2">
        <f t="shared" si="1"/>
        <v>88</v>
      </c>
      <c r="E36" s="2">
        <f t="shared" si="3"/>
        <v>968</v>
      </c>
      <c r="F36" s="2">
        <f>ROUND(E36*VLOOKUP($B$10,总产出!$T$4:$U$14,2,FALSE),0)</f>
        <v>97</v>
      </c>
      <c r="G36" s="2">
        <f t="shared" si="2"/>
        <v>25</v>
      </c>
      <c r="H36" s="2">
        <f t="shared" si="4"/>
        <v>275</v>
      </c>
      <c r="I36" s="2" cm="1">
        <f t="array" ref="I36">IF(VLOOKUP($I$25,mission!$D$46:$F$60,3,FALSE)&lt;=$F$5*60/$C$7,INDEX(mission!$E$46:$E$60,MATCH($I$25,mission!$D$46:$D$60,0)),0)</f>
        <v>5</v>
      </c>
      <c r="J36" s="2" cm="1">
        <f t="array" ref="J36">IF(VLOOKUP($J$25,mission!$D$46:$F$60,3,FALSE)&lt;=$F$5*60/$C$7,INDEX(mission!$E$46:$E$60,MATCH($J$25,mission!$D$46:$D$60,0)),0)</f>
        <v>0</v>
      </c>
      <c r="K36" s="2" cm="1">
        <f t="array" ref="K36">IF(VLOOKUP($K$25,mission!$D$46:$F$60,3,FALSE)&lt;=$F$5*60/$C$7,INDEX(mission!$E$46:$E$60,MATCH($K$25,mission!$D$46:$D$60,0)),0)</f>
        <v>0</v>
      </c>
      <c r="L36" s="2" cm="1">
        <f t="array" ref="L36">IF(VLOOKUP($L$25,mission!$D$46:$F$60,3,FALSE)&lt;=$C$8,INDEX(mission!$E$46:$E$60,MATCH($L$25,mission!$D$46:$D$60,0)),0)</f>
        <v>5</v>
      </c>
      <c r="M36" s="2" cm="1">
        <f t="array" ref="M36">IF(VLOOKUP($M$25,mission!$D$46:$F$60,3,FALSE)&lt;=$C$8,INDEX(mission!$E$46:$E$60,MATCH($M$25,mission!$D$46:$D$60,0)),0)</f>
        <v>0</v>
      </c>
      <c r="N36" s="2" cm="1">
        <f t="array" ref="N36">IF(VLOOKUP($N$25,mission!$D$46:$F$60,3,FALSE)&lt;=$C$8,INDEX(mission!$E$46:$E$60,MATCH($N$25,mission!$D$46:$D$60,0)),0)</f>
        <v>0</v>
      </c>
      <c r="O36" s="2" cm="1">
        <f t="array" ref="O36">IF(VLOOKUP($O$25,mission!$D$46:$F$60,3,FALSE)&lt;=$C$8*$C$4,INDEX(mission!$E$46:$E$60,MATCH($O$25,mission!$D$46:$D$60,0)),0)</f>
        <v>0</v>
      </c>
      <c r="P36" s="2" cm="1">
        <f t="array" ref="P36">IF(VLOOKUP($P$25,mission!$D$46:$F$60,3,FALSE)&lt;=$C$8*$C$4,INDEX(mission!$E$46:$E$60,MATCH($P$25,mission!$D$46:$D$60,0)),0)</f>
        <v>0</v>
      </c>
      <c r="Q36" s="2" cm="1">
        <f t="array" ref="Q36">IF(VLOOKUP($Q$25,mission!$D$46:$F$60,3,FALSE)&lt;=$C$8*$C$4,INDEX(mission!$E$46:$E$60,MATCH($Q$25,mission!$D$46:$D$60,0)),0)</f>
        <v>0</v>
      </c>
      <c r="R36" s="2" cm="1">
        <f t="array" ref="R36">IF(VLOOKUP($R$25,mission!$D$46:$F$60,3,FALSE)&lt;=$F$5*60/$C$7,INDEX(mission!$E$46:$E$60,MATCH($R$25,mission!$D$46:$D$60,0)),0)</f>
        <v>5</v>
      </c>
      <c r="S36" s="2" cm="1">
        <f t="array" ref="S36">IF(VLOOKUP($S$25,mission!$D$46:$F$60,3,FALSE)&lt;=$F$5*60/$C$7,INDEX(mission!$E$46:$E$60,MATCH($S$25,mission!$D$46:$D$60,0)),0)</f>
        <v>0</v>
      </c>
      <c r="T36" s="2" cm="1">
        <f t="array" ref="T36">IF(VLOOKUP($T$25,mission!$D$46:$F$60,3,FALSE)&lt;=$F$5*60,INDEX(mission!$E$46:$E$60,MATCH($T$25,mission!$D$46:$D$60,0)),0)</f>
        <v>10</v>
      </c>
      <c r="U36" s="2" cm="1">
        <f t="array" ref="U36">IF(VLOOKUP($U$25,mission!$D$46:$F$60,3,FALSE)&lt;=$F$5*60,INDEX(mission!$E$46:$E$60,MATCH($U$25,mission!$D$46:$D$60,0)),0)</f>
        <v>0</v>
      </c>
      <c r="V36" s="2" cm="1">
        <f t="array" ref="V36">IF(VLOOKUP($V$25,mission!$D$46:$F$60,3,FALSE)&lt;=$F$5*60,INDEX(mission!$E$46:$E$60,MATCH($V$25,mission!$D$46:$D$60,0)),0)</f>
        <v>0</v>
      </c>
      <c r="W36" s="2" cm="1">
        <f t="array" ref="W36">IF(VLOOKUP($W$25,mission!$D$46:$F$60,3,FALSE)&lt;=$F$5*60,INDEX(mission!$E$46:$E$60,MATCH($W$25,mission!$D$46:$D$60,0)),0)</f>
        <v>0</v>
      </c>
    </row>
    <row r="37" s="2" customFormat="1" ht="18" customHeight="1" spans="2:23">
      <c r="B37" s="2">
        <v>12</v>
      </c>
      <c r="C37" s="2">
        <f t="shared" si="0"/>
        <v>12000</v>
      </c>
      <c r="D37" s="2">
        <f t="shared" ref="D37:D46" si="5">ROUND($C$8*$C$5+$C$8*$C$4*(1-$L$5),0)</f>
        <v>88</v>
      </c>
      <c r="E37" s="2">
        <f t="shared" si="3"/>
        <v>1056</v>
      </c>
      <c r="F37" s="2">
        <f>ROUND(E37*VLOOKUP($B$10,总产出!$T$4:$U$14,2,FALSE),0)</f>
        <v>106</v>
      </c>
      <c r="G37" s="2">
        <f t="shared" si="2"/>
        <v>25</v>
      </c>
      <c r="H37" s="2">
        <f t="shared" si="4"/>
        <v>300</v>
      </c>
      <c r="I37" s="2" cm="1">
        <f t="array" ref="I37">IF(VLOOKUP($I$25,mission!$D$46:$F$60,3,FALSE)&lt;=$F$5*60/$C$7,INDEX(mission!$E$46:$E$60,MATCH($I$25,mission!$D$46:$D$60,0)),0)</f>
        <v>5</v>
      </c>
      <c r="J37" s="2" cm="1">
        <f t="array" ref="J37">IF(VLOOKUP($J$25,mission!$D$46:$F$60,3,FALSE)&lt;=$F$5*60/$C$7,INDEX(mission!$E$46:$E$60,MATCH($J$25,mission!$D$46:$D$60,0)),0)</f>
        <v>0</v>
      </c>
      <c r="K37" s="2" cm="1">
        <f t="array" ref="K37">IF(VLOOKUP($K$25,mission!$D$46:$F$60,3,FALSE)&lt;=$F$5*60/$C$7,INDEX(mission!$E$46:$E$60,MATCH($K$25,mission!$D$46:$D$60,0)),0)</f>
        <v>0</v>
      </c>
      <c r="L37" s="2" cm="1">
        <f t="array" ref="L37">IF(VLOOKUP($L$25,mission!$D$46:$F$60,3,FALSE)&lt;=$C$8,INDEX(mission!$E$46:$E$60,MATCH($L$25,mission!$D$46:$D$60,0)),0)</f>
        <v>5</v>
      </c>
      <c r="M37" s="2" cm="1">
        <f t="array" ref="M37">IF(VLOOKUP($M$25,mission!$D$46:$F$60,3,FALSE)&lt;=$C$8,INDEX(mission!$E$46:$E$60,MATCH($M$25,mission!$D$46:$D$60,0)),0)</f>
        <v>0</v>
      </c>
      <c r="N37" s="2" cm="1">
        <f t="array" ref="N37">IF(VLOOKUP($N$25,mission!$D$46:$F$60,3,FALSE)&lt;=$C$8,INDEX(mission!$E$46:$E$60,MATCH($N$25,mission!$D$46:$D$60,0)),0)</f>
        <v>0</v>
      </c>
      <c r="O37" s="2" cm="1">
        <f t="array" ref="O37">IF(VLOOKUP($O$25,mission!$D$46:$F$60,3,FALSE)&lt;=$C$8*$C$4,INDEX(mission!$E$46:$E$60,MATCH($O$25,mission!$D$46:$D$60,0)),0)</f>
        <v>0</v>
      </c>
      <c r="P37" s="2" cm="1">
        <f t="array" ref="P37">IF(VLOOKUP($P$25,mission!$D$46:$F$60,3,FALSE)&lt;=$C$8*$C$4,INDEX(mission!$E$46:$E$60,MATCH($P$25,mission!$D$46:$D$60,0)),0)</f>
        <v>0</v>
      </c>
      <c r="Q37" s="2" cm="1">
        <f t="array" ref="Q37">IF(VLOOKUP($Q$25,mission!$D$46:$F$60,3,FALSE)&lt;=$C$8*$C$4,INDEX(mission!$E$46:$E$60,MATCH($Q$25,mission!$D$46:$D$60,0)),0)</f>
        <v>0</v>
      </c>
      <c r="R37" s="2" cm="1">
        <f t="array" ref="R37">IF(VLOOKUP($R$25,mission!$D$46:$F$60,3,FALSE)&lt;=$F$5*60/$C$7,INDEX(mission!$E$46:$E$60,MATCH($R$25,mission!$D$46:$D$60,0)),0)</f>
        <v>5</v>
      </c>
      <c r="S37" s="2" cm="1">
        <f t="array" ref="S37">IF(VLOOKUP($S$25,mission!$D$46:$F$60,3,FALSE)&lt;=$F$5*60/$C$7,INDEX(mission!$E$46:$E$60,MATCH($S$25,mission!$D$46:$D$60,0)),0)</f>
        <v>0</v>
      </c>
      <c r="T37" s="2" cm="1">
        <f t="array" ref="T37">IF(VLOOKUP($T$25,mission!$D$46:$F$60,3,FALSE)&lt;=$F$5*60,INDEX(mission!$E$46:$E$60,MATCH($T$25,mission!$D$46:$D$60,0)),0)</f>
        <v>10</v>
      </c>
      <c r="U37" s="2" cm="1">
        <f t="array" ref="U37">IF(VLOOKUP($U$25,mission!$D$46:$F$60,3,FALSE)&lt;=$F$5*60,INDEX(mission!$E$46:$E$60,MATCH($U$25,mission!$D$46:$D$60,0)),0)</f>
        <v>0</v>
      </c>
      <c r="V37" s="2" cm="1">
        <f t="array" ref="V37">IF(VLOOKUP($V$25,mission!$D$46:$F$60,3,FALSE)&lt;=$F$5*60,INDEX(mission!$E$46:$E$60,MATCH($V$25,mission!$D$46:$D$60,0)),0)</f>
        <v>0</v>
      </c>
      <c r="W37" s="2" cm="1">
        <f t="array" ref="W37">IF(VLOOKUP($W$25,mission!$D$46:$F$60,3,FALSE)&lt;=$F$5*60,INDEX(mission!$E$46:$E$60,MATCH($W$25,mission!$D$46:$D$60,0)),0)</f>
        <v>0</v>
      </c>
    </row>
    <row r="38" s="2" customFormat="1" ht="18" customHeight="1" spans="2:23">
      <c r="B38" s="2">
        <v>13</v>
      </c>
      <c r="C38" s="2">
        <f t="shared" si="0"/>
        <v>13000</v>
      </c>
      <c r="D38" s="2">
        <f t="shared" si="5"/>
        <v>88</v>
      </c>
      <c r="E38" s="2">
        <f t="shared" si="3"/>
        <v>1144</v>
      </c>
      <c r="F38" s="2">
        <f>ROUND(E38*VLOOKUP($B$10,总产出!$T$4:$U$14,2,FALSE),0)</f>
        <v>114</v>
      </c>
      <c r="G38" s="2">
        <f t="shared" si="2"/>
        <v>25</v>
      </c>
      <c r="H38" s="2">
        <f t="shared" si="4"/>
        <v>325</v>
      </c>
      <c r="I38" s="2" cm="1">
        <f t="array" ref="I38">IF(VLOOKUP($I$25,mission!$D$46:$F$60,3,FALSE)&lt;=$F$5*60/$C$7,INDEX(mission!$E$46:$E$60,MATCH($I$25,mission!$D$46:$D$60,0)),0)</f>
        <v>5</v>
      </c>
      <c r="J38" s="2" cm="1">
        <f t="array" ref="J38">IF(VLOOKUP($J$25,mission!$D$46:$F$60,3,FALSE)&lt;=$F$5*60/$C$7,INDEX(mission!$E$46:$E$60,MATCH($J$25,mission!$D$46:$D$60,0)),0)</f>
        <v>0</v>
      </c>
      <c r="K38" s="2" cm="1">
        <f t="array" ref="K38">IF(VLOOKUP($K$25,mission!$D$46:$F$60,3,FALSE)&lt;=$F$5*60/$C$7,INDEX(mission!$E$46:$E$60,MATCH($K$25,mission!$D$46:$D$60,0)),0)</f>
        <v>0</v>
      </c>
      <c r="L38" s="2" cm="1">
        <f t="array" ref="L38">IF(VLOOKUP($L$25,mission!$D$46:$F$60,3,FALSE)&lt;=$C$8,INDEX(mission!$E$46:$E$60,MATCH($L$25,mission!$D$46:$D$60,0)),0)</f>
        <v>5</v>
      </c>
      <c r="M38" s="2" cm="1">
        <f t="array" ref="M38">IF(VLOOKUP($M$25,mission!$D$46:$F$60,3,FALSE)&lt;=$C$8,INDEX(mission!$E$46:$E$60,MATCH($M$25,mission!$D$46:$D$60,0)),0)</f>
        <v>0</v>
      </c>
      <c r="N38" s="2" cm="1">
        <f t="array" ref="N38">IF(VLOOKUP($N$25,mission!$D$46:$F$60,3,FALSE)&lt;=$C$8,INDEX(mission!$E$46:$E$60,MATCH($N$25,mission!$D$46:$D$60,0)),0)</f>
        <v>0</v>
      </c>
      <c r="O38" s="2" cm="1">
        <f t="array" ref="O38">IF(VLOOKUP($O$25,mission!$D$46:$F$60,3,FALSE)&lt;=$C$8*$C$4,INDEX(mission!$E$46:$E$60,MATCH($O$25,mission!$D$46:$D$60,0)),0)</f>
        <v>0</v>
      </c>
      <c r="P38" s="2" cm="1">
        <f t="array" ref="P38">IF(VLOOKUP($P$25,mission!$D$46:$F$60,3,FALSE)&lt;=$C$8*$C$4,INDEX(mission!$E$46:$E$60,MATCH($P$25,mission!$D$46:$D$60,0)),0)</f>
        <v>0</v>
      </c>
      <c r="Q38" s="2" cm="1">
        <f t="array" ref="Q38">IF(VLOOKUP($Q$25,mission!$D$46:$F$60,3,FALSE)&lt;=$C$8*$C$4,INDEX(mission!$E$46:$E$60,MATCH($Q$25,mission!$D$46:$D$60,0)),0)</f>
        <v>0</v>
      </c>
      <c r="R38" s="2" cm="1">
        <f t="array" ref="R38">IF(VLOOKUP($R$25,mission!$D$46:$F$60,3,FALSE)&lt;=$F$5*60/$C$7,INDEX(mission!$E$46:$E$60,MATCH($R$25,mission!$D$46:$D$60,0)),0)</f>
        <v>5</v>
      </c>
      <c r="S38" s="2" cm="1">
        <f t="array" ref="S38">IF(VLOOKUP($S$25,mission!$D$46:$F$60,3,FALSE)&lt;=$F$5*60/$C$7,INDEX(mission!$E$46:$E$60,MATCH($S$25,mission!$D$46:$D$60,0)),0)</f>
        <v>0</v>
      </c>
      <c r="T38" s="2" cm="1">
        <f t="array" ref="T38">IF(VLOOKUP($T$25,mission!$D$46:$F$60,3,FALSE)&lt;=$F$5*60,INDEX(mission!$E$46:$E$60,MATCH($T$25,mission!$D$46:$D$60,0)),0)</f>
        <v>10</v>
      </c>
      <c r="U38" s="2" cm="1">
        <f t="array" ref="U38">IF(VLOOKUP($U$25,mission!$D$46:$F$60,3,FALSE)&lt;=$F$5*60,INDEX(mission!$E$46:$E$60,MATCH($U$25,mission!$D$46:$D$60,0)),0)</f>
        <v>0</v>
      </c>
      <c r="V38" s="2" cm="1">
        <f t="array" ref="V38">IF(VLOOKUP($V$25,mission!$D$46:$F$60,3,FALSE)&lt;=$F$5*60,INDEX(mission!$E$46:$E$60,MATCH($V$25,mission!$D$46:$D$60,0)),0)</f>
        <v>0</v>
      </c>
      <c r="W38" s="2" cm="1">
        <f t="array" ref="W38">IF(VLOOKUP($W$25,mission!$D$46:$F$60,3,FALSE)&lt;=$F$5*60,INDEX(mission!$E$46:$E$60,MATCH($W$25,mission!$D$46:$D$60,0)),0)</f>
        <v>0</v>
      </c>
    </row>
    <row r="39" s="2" customFormat="1" ht="18" customHeight="1" spans="2:23">
      <c r="B39" s="2">
        <v>14</v>
      </c>
      <c r="C39" s="2">
        <f t="shared" si="0"/>
        <v>14000</v>
      </c>
      <c r="D39" s="2">
        <f t="shared" si="5"/>
        <v>88</v>
      </c>
      <c r="E39" s="2">
        <f t="shared" si="3"/>
        <v>1232</v>
      </c>
      <c r="F39" s="2">
        <f>ROUND(E39*VLOOKUP($B$10,总产出!$T$4:$U$14,2,FALSE),0)</f>
        <v>123</v>
      </c>
      <c r="G39" s="2">
        <f t="shared" si="2"/>
        <v>25</v>
      </c>
      <c r="H39" s="2">
        <f t="shared" si="4"/>
        <v>350</v>
      </c>
      <c r="I39" s="2" cm="1">
        <f t="array" ref="I39">IF(VLOOKUP($I$25,mission!$D$46:$F$60,3,FALSE)&lt;=$F$5*60/$C$7,INDEX(mission!$E$46:$E$60,MATCH($I$25,mission!$D$46:$D$60,0)),0)</f>
        <v>5</v>
      </c>
      <c r="J39" s="2" cm="1">
        <f t="array" ref="J39">IF(VLOOKUP($J$25,mission!$D$46:$F$60,3,FALSE)&lt;=$F$5*60/$C$7,INDEX(mission!$E$46:$E$60,MATCH($J$25,mission!$D$46:$D$60,0)),0)</f>
        <v>0</v>
      </c>
      <c r="K39" s="2" cm="1">
        <f t="array" ref="K39">IF(VLOOKUP($K$25,mission!$D$46:$F$60,3,FALSE)&lt;=$F$5*60/$C$7,INDEX(mission!$E$46:$E$60,MATCH($K$25,mission!$D$46:$D$60,0)),0)</f>
        <v>0</v>
      </c>
      <c r="L39" s="2" cm="1">
        <f t="array" ref="L39">IF(VLOOKUP($L$25,mission!$D$46:$F$60,3,FALSE)&lt;=$C$8,INDEX(mission!$E$46:$E$60,MATCH($L$25,mission!$D$46:$D$60,0)),0)</f>
        <v>5</v>
      </c>
      <c r="M39" s="2" cm="1">
        <f t="array" ref="M39">IF(VLOOKUP($M$25,mission!$D$46:$F$60,3,FALSE)&lt;=$C$8,INDEX(mission!$E$46:$E$60,MATCH($M$25,mission!$D$46:$D$60,0)),0)</f>
        <v>0</v>
      </c>
      <c r="N39" s="2" cm="1">
        <f t="array" ref="N39">IF(VLOOKUP($N$25,mission!$D$46:$F$60,3,FALSE)&lt;=$C$8,INDEX(mission!$E$46:$E$60,MATCH($N$25,mission!$D$46:$D$60,0)),0)</f>
        <v>0</v>
      </c>
      <c r="O39" s="2" cm="1">
        <f t="array" ref="O39">IF(VLOOKUP($O$25,mission!$D$46:$F$60,3,FALSE)&lt;=$C$8*$C$4,INDEX(mission!$E$46:$E$60,MATCH($O$25,mission!$D$46:$D$60,0)),0)</f>
        <v>0</v>
      </c>
      <c r="P39" s="2" cm="1">
        <f t="array" ref="P39">IF(VLOOKUP($P$25,mission!$D$46:$F$60,3,FALSE)&lt;=$C$8*$C$4,INDEX(mission!$E$46:$E$60,MATCH($P$25,mission!$D$46:$D$60,0)),0)</f>
        <v>0</v>
      </c>
      <c r="Q39" s="2" cm="1">
        <f t="array" ref="Q39">IF(VLOOKUP($Q$25,mission!$D$46:$F$60,3,FALSE)&lt;=$C$8*$C$4,INDEX(mission!$E$46:$E$60,MATCH($Q$25,mission!$D$46:$D$60,0)),0)</f>
        <v>0</v>
      </c>
      <c r="R39" s="2" cm="1">
        <f t="array" ref="R39">IF(VLOOKUP($R$25,mission!$D$46:$F$60,3,FALSE)&lt;=$F$5*60/$C$7,INDEX(mission!$E$46:$E$60,MATCH($R$25,mission!$D$46:$D$60,0)),0)</f>
        <v>5</v>
      </c>
      <c r="S39" s="2" cm="1">
        <f t="array" ref="S39">IF(VLOOKUP($S$25,mission!$D$46:$F$60,3,FALSE)&lt;=$F$5*60/$C$7,INDEX(mission!$E$46:$E$60,MATCH($S$25,mission!$D$46:$D$60,0)),0)</f>
        <v>0</v>
      </c>
      <c r="T39" s="2" cm="1">
        <f t="array" ref="T39">IF(VLOOKUP($T$25,mission!$D$46:$F$60,3,FALSE)&lt;=$F$5*60,INDEX(mission!$E$46:$E$60,MATCH($T$25,mission!$D$46:$D$60,0)),0)</f>
        <v>10</v>
      </c>
      <c r="U39" s="2" cm="1">
        <f t="array" ref="U39">IF(VLOOKUP($U$25,mission!$D$46:$F$60,3,FALSE)&lt;=$F$5*60,INDEX(mission!$E$46:$E$60,MATCH($U$25,mission!$D$46:$D$60,0)),0)</f>
        <v>0</v>
      </c>
      <c r="V39" s="2" cm="1">
        <f t="array" ref="V39">IF(VLOOKUP($V$25,mission!$D$46:$F$60,3,FALSE)&lt;=$F$5*60,INDEX(mission!$E$46:$E$60,MATCH($V$25,mission!$D$46:$D$60,0)),0)</f>
        <v>0</v>
      </c>
      <c r="W39" s="2" cm="1">
        <f t="array" ref="W39">IF(VLOOKUP($W$25,mission!$D$46:$F$60,3,FALSE)&lt;=$F$5*60,INDEX(mission!$E$46:$E$60,MATCH($W$25,mission!$D$46:$D$60,0)),0)</f>
        <v>0</v>
      </c>
    </row>
    <row r="40" s="2" customFormat="1" ht="18" customHeight="1" spans="2:23">
      <c r="B40" s="2">
        <v>15</v>
      </c>
      <c r="C40" s="2">
        <f t="shared" si="0"/>
        <v>15000</v>
      </c>
      <c r="D40" s="2">
        <f t="shared" si="5"/>
        <v>88</v>
      </c>
      <c r="E40" s="2">
        <f t="shared" si="3"/>
        <v>1320</v>
      </c>
      <c r="F40" s="2">
        <f>ROUND(E40*VLOOKUP($B$10,总产出!$T$4:$U$14,2,FALSE),0)</f>
        <v>132</v>
      </c>
      <c r="G40" s="2">
        <f t="shared" si="2"/>
        <v>25</v>
      </c>
      <c r="H40" s="2">
        <f t="shared" si="4"/>
        <v>375</v>
      </c>
      <c r="I40" s="2" cm="1">
        <f t="array" ref="I40">IF(VLOOKUP($I$25,mission!$D$46:$F$60,3,FALSE)&lt;=$F$5*60/$C$7,INDEX(mission!$E$46:$E$60,MATCH($I$25,mission!$D$46:$D$60,0)),0)</f>
        <v>5</v>
      </c>
      <c r="J40" s="2" cm="1">
        <f t="array" ref="J40">IF(VLOOKUP($J$25,mission!$D$46:$F$60,3,FALSE)&lt;=$F$5*60/$C$7,INDEX(mission!$E$46:$E$60,MATCH($J$25,mission!$D$46:$D$60,0)),0)</f>
        <v>0</v>
      </c>
      <c r="K40" s="2" cm="1">
        <f t="array" ref="K40">IF(VLOOKUP($K$25,mission!$D$46:$F$60,3,FALSE)&lt;=$F$5*60/$C$7,INDEX(mission!$E$46:$E$60,MATCH($K$25,mission!$D$46:$D$60,0)),0)</f>
        <v>0</v>
      </c>
      <c r="L40" s="2" cm="1">
        <f t="array" ref="L40">IF(VLOOKUP($L$25,mission!$D$46:$F$60,3,FALSE)&lt;=$C$8,INDEX(mission!$E$46:$E$60,MATCH($L$25,mission!$D$46:$D$60,0)),0)</f>
        <v>5</v>
      </c>
      <c r="M40" s="2" cm="1">
        <f t="array" ref="M40">IF(VLOOKUP($M$25,mission!$D$46:$F$60,3,FALSE)&lt;=$C$8,INDEX(mission!$E$46:$E$60,MATCH($M$25,mission!$D$46:$D$60,0)),0)</f>
        <v>0</v>
      </c>
      <c r="N40" s="2" cm="1">
        <f t="array" ref="N40">IF(VLOOKUP($N$25,mission!$D$46:$F$60,3,FALSE)&lt;=$C$8,INDEX(mission!$E$46:$E$60,MATCH($N$25,mission!$D$46:$D$60,0)),0)</f>
        <v>0</v>
      </c>
      <c r="O40" s="2" cm="1">
        <f t="array" ref="O40">IF(VLOOKUP($O$25,mission!$D$46:$F$60,3,FALSE)&lt;=$C$8*$C$4,INDEX(mission!$E$46:$E$60,MATCH($O$25,mission!$D$46:$D$60,0)),0)</f>
        <v>0</v>
      </c>
      <c r="P40" s="2" cm="1">
        <f t="array" ref="P40">IF(VLOOKUP($P$25,mission!$D$46:$F$60,3,FALSE)&lt;=$C$8*$C$4,INDEX(mission!$E$46:$E$60,MATCH($P$25,mission!$D$46:$D$60,0)),0)</f>
        <v>0</v>
      </c>
      <c r="Q40" s="2" cm="1">
        <f t="array" ref="Q40">IF(VLOOKUP($Q$25,mission!$D$46:$F$60,3,FALSE)&lt;=$C$8*$C$4,INDEX(mission!$E$46:$E$60,MATCH($Q$25,mission!$D$46:$D$60,0)),0)</f>
        <v>0</v>
      </c>
      <c r="R40" s="2" cm="1">
        <f t="array" ref="R40">IF(VLOOKUP($R$25,mission!$D$46:$F$60,3,FALSE)&lt;=$F$5*60/$C$7,INDEX(mission!$E$46:$E$60,MATCH($R$25,mission!$D$46:$D$60,0)),0)</f>
        <v>5</v>
      </c>
      <c r="S40" s="2" cm="1">
        <f t="array" ref="S40">IF(VLOOKUP($S$25,mission!$D$46:$F$60,3,FALSE)&lt;=$F$5*60/$C$7,INDEX(mission!$E$46:$E$60,MATCH($S$25,mission!$D$46:$D$60,0)),0)</f>
        <v>0</v>
      </c>
      <c r="T40" s="2" cm="1">
        <f t="array" ref="T40">IF(VLOOKUP($T$25,mission!$D$46:$F$60,3,FALSE)&lt;=$F$5*60,INDEX(mission!$E$46:$E$60,MATCH($T$25,mission!$D$46:$D$60,0)),0)</f>
        <v>10</v>
      </c>
      <c r="U40" s="2" cm="1">
        <f t="array" ref="U40">IF(VLOOKUP($U$25,mission!$D$46:$F$60,3,FALSE)&lt;=$F$5*60,INDEX(mission!$E$46:$E$60,MATCH($U$25,mission!$D$46:$D$60,0)),0)</f>
        <v>0</v>
      </c>
      <c r="V40" s="2" cm="1">
        <f t="array" ref="V40">IF(VLOOKUP($V$25,mission!$D$46:$F$60,3,FALSE)&lt;=$F$5*60,INDEX(mission!$E$46:$E$60,MATCH($V$25,mission!$D$46:$D$60,0)),0)</f>
        <v>0</v>
      </c>
      <c r="W40" s="2" cm="1">
        <f t="array" ref="W40">IF(VLOOKUP($W$25,mission!$D$46:$F$60,3,FALSE)&lt;=$F$5*60,INDEX(mission!$E$46:$E$60,MATCH($W$25,mission!$D$46:$D$60,0)),0)</f>
        <v>0</v>
      </c>
    </row>
    <row r="41" s="2" customFormat="1" ht="18" customHeight="1" spans="2:23">
      <c r="B41" s="2">
        <v>16</v>
      </c>
      <c r="C41" s="2">
        <f t="shared" si="0"/>
        <v>16000</v>
      </c>
      <c r="D41" s="2">
        <f t="shared" si="5"/>
        <v>88</v>
      </c>
      <c r="E41" s="2">
        <f t="shared" si="3"/>
        <v>1408</v>
      </c>
      <c r="F41" s="2">
        <f>ROUND(E41*VLOOKUP($B$10,总产出!$T$4:$U$14,2,FALSE),0)</f>
        <v>141</v>
      </c>
      <c r="G41" s="2">
        <f t="shared" si="2"/>
        <v>25</v>
      </c>
      <c r="H41" s="2">
        <f t="shared" si="4"/>
        <v>400</v>
      </c>
      <c r="I41" s="2" cm="1">
        <f t="array" ref="I41">IF(VLOOKUP($I$25,mission!$D$46:$F$60,3,FALSE)&lt;=$F$5*60/$C$7,INDEX(mission!$E$46:$E$60,MATCH($I$25,mission!$D$46:$D$60,0)),0)</f>
        <v>5</v>
      </c>
      <c r="J41" s="2" cm="1">
        <f t="array" ref="J41">IF(VLOOKUP($J$25,mission!$D$46:$F$60,3,FALSE)&lt;=$F$5*60/$C$7,INDEX(mission!$E$46:$E$60,MATCH($J$25,mission!$D$46:$D$60,0)),0)</f>
        <v>0</v>
      </c>
      <c r="K41" s="2" cm="1">
        <f t="array" ref="K41">IF(VLOOKUP($K$25,mission!$D$46:$F$60,3,FALSE)&lt;=$F$5*60/$C$7,INDEX(mission!$E$46:$E$60,MATCH($K$25,mission!$D$46:$D$60,0)),0)</f>
        <v>0</v>
      </c>
      <c r="L41" s="2" cm="1">
        <f t="array" ref="L41">IF(VLOOKUP($L$25,mission!$D$46:$F$60,3,FALSE)&lt;=$C$8,INDEX(mission!$E$46:$E$60,MATCH($L$25,mission!$D$46:$D$60,0)),0)</f>
        <v>5</v>
      </c>
      <c r="M41" s="2" cm="1">
        <f t="array" ref="M41">IF(VLOOKUP($M$25,mission!$D$46:$F$60,3,FALSE)&lt;=$C$8,INDEX(mission!$E$46:$E$60,MATCH($M$25,mission!$D$46:$D$60,0)),0)</f>
        <v>0</v>
      </c>
      <c r="N41" s="2" cm="1">
        <f t="array" ref="N41">IF(VLOOKUP($N$25,mission!$D$46:$F$60,3,FALSE)&lt;=$C$8,INDEX(mission!$E$46:$E$60,MATCH($N$25,mission!$D$46:$D$60,0)),0)</f>
        <v>0</v>
      </c>
      <c r="O41" s="2" cm="1">
        <f t="array" ref="O41">IF(VLOOKUP($O$25,mission!$D$46:$F$60,3,FALSE)&lt;=$C$8*$C$4,INDEX(mission!$E$46:$E$60,MATCH($O$25,mission!$D$46:$D$60,0)),0)</f>
        <v>0</v>
      </c>
      <c r="P41" s="2" cm="1">
        <f t="array" ref="P41">IF(VLOOKUP($P$25,mission!$D$46:$F$60,3,FALSE)&lt;=$C$8*$C$4,INDEX(mission!$E$46:$E$60,MATCH($P$25,mission!$D$46:$D$60,0)),0)</f>
        <v>0</v>
      </c>
      <c r="Q41" s="2" cm="1">
        <f t="array" ref="Q41">IF(VLOOKUP($Q$25,mission!$D$46:$F$60,3,FALSE)&lt;=$C$8*$C$4,INDEX(mission!$E$46:$E$60,MATCH($Q$25,mission!$D$46:$D$60,0)),0)</f>
        <v>0</v>
      </c>
      <c r="R41" s="2" cm="1">
        <f t="array" ref="R41">IF(VLOOKUP($R$25,mission!$D$46:$F$60,3,FALSE)&lt;=$F$5*60/$C$7,INDEX(mission!$E$46:$E$60,MATCH($R$25,mission!$D$46:$D$60,0)),0)</f>
        <v>5</v>
      </c>
      <c r="S41" s="2" cm="1">
        <f t="array" ref="S41">IF(VLOOKUP($S$25,mission!$D$46:$F$60,3,FALSE)&lt;=$F$5*60/$C$7,INDEX(mission!$E$46:$E$60,MATCH($S$25,mission!$D$46:$D$60,0)),0)</f>
        <v>0</v>
      </c>
      <c r="T41" s="2" cm="1">
        <f t="array" ref="T41">IF(VLOOKUP($T$25,mission!$D$46:$F$60,3,FALSE)&lt;=$F$5*60,INDEX(mission!$E$46:$E$60,MATCH($T$25,mission!$D$46:$D$60,0)),0)</f>
        <v>10</v>
      </c>
      <c r="U41" s="2" cm="1">
        <f t="array" ref="U41">IF(VLOOKUP($U$25,mission!$D$46:$F$60,3,FALSE)&lt;=$F$5*60,INDEX(mission!$E$46:$E$60,MATCH($U$25,mission!$D$46:$D$60,0)),0)</f>
        <v>0</v>
      </c>
      <c r="V41" s="2" cm="1">
        <f t="array" ref="V41">IF(VLOOKUP($V$25,mission!$D$46:$F$60,3,FALSE)&lt;=$F$5*60,INDEX(mission!$E$46:$E$60,MATCH($V$25,mission!$D$46:$D$60,0)),0)</f>
        <v>0</v>
      </c>
      <c r="W41" s="2" cm="1">
        <f t="array" ref="W41">IF(VLOOKUP($W$25,mission!$D$46:$F$60,3,FALSE)&lt;=$F$5*60,INDEX(mission!$E$46:$E$60,MATCH($W$25,mission!$D$46:$D$60,0)),0)</f>
        <v>0</v>
      </c>
    </row>
    <row r="42" s="2" customFormat="1" ht="18" customHeight="1" spans="2:23">
      <c r="B42" s="2">
        <v>17</v>
      </c>
      <c r="C42" s="2">
        <f t="shared" si="0"/>
        <v>17000</v>
      </c>
      <c r="D42" s="2">
        <f t="shared" si="5"/>
        <v>88</v>
      </c>
      <c r="E42" s="2">
        <f t="shared" si="3"/>
        <v>1496</v>
      </c>
      <c r="F42" s="2">
        <f>ROUND(E42*VLOOKUP($B$10,总产出!$T$4:$U$14,2,FALSE),0)</f>
        <v>150</v>
      </c>
      <c r="G42" s="2">
        <f t="shared" si="2"/>
        <v>25</v>
      </c>
      <c r="H42" s="2">
        <f t="shared" si="4"/>
        <v>425</v>
      </c>
      <c r="I42" s="2" cm="1">
        <f t="array" ref="I42">IF(VLOOKUP($I$25,mission!$D$46:$F$60,3,FALSE)&lt;=$F$5*60/$C$7,INDEX(mission!$E$46:$E$60,MATCH($I$25,mission!$D$46:$D$60,0)),0)</f>
        <v>5</v>
      </c>
      <c r="J42" s="2" cm="1">
        <f t="array" ref="J42">IF(VLOOKUP($J$25,mission!$D$46:$F$60,3,FALSE)&lt;=$F$5*60/$C$7,INDEX(mission!$E$46:$E$60,MATCH($J$25,mission!$D$46:$D$60,0)),0)</f>
        <v>0</v>
      </c>
      <c r="K42" s="2" cm="1">
        <f t="array" ref="K42">IF(VLOOKUP($K$25,mission!$D$46:$F$60,3,FALSE)&lt;=$F$5*60/$C$7,INDEX(mission!$E$46:$E$60,MATCH($K$25,mission!$D$46:$D$60,0)),0)</f>
        <v>0</v>
      </c>
      <c r="L42" s="2" cm="1">
        <f t="array" ref="L42">IF(VLOOKUP($L$25,mission!$D$46:$F$60,3,FALSE)&lt;=$C$8,INDEX(mission!$E$46:$E$60,MATCH($L$25,mission!$D$46:$D$60,0)),0)</f>
        <v>5</v>
      </c>
      <c r="M42" s="2" cm="1">
        <f t="array" ref="M42">IF(VLOOKUP($M$25,mission!$D$46:$F$60,3,FALSE)&lt;=$C$8,INDEX(mission!$E$46:$E$60,MATCH($M$25,mission!$D$46:$D$60,0)),0)</f>
        <v>0</v>
      </c>
      <c r="N42" s="2" cm="1">
        <f t="array" ref="N42">IF(VLOOKUP($N$25,mission!$D$46:$F$60,3,FALSE)&lt;=$C$8,INDEX(mission!$E$46:$E$60,MATCH($N$25,mission!$D$46:$D$60,0)),0)</f>
        <v>0</v>
      </c>
      <c r="O42" s="2" cm="1">
        <f t="array" ref="O42">IF(VLOOKUP($O$25,mission!$D$46:$F$60,3,FALSE)&lt;=$C$8*$C$4,INDEX(mission!$E$46:$E$60,MATCH($O$25,mission!$D$46:$D$60,0)),0)</f>
        <v>0</v>
      </c>
      <c r="P42" s="2" cm="1">
        <f t="array" ref="P42">IF(VLOOKUP($P$25,mission!$D$46:$F$60,3,FALSE)&lt;=$C$8*$C$4,INDEX(mission!$E$46:$E$60,MATCH($P$25,mission!$D$46:$D$60,0)),0)</f>
        <v>0</v>
      </c>
      <c r="Q42" s="2" cm="1">
        <f t="array" ref="Q42">IF(VLOOKUP($Q$25,mission!$D$46:$F$60,3,FALSE)&lt;=$C$8*$C$4,INDEX(mission!$E$46:$E$60,MATCH($Q$25,mission!$D$46:$D$60,0)),0)</f>
        <v>0</v>
      </c>
      <c r="R42" s="2" cm="1">
        <f t="array" ref="R42">IF(VLOOKUP($R$25,mission!$D$46:$F$60,3,FALSE)&lt;=$F$5*60/$C$7,INDEX(mission!$E$46:$E$60,MATCH($R$25,mission!$D$46:$D$60,0)),0)</f>
        <v>5</v>
      </c>
      <c r="S42" s="2" cm="1">
        <f t="array" ref="S42">IF(VLOOKUP($S$25,mission!$D$46:$F$60,3,FALSE)&lt;=$F$5*60/$C$7,INDEX(mission!$E$46:$E$60,MATCH($S$25,mission!$D$46:$D$60,0)),0)</f>
        <v>0</v>
      </c>
      <c r="T42" s="2" cm="1">
        <f t="array" ref="T42">IF(VLOOKUP($T$25,mission!$D$46:$F$60,3,FALSE)&lt;=$F$5*60,INDEX(mission!$E$46:$E$60,MATCH($T$25,mission!$D$46:$D$60,0)),0)</f>
        <v>10</v>
      </c>
      <c r="U42" s="2" cm="1">
        <f t="array" ref="U42">IF(VLOOKUP($U$25,mission!$D$46:$F$60,3,FALSE)&lt;=$F$5*60,INDEX(mission!$E$46:$E$60,MATCH($U$25,mission!$D$46:$D$60,0)),0)</f>
        <v>0</v>
      </c>
      <c r="V42" s="2" cm="1">
        <f t="array" ref="V42">IF(VLOOKUP($V$25,mission!$D$46:$F$60,3,FALSE)&lt;=$F$5*60,INDEX(mission!$E$46:$E$60,MATCH($V$25,mission!$D$46:$D$60,0)),0)</f>
        <v>0</v>
      </c>
      <c r="W42" s="2" cm="1">
        <f t="array" ref="W42">IF(VLOOKUP($W$25,mission!$D$46:$F$60,3,FALSE)&lt;=$F$5*60,INDEX(mission!$E$46:$E$60,MATCH($W$25,mission!$D$46:$D$60,0)),0)</f>
        <v>0</v>
      </c>
    </row>
    <row r="43" s="2" customFormat="1" ht="18" customHeight="1" spans="2:23">
      <c r="B43" s="2">
        <v>18</v>
      </c>
      <c r="C43" s="2">
        <f t="shared" si="0"/>
        <v>18000</v>
      </c>
      <c r="D43" s="2">
        <f t="shared" si="5"/>
        <v>88</v>
      </c>
      <c r="E43" s="2">
        <f t="shared" si="3"/>
        <v>1584</v>
      </c>
      <c r="F43" s="2">
        <f>ROUND(E43*VLOOKUP($B$10,总产出!$T$4:$U$14,2,FALSE),0)</f>
        <v>158</v>
      </c>
      <c r="G43" s="2">
        <f t="shared" si="2"/>
        <v>25</v>
      </c>
      <c r="H43" s="2">
        <f t="shared" si="4"/>
        <v>450</v>
      </c>
      <c r="I43" s="2" cm="1">
        <f t="array" ref="I43">IF(VLOOKUP($I$25,mission!$D$46:$F$60,3,FALSE)&lt;=$F$5*60/$C$7,INDEX(mission!$E$46:$E$60,MATCH($I$25,mission!$D$46:$D$60,0)),0)</f>
        <v>5</v>
      </c>
      <c r="J43" s="2" cm="1">
        <f t="array" ref="J43">IF(VLOOKUP($J$25,mission!$D$46:$F$60,3,FALSE)&lt;=$F$5*60/$C$7,INDEX(mission!$E$46:$E$60,MATCH($J$25,mission!$D$46:$D$60,0)),0)</f>
        <v>0</v>
      </c>
      <c r="K43" s="2" cm="1">
        <f t="array" ref="K43">IF(VLOOKUP($K$25,mission!$D$46:$F$60,3,FALSE)&lt;=$F$5*60/$C$7,INDEX(mission!$E$46:$E$60,MATCH($K$25,mission!$D$46:$D$60,0)),0)</f>
        <v>0</v>
      </c>
      <c r="L43" s="2" cm="1">
        <f t="array" ref="L43">IF(VLOOKUP($L$25,mission!$D$46:$F$60,3,FALSE)&lt;=$C$8,INDEX(mission!$E$46:$E$60,MATCH($L$25,mission!$D$46:$D$60,0)),0)</f>
        <v>5</v>
      </c>
      <c r="M43" s="2" cm="1">
        <f t="array" ref="M43">IF(VLOOKUP($M$25,mission!$D$46:$F$60,3,FALSE)&lt;=$C$8,INDEX(mission!$E$46:$E$60,MATCH($M$25,mission!$D$46:$D$60,0)),0)</f>
        <v>0</v>
      </c>
      <c r="N43" s="2" cm="1">
        <f t="array" ref="N43">IF(VLOOKUP($N$25,mission!$D$46:$F$60,3,FALSE)&lt;=$C$8,INDEX(mission!$E$46:$E$60,MATCH($N$25,mission!$D$46:$D$60,0)),0)</f>
        <v>0</v>
      </c>
      <c r="O43" s="2" cm="1">
        <f t="array" ref="O43">IF(VLOOKUP($O$25,mission!$D$46:$F$60,3,FALSE)&lt;=$C$8*$C$4,INDEX(mission!$E$46:$E$60,MATCH($O$25,mission!$D$46:$D$60,0)),0)</f>
        <v>0</v>
      </c>
      <c r="P43" s="2" cm="1">
        <f t="array" ref="P43">IF(VLOOKUP($P$25,mission!$D$46:$F$60,3,FALSE)&lt;=$C$8*$C$4,INDEX(mission!$E$46:$E$60,MATCH($P$25,mission!$D$46:$D$60,0)),0)</f>
        <v>0</v>
      </c>
      <c r="Q43" s="2" cm="1">
        <f t="array" ref="Q43">IF(VLOOKUP($Q$25,mission!$D$46:$F$60,3,FALSE)&lt;=$C$8*$C$4,INDEX(mission!$E$46:$E$60,MATCH($Q$25,mission!$D$46:$D$60,0)),0)</f>
        <v>0</v>
      </c>
      <c r="R43" s="2" cm="1">
        <f t="array" ref="R43">IF(VLOOKUP($R$25,mission!$D$46:$F$60,3,FALSE)&lt;=$F$5*60/$C$7,INDEX(mission!$E$46:$E$60,MATCH($R$25,mission!$D$46:$D$60,0)),0)</f>
        <v>5</v>
      </c>
      <c r="S43" s="2" cm="1">
        <f t="array" ref="S43">IF(VLOOKUP($S$25,mission!$D$46:$F$60,3,FALSE)&lt;=$F$5*60/$C$7,INDEX(mission!$E$46:$E$60,MATCH($S$25,mission!$D$46:$D$60,0)),0)</f>
        <v>0</v>
      </c>
      <c r="T43" s="2" cm="1">
        <f t="array" ref="T43">IF(VLOOKUP($T$25,mission!$D$46:$F$60,3,FALSE)&lt;=$F$5*60,INDEX(mission!$E$46:$E$60,MATCH($T$25,mission!$D$46:$D$60,0)),0)</f>
        <v>10</v>
      </c>
      <c r="U43" s="2" cm="1">
        <f t="array" ref="U43">IF(VLOOKUP($U$25,mission!$D$46:$F$60,3,FALSE)&lt;=$F$5*60,INDEX(mission!$E$46:$E$60,MATCH($U$25,mission!$D$46:$D$60,0)),0)</f>
        <v>0</v>
      </c>
      <c r="V43" s="2" cm="1">
        <f t="array" ref="V43">IF(VLOOKUP($V$25,mission!$D$46:$F$60,3,FALSE)&lt;=$F$5*60,INDEX(mission!$E$46:$E$60,MATCH($V$25,mission!$D$46:$D$60,0)),0)</f>
        <v>0</v>
      </c>
      <c r="W43" s="2" cm="1">
        <f t="array" ref="W43">IF(VLOOKUP($W$25,mission!$D$46:$F$60,3,FALSE)&lt;=$F$5*60,INDEX(mission!$E$46:$E$60,MATCH($W$25,mission!$D$46:$D$60,0)),0)</f>
        <v>0</v>
      </c>
    </row>
    <row r="44" s="2" customFormat="1" ht="18" customHeight="1" spans="2:23">
      <c r="B44" s="2">
        <v>19</v>
      </c>
      <c r="C44" s="2">
        <f t="shared" si="0"/>
        <v>19000</v>
      </c>
      <c r="D44" s="2">
        <f t="shared" si="5"/>
        <v>88</v>
      </c>
      <c r="E44" s="2">
        <f t="shared" si="3"/>
        <v>1672</v>
      </c>
      <c r="F44" s="2">
        <f>ROUND(E44*VLOOKUP($B$10,总产出!$T$4:$U$14,2,FALSE),0)</f>
        <v>167</v>
      </c>
      <c r="G44" s="2">
        <f t="shared" si="2"/>
        <v>25</v>
      </c>
      <c r="H44" s="2">
        <f t="shared" si="4"/>
        <v>475</v>
      </c>
      <c r="I44" s="2" cm="1">
        <f t="array" ref="I44">IF(VLOOKUP($I$25,mission!$D$46:$F$60,3,FALSE)&lt;=$F$5*60/$C$7,INDEX(mission!$E$46:$E$60,MATCH($I$25,mission!$D$46:$D$60,0)),0)</f>
        <v>5</v>
      </c>
      <c r="J44" s="2" cm="1">
        <f t="array" ref="J44">IF(VLOOKUP($J$25,mission!$D$46:$F$60,3,FALSE)&lt;=$F$5*60/$C$7,INDEX(mission!$E$46:$E$60,MATCH($J$25,mission!$D$46:$D$60,0)),0)</f>
        <v>0</v>
      </c>
      <c r="K44" s="2" cm="1">
        <f t="array" ref="K44">IF(VLOOKUP($K$25,mission!$D$46:$F$60,3,FALSE)&lt;=$F$5*60/$C$7,INDEX(mission!$E$46:$E$60,MATCH($K$25,mission!$D$46:$D$60,0)),0)</f>
        <v>0</v>
      </c>
      <c r="L44" s="2" cm="1">
        <f t="array" ref="L44">IF(VLOOKUP($L$25,mission!$D$46:$F$60,3,FALSE)&lt;=$C$8,INDEX(mission!$E$46:$E$60,MATCH($L$25,mission!$D$46:$D$60,0)),0)</f>
        <v>5</v>
      </c>
      <c r="M44" s="2" cm="1">
        <f t="array" ref="M44">IF(VLOOKUP($M$25,mission!$D$46:$F$60,3,FALSE)&lt;=$C$8,INDEX(mission!$E$46:$E$60,MATCH($M$25,mission!$D$46:$D$60,0)),0)</f>
        <v>0</v>
      </c>
      <c r="N44" s="2" cm="1">
        <f t="array" ref="N44">IF(VLOOKUP($N$25,mission!$D$46:$F$60,3,FALSE)&lt;=$C$8,INDEX(mission!$E$46:$E$60,MATCH($N$25,mission!$D$46:$D$60,0)),0)</f>
        <v>0</v>
      </c>
      <c r="O44" s="2" cm="1">
        <f t="array" ref="O44">IF(VLOOKUP($O$25,mission!$D$46:$F$60,3,FALSE)&lt;=$C$8*$C$4,INDEX(mission!$E$46:$E$60,MATCH($O$25,mission!$D$46:$D$60,0)),0)</f>
        <v>0</v>
      </c>
      <c r="P44" s="2" cm="1">
        <f t="array" ref="P44">IF(VLOOKUP($P$25,mission!$D$46:$F$60,3,FALSE)&lt;=$C$8*$C$4,INDEX(mission!$E$46:$E$60,MATCH($P$25,mission!$D$46:$D$60,0)),0)</f>
        <v>0</v>
      </c>
      <c r="Q44" s="2" cm="1">
        <f t="array" ref="Q44">IF(VLOOKUP($Q$25,mission!$D$46:$F$60,3,FALSE)&lt;=$C$8*$C$4,INDEX(mission!$E$46:$E$60,MATCH($Q$25,mission!$D$46:$D$60,0)),0)</f>
        <v>0</v>
      </c>
      <c r="R44" s="2" cm="1">
        <f t="array" ref="R44">IF(VLOOKUP($R$25,mission!$D$46:$F$60,3,FALSE)&lt;=$F$5*60/$C$7,INDEX(mission!$E$46:$E$60,MATCH($R$25,mission!$D$46:$D$60,0)),0)</f>
        <v>5</v>
      </c>
      <c r="S44" s="2" cm="1">
        <f t="array" ref="S44">IF(VLOOKUP($S$25,mission!$D$46:$F$60,3,FALSE)&lt;=$F$5*60/$C$7,INDEX(mission!$E$46:$E$60,MATCH($S$25,mission!$D$46:$D$60,0)),0)</f>
        <v>0</v>
      </c>
      <c r="T44" s="2" cm="1">
        <f t="array" ref="T44">IF(VLOOKUP($T$25,mission!$D$46:$F$60,3,FALSE)&lt;=$F$5*60,INDEX(mission!$E$46:$E$60,MATCH($T$25,mission!$D$46:$D$60,0)),0)</f>
        <v>10</v>
      </c>
      <c r="U44" s="2" cm="1">
        <f t="array" ref="U44">IF(VLOOKUP($U$25,mission!$D$46:$F$60,3,FALSE)&lt;=$F$5*60,INDEX(mission!$E$46:$E$60,MATCH($U$25,mission!$D$46:$D$60,0)),0)</f>
        <v>0</v>
      </c>
      <c r="V44" s="2" cm="1">
        <f t="array" ref="V44">IF(VLOOKUP($V$25,mission!$D$46:$F$60,3,FALSE)&lt;=$F$5*60,INDEX(mission!$E$46:$E$60,MATCH($V$25,mission!$D$46:$D$60,0)),0)</f>
        <v>0</v>
      </c>
      <c r="W44" s="2" cm="1">
        <f t="array" ref="W44">IF(VLOOKUP($W$25,mission!$D$46:$F$60,3,FALSE)&lt;=$F$5*60,INDEX(mission!$E$46:$E$60,MATCH($W$25,mission!$D$46:$D$60,0)),0)</f>
        <v>0</v>
      </c>
    </row>
    <row r="45" s="1" customFormat="1" ht="18" customHeight="1" spans="2:23">
      <c r="B45" s="2">
        <v>20</v>
      </c>
      <c r="C45" s="2">
        <f t="shared" si="0"/>
        <v>20000</v>
      </c>
      <c r="D45" s="2">
        <f t="shared" si="5"/>
        <v>88</v>
      </c>
      <c r="E45" s="2">
        <f t="shared" si="3"/>
        <v>1760</v>
      </c>
      <c r="F45" s="2">
        <f>ROUND(E45*VLOOKUP($B$10,总产出!$T$4:$U$14,2,FALSE),0)</f>
        <v>176</v>
      </c>
      <c r="G45" s="2">
        <f t="shared" si="2"/>
        <v>25</v>
      </c>
      <c r="H45" s="2">
        <f t="shared" si="4"/>
        <v>500</v>
      </c>
      <c r="I45" s="2" cm="1">
        <f t="array" ref="I45">IF(VLOOKUP($I$25,mission!$D$46:$F$60,3,FALSE)&lt;=$F$5*60/$C$7,INDEX(mission!$E$46:$E$60,MATCH($I$25,mission!$D$46:$D$60,0)),0)</f>
        <v>5</v>
      </c>
      <c r="J45" s="2" cm="1">
        <f t="array" ref="J45">IF(VLOOKUP($J$25,mission!$D$46:$F$60,3,FALSE)&lt;=$F$5*60/$C$7,INDEX(mission!$E$46:$E$60,MATCH($J$25,mission!$D$46:$D$60,0)),0)</f>
        <v>0</v>
      </c>
      <c r="K45" s="2" cm="1">
        <f t="array" ref="K45">IF(VLOOKUP($K$25,mission!$D$46:$F$60,3,FALSE)&lt;=$F$5*60/$C$7,INDEX(mission!$E$46:$E$60,MATCH($K$25,mission!$D$46:$D$60,0)),0)</f>
        <v>0</v>
      </c>
      <c r="L45" s="2" cm="1">
        <f t="array" ref="L45">IF(VLOOKUP($L$25,mission!$D$46:$F$60,3,FALSE)&lt;=$C$8,INDEX(mission!$E$46:$E$60,MATCH($L$25,mission!$D$46:$D$60,0)),0)</f>
        <v>5</v>
      </c>
      <c r="M45" s="2" cm="1">
        <f t="array" ref="M45">IF(VLOOKUP($M$25,mission!$D$46:$F$60,3,FALSE)&lt;=$C$8,INDEX(mission!$E$46:$E$60,MATCH($M$25,mission!$D$46:$D$60,0)),0)</f>
        <v>0</v>
      </c>
      <c r="N45" s="2" cm="1">
        <f t="array" ref="N45">IF(VLOOKUP($N$25,mission!$D$46:$F$60,3,FALSE)&lt;=$C$8,INDEX(mission!$E$46:$E$60,MATCH($N$25,mission!$D$46:$D$60,0)),0)</f>
        <v>0</v>
      </c>
      <c r="O45" s="2" cm="1">
        <f t="array" ref="O45">IF(VLOOKUP($O$25,mission!$D$46:$F$60,3,FALSE)&lt;=$C$8*$C$4,INDEX(mission!$E$46:$E$60,MATCH($O$25,mission!$D$46:$D$60,0)),0)</f>
        <v>0</v>
      </c>
      <c r="P45" s="2" cm="1">
        <f t="array" ref="P45">IF(VLOOKUP($P$25,mission!$D$46:$F$60,3,FALSE)&lt;=$C$8*$C$4,INDEX(mission!$E$46:$E$60,MATCH($P$25,mission!$D$46:$D$60,0)),0)</f>
        <v>0</v>
      </c>
      <c r="Q45" s="2" cm="1">
        <f t="array" ref="Q45">IF(VLOOKUP($Q$25,mission!$D$46:$F$60,3,FALSE)&lt;=$C$8*$C$4,INDEX(mission!$E$46:$E$60,MATCH($Q$25,mission!$D$46:$D$60,0)),0)</f>
        <v>0</v>
      </c>
      <c r="R45" s="2" cm="1">
        <f t="array" ref="R45">IF(VLOOKUP($R$25,mission!$D$46:$F$60,3,FALSE)&lt;=$F$5*60/$C$7,INDEX(mission!$E$46:$E$60,MATCH($R$25,mission!$D$46:$D$60,0)),0)</f>
        <v>5</v>
      </c>
      <c r="S45" s="2" cm="1">
        <f t="array" ref="S45">IF(VLOOKUP($S$25,mission!$D$46:$F$60,3,FALSE)&lt;=$F$5*60/$C$7,INDEX(mission!$E$46:$E$60,MATCH($S$25,mission!$D$46:$D$60,0)),0)</f>
        <v>0</v>
      </c>
      <c r="T45" s="2" cm="1">
        <f t="array" ref="T45">IF(VLOOKUP($T$25,mission!$D$46:$F$60,3,FALSE)&lt;=$F$5*60,INDEX(mission!$E$46:$E$60,MATCH($T$25,mission!$D$46:$D$60,0)),0)</f>
        <v>10</v>
      </c>
      <c r="U45" s="2" cm="1">
        <f t="array" ref="U45">IF(VLOOKUP($U$25,mission!$D$46:$F$60,3,FALSE)&lt;=$F$5*60,INDEX(mission!$E$46:$E$60,MATCH($U$25,mission!$D$46:$D$60,0)),0)</f>
        <v>0</v>
      </c>
      <c r="V45" s="2" cm="1">
        <f t="array" ref="V45">IF(VLOOKUP($V$25,mission!$D$46:$F$60,3,FALSE)&lt;=$F$5*60,INDEX(mission!$E$46:$E$60,MATCH($V$25,mission!$D$46:$D$60,0)),0)</f>
        <v>0</v>
      </c>
      <c r="W45" s="2" cm="1">
        <f t="array" ref="W45">IF(VLOOKUP($W$25,mission!$D$46:$F$60,3,FALSE)&lt;=$F$5*60,INDEX(mission!$E$46:$E$60,MATCH($W$25,mission!$D$46:$D$60,0)),0)</f>
        <v>0</v>
      </c>
    </row>
    <row r="46" s="1" customFormat="1" ht="18" customHeight="1" spans="2:23">
      <c r="B46" s="2">
        <v>21</v>
      </c>
      <c r="C46" s="2">
        <f t="shared" si="0"/>
        <v>21000</v>
      </c>
      <c r="D46" s="2">
        <f t="shared" si="5"/>
        <v>88</v>
      </c>
      <c r="E46" s="2">
        <f t="shared" si="3"/>
        <v>1848</v>
      </c>
      <c r="F46" s="2">
        <f>ROUND(E46*VLOOKUP($B$10,总产出!$T$4:$U$14,2,FALSE),0)</f>
        <v>185</v>
      </c>
      <c r="G46" s="2">
        <f t="shared" si="2"/>
        <v>25</v>
      </c>
      <c r="H46" s="2">
        <f t="shared" si="4"/>
        <v>525</v>
      </c>
      <c r="I46" s="2" cm="1">
        <f t="array" ref="I46">IF(VLOOKUP($I$25,mission!$D$46:$F$60,3,FALSE)&lt;=$F$5*60/$C$7,INDEX(mission!$E$46:$E$60,MATCH($I$25,mission!$D$46:$D$60,0)),0)</f>
        <v>5</v>
      </c>
      <c r="J46" s="2" cm="1">
        <f t="array" ref="J46">IF(VLOOKUP($J$25,mission!$D$46:$F$60,3,FALSE)&lt;=$F$5*60/$C$7,INDEX(mission!$E$46:$E$60,MATCH($J$25,mission!$D$46:$D$60,0)),0)</f>
        <v>0</v>
      </c>
      <c r="K46" s="2" cm="1">
        <f t="array" ref="K46">IF(VLOOKUP($K$25,mission!$D$46:$F$60,3,FALSE)&lt;=$F$5*60/$C$7,INDEX(mission!$E$46:$E$60,MATCH($K$25,mission!$D$46:$D$60,0)),0)</f>
        <v>0</v>
      </c>
      <c r="L46" s="2" cm="1">
        <f t="array" ref="L46">IF(VLOOKUP($L$25,mission!$D$46:$F$60,3,FALSE)&lt;=$C$8,INDEX(mission!$E$46:$E$60,MATCH($L$25,mission!$D$46:$D$60,0)),0)</f>
        <v>5</v>
      </c>
      <c r="M46" s="2" cm="1">
        <f t="array" ref="M46">IF(VLOOKUP($M$25,mission!$D$46:$F$60,3,FALSE)&lt;=$C$8,INDEX(mission!$E$46:$E$60,MATCH($M$25,mission!$D$46:$D$60,0)),0)</f>
        <v>0</v>
      </c>
      <c r="N46" s="2" cm="1">
        <f t="array" ref="N46">IF(VLOOKUP($N$25,mission!$D$46:$F$60,3,FALSE)&lt;=$C$8,INDEX(mission!$E$46:$E$60,MATCH($N$25,mission!$D$46:$D$60,0)),0)</f>
        <v>0</v>
      </c>
      <c r="O46" s="2" cm="1">
        <f t="array" ref="O46">IF(VLOOKUP($O$25,mission!$D$46:$F$60,3,FALSE)&lt;=$C$8*$C$4,INDEX(mission!$E$46:$E$60,MATCH($O$25,mission!$D$46:$D$60,0)),0)</f>
        <v>0</v>
      </c>
      <c r="P46" s="2" cm="1">
        <f t="array" ref="P46">IF(VLOOKUP($P$25,mission!$D$46:$F$60,3,FALSE)&lt;=$C$8*$C$4,INDEX(mission!$E$46:$E$60,MATCH($P$25,mission!$D$46:$D$60,0)),0)</f>
        <v>0</v>
      </c>
      <c r="Q46" s="2" cm="1">
        <f t="array" ref="Q46">IF(VLOOKUP($Q$25,mission!$D$46:$F$60,3,FALSE)&lt;=$C$8*$C$4,INDEX(mission!$E$46:$E$60,MATCH($Q$25,mission!$D$46:$D$60,0)),0)</f>
        <v>0</v>
      </c>
      <c r="R46" s="2" cm="1">
        <f t="array" ref="R46">IF(VLOOKUP($R$25,mission!$D$46:$F$60,3,FALSE)&lt;=$F$5*60/$C$7,INDEX(mission!$E$46:$E$60,MATCH($R$25,mission!$D$46:$D$60,0)),0)</f>
        <v>5</v>
      </c>
      <c r="S46" s="2" cm="1">
        <f t="array" ref="S46">IF(VLOOKUP($S$25,mission!$D$46:$F$60,3,FALSE)&lt;=$F$5*60/$C$7,INDEX(mission!$E$46:$E$60,MATCH($S$25,mission!$D$46:$D$60,0)),0)</f>
        <v>0</v>
      </c>
      <c r="T46" s="2" cm="1">
        <f t="array" ref="T46">IF(VLOOKUP($T$25,mission!$D$46:$F$60,3,FALSE)&lt;=$F$5*60,INDEX(mission!$E$46:$E$60,MATCH($T$25,mission!$D$46:$D$60,0)),0)</f>
        <v>10</v>
      </c>
      <c r="U46" s="2" cm="1">
        <f t="array" ref="U46">IF(VLOOKUP($U$25,mission!$D$46:$F$60,3,FALSE)&lt;=$F$5*60,INDEX(mission!$E$46:$E$60,MATCH($U$25,mission!$D$46:$D$60,0)),0)</f>
        <v>0</v>
      </c>
      <c r="V46" s="2" cm="1">
        <f t="array" ref="V46">IF(VLOOKUP($V$25,mission!$D$46:$F$60,3,FALSE)&lt;=$F$5*60,INDEX(mission!$E$46:$E$60,MATCH($V$25,mission!$D$46:$D$60,0)),0)</f>
        <v>0</v>
      </c>
      <c r="W46" s="2" cm="1">
        <f t="array" ref="W46">IF(VLOOKUP($W$25,mission!$D$46:$F$60,3,FALSE)&lt;=$F$5*60,INDEX(mission!$E$46:$E$60,MATCH($W$25,mission!$D$46:$D$60,0)),0)</f>
        <v>0</v>
      </c>
    </row>
    <row r="47" s="1" customFormat="1" ht="18" customHeight="1" spans="2:23">
      <c r="B47" s="2">
        <v>22</v>
      </c>
      <c r="C47" s="2">
        <f t="shared" si="0"/>
        <v>22000</v>
      </c>
      <c r="D47" s="2">
        <f t="shared" ref="D47:D56" si="6">ROUND($C$8*$C$5+$C$8*$C$4*(1-$L$5),0)</f>
        <v>88</v>
      </c>
      <c r="E47" s="2">
        <f t="shared" si="3"/>
        <v>1936</v>
      </c>
      <c r="F47" s="2">
        <f>ROUND(E47*VLOOKUP($B$10,总产出!$T$4:$U$14,2,FALSE),0)</f>
        <v>194</v>
      </c>
      <c r="G47" s="2">
        <f t="shared" si="2"/>
        <v>25</v>
      </c>
      <c r="H47" s="2">
        <f t="shared" si="4"/>
        <v>550</v>
      </c>
      <c r="I47" s="2" cm="1">
        <f t="array" ref="I47">IF(VLOOKUP($I$25,mission!$D$46:$F$60,3,FALSE)&lt;=$F$5*60/$C$7,INDEX(mission!$E$46:$E$60,MATCH($I$25,mission!$D$46:$D$60,0)),0)</f>
        <v>5</v>
      </c>
      <c r="J47" s="2" cm="1">
        <f t="array" ref="J47">IF(VLOOKUP($J$25,mission!$D$46:$F$60,3,FALSE)&lt;=$F$5*60/$C$7,INDEX(mission!$E$46:$E$60,MATCH($J$25,mission!$D$46:$D$60,0)),0)</f>
        <v>0</v>
      </c>
      <c r="K47" s="2" cm="1">
        <f t="array" ref="K47">IF(VLOOKUP($K$25,mission!$D$46:$F$60,3,FALSE)&lt;=$F$5*60/$C$7,INDEX(mission!$E$46:$E$60,MATCH($K$25,mission!$D$46:$D$60,0)),0)</f>
        <v>0</v>
      </c>
      <c r="L47" s="2" cm="1">
        <f t="array" ref="L47">IF(VLOOKUP($L$25,mission!$D$46:$F$60,3,FALSE)&lt;=$C$8,INDEX(mission!$E$46:$E$60,MATCH($L$25,mission!$D$46:$D$60,0)),0)</f>
        <v>5</v>
      </c>
      <c r="M47" s="2" cm="1">
        <f t="array" ref="M47">IF(VLOOKUP($M$25,mission!$D$46:$F$60,3,FALSE)&lt;=$C$8,INDEX(mission!$E$46:$E$60,MATCH($M$25,mission!$D$46:$D$60,0)),0)</f>
        <v>0</v>
      </c>
      <c r="N47" s="2" cm="1">
        <f t="array" ref="N47">IF(VLOOKUP($N$25,mission!$D$46:$F$60,3,FALSE)&lt;=$C$8,INDEX(mission!$E$46:$E$60,MATCH($N$25,mission!$D$46:$D$60,0)),0)</f>
        <v>0</v>
      </c>
      <c r="O47" s="2" cm="1">
        <f t="array" ref="O47">IF(VLOOKUP($O$25,mission!$D$46:$F$60,3,FALSE)&lt;=$C$8*$C$4,INDEX(mission!$E$46:$E$60,MATCH($O$25,mission!$D$46:$D$60,0)),0)</f>
        <v>0</v>
      </c>
      <c r="P47" s="2" cm="1">
        <f t="array" ref="P47">IF(VLOOKUP($P$25,mission!$D$46:$F$60,3,FALSE)&lt;=$C$8*$C$4,INDEX(mission!$E$46:$E$60,MATCH($P$25,mission!$D$46:$D$60,0)),0)</f>
        <v>0</v>
      </c>
      <c r="Q47" s="2" cm="1">
        <f t="array" ref="Q47">IF(VLOOKUP($Q$25,mission!$D$46:$F$60,3,FALSE)&lt;=$C$8*$C$4,INDEX(mission!$E$46:$E$60,MATCH($Q$25,mission!$D$46:$D$60,0)),0)</f>
        <v>0</v>
      </c>
      <c r="R47" s="2" cm="1">
        <f t="array" ref="R47">IF(VLOOKUP($R$25,mission!$D$46:$F$60,3,FALSE)&lt;=$F$5*60/$C$7,INDEX(mission!$E$46:$E$60,MATCH($R$25,mission!$D$46:$D$60,0)),0)</f>
        <v>5</v>
      </c>
      <c r="S47" s="2" cm="1">
        <f t="array" ref="S47">IF(VLOOKUP($S$25,mission!$D$46:$F$60,3,FALSE)&lt;=$F$5*60/$C$7,INDEX(mission!$E$46:$E$60,MATCH($S$25,mission!$D$46:$D$60,0)),0)</f>
        <v>0</v>
      </c>
      <c r="T47" s="2" cm="1">
        <f t="array" ref="T47">IF(VLOOKUP($T$25,mission!$D$46:$F$60,3,FALSE)&lt;=$F$5*60,INDEX(mission!$E$46:$E$60,MATCH($T$25,mission!$D$46:$D$60,0)),0)</f>
        <v>10</v>
      </c>
      <c r="U47" s="2" cm="1">
        <f t="array" ref="U47">IF(VLOOKUP($U$25,mission!$D$46:$F$60,3,FALSE)&lt;=$F$5*60,INDEX(mission!$E$46:$E$60,MATCH($U$25,mission!$D$46:$D$60,0)),0)</f>
        <v>0</v>
      </c>
      <c r="V47" s="2" cm="1">
        <f t="array" ref="V47">IF(VLOOKUP($V$25,mission!$D$46:$F$60,3,FALSE)&lt;=$F$5*60,INDEX(mission!$E$46:$E$60,MATCH($V$25,mission!$D$46:$D$60,0)),0)</f>
        <v>0</v>
      </c>
      <c r="W47" s="2" cm="1">
        <f t="array" ref="W47">IF(VLOOKUP($W$25,mission!$D$46:$F$60,3,FALSE)&lt;=$F$5*60,INDEX(mission!$E$46:$E$60,MATCH($W$25,mission!$D$46:$D$60,0)),0)</f>
        <v>0</v>
      </c>
    </row>
    <row r="48" s="1" customFormat="1" ht="18" customHeight="1" spans="2:23">
      <c r="B48" s="2">
        <v>23</v>
      </c>
      <c r="C48" s="2">
        <f t="shared" si="0"/>
        <v>23000</v>
      </c>
      <c r="D48" s="2">
        <f t="shared" si="6"/>
        <v>88</v>
      </c>
      <c r="E48" s="2">
        <f t="shared" si="3"/>
        <v>2024</v>
      </c>
      <c r="F48" s="2">
        <f>ROUND(E48*VLOOKUP($B$10,总产出!$T$4:$U$14,2,FALSE),0)</f>
        <v>202</v>
      </c>
      <c r="G48" s="2">
        <f t="shared" si="2"/>
        <v>25</v>
      </c>
      <c r="H48" s="2">
        <f t="shared" si="4"/>
        <v>575</v>
      </c>
      <c r="I48" s="2" cm="1">
        <f t="array" ref="I48">IF(VLOOKUP($I$25,mission!$D$46:$F$60,3,FALSE)&lt;=$F$5*60/$C$7,INDEX(mission!$E$46:$E$60,MATCH($I$25,mission!$D$46:$D$60,0)),0)</f>
        <v>5</v>
      </c>
      <c r="J48" s="2" cm="1">
        <f t="array" ref="J48">IF(VLOOKUP($J$25,mission!$D$46:$F$60,3,FALSE)&lt;=$F$5*60/$C$7,INDEX(mission!$E$46:$E$60,MATCH($J$25,mission!$D$46:$D$60,0)),0)</f>
        <v>0</v>
      </c>
      <c r="K48" s="2" cm="1">
        <f t="array" ref="K48">IF(VLOOKUP($K$25,mission!$D$46:$F$60,3,FALSE)&lt;=$F$5*60/$C$7,INDEX(mission!$E$46:$E$60,MATCH($K$25,mission!$D$46:$D$60,0)),0)</f>
        <v>0</v>
      </c>
      <c r="L48" s="2" cm="1">
        <f t="array" ref="L48">IF(VLOOKUP($L$25,mission!$D$46:$F$60,3,FALSE)&lt;=$C$8,INDEX(mission!$E$46:$E$60,MATCH($L$25,mission!$D$46:$D$60,0)),0)</f>
        <v>5</v>
      </c>
      <c r="M48" s="2" cm="1">
        <f t="array" ref="M48">IF(VLOOKUP($M$25,mission!$D$46:$F$60,3,FALSE)&lt;=$C$8,INDEX(mission!$E$46:$E$60,MATCH($M$25,mission!$D$46:$D$60,0)),0)</f>
        <v>0</v>
      </c>
      <c r="N48" s="2" cm="1">
        <f t="array" ref="N48">IF(VLOOKUP($N$25,mission!$D$46:$F$60,3,FALSE)&lt;=$C$8,INDEX(mission!$E$46:$E$60,MATCH($N$25,mission!$D$46:$D$60,0)),0)</f>
        <v>0</v>
      </c>
      <c r="O48" s="2" cm="1">
        <f t="array" ref="O48">IF(VLOOKUP($O$25,mission!$D$46:$F$60,3,FALSE)&lt;=$C$8*$C$4,INDEX(mission!$E$46:$E$60,MATCH($O$25,mission!$D$46:$D$60,0)),0)</f>
        <v>0</v>
      </c>
      <c r="P48" s="2" cm="1">
        <f t="array" ref="P48">IF(VLOOKUP($P$25,mission!$D$46:$F$60,3,FALSE)&lt;=$C$8*$C$4,INDEX(mission!$E$46:$E$60,MATCH($P$25,mission!$D$46:$D$60,0)),0)</f>
        <v>0</v>
      </c>
      <c r="Q48" s="2" cm="1">
        <f t="array" ref="Q48">IF(VLOOKUP($Q$25,mission!$D$46:$F$60,3,FALSE)&lt;=$C$8*$C$4,INDEX(mission!$E$46:$E$60,MATCH($Q$25,mission!$D$46:$D$60,0)),0)</f>
        <v>0</v>
      </c>
      <c r="R48" s="2" cm="1">
        <f t="array" ref="R48">IF(VLOOKUP($R$25,mission!$D$46:$F$60,3,FALSE)&lt;=$F$5*60/$C$7,INDEX(mission!$E$46:$E$60,MATCH($R$25,mission!$D$46:$D$60,0)),0)</f>
        <v>5</v>
      </c>
      <c r="S48" s="2" cm="1">
        <f t="array" ref="S48">IF(VLOOKUP($S$25,mission!$D$46:$F$60,3,FALSE)&lt;=$F$5*60/$C$7,INDEX(mission!$E$46:$E$60,MATCH($S$25,mission!$D$46:$D$60,0)),0)</f>
        <v>0</v>
      </c>
      <c r="T48" s="2" cm="1">
        <f t="array" ref="T48">IF(VLOOKUP($T$25,mission!$D$46:$F$60,3,FALSE)&lt;=$F$5*60,INDEX(mission!$E$46:$E$60,MATCH($T$25,mission!$D$46:$D$60,0)),0)</f>
        <v>10</v>
      </c>
      <c r="U48" s="2" cm="1">
        <f t="array" ref="U48">IF(VLOOKUP($U$25,mission!$D$46:$F$60,3,FALSE)&lt;=$F$5*60,INDEX(mission!$E$46:$E$60,MATCH($U$25,mission!$D$46:$D$60,0)),0)</f>
        <v>0</v>
      </c>
      <c r="V48" s="2" cm="1">
        <f t="array" ref="V48">IF(VLOOKUP($V$25,mission!$D$46:$F$60,3,FALSE)&lt;=$F$5*60,INDEX(mission!$E$46:$E$60,MATCH($V$25,mission!$D$46:$D$60,0)),0)</f>
        <v>0</v>
      </c>
      <c r="W48" s="2" cm="1">
        <f t="array" ref="W48">IF(VLOOKUP($W$25,mission!$D$46:$F$60,3,FALSE)&lt;=$F$5*60,INDEX(mission!$E$46:$E$60,MATCH($W$25,mission!$D$46:$D$60,0)),0)</f>
        <v>0</v>
      </c>
    </row>
    <row r="49" s="1" customFormat="1" ht="18" customHeight="1" spans="2:23">
      <c r="B49" s="2">
        <v>24</v>
      </c>
      <c r="C49" s="2">
        <f t="shared" si="0"/>
        <v>24000</v>
      </c>
      <c r="D49" s="2">
        <f t="shared" si="6"/>
        <v>88</v>
      </c>
      <c r="E49" s="2">
        <f t="shared" si="3"/>
        <v>2112</v>
      </c>
      <c r="F49" s="2">
        <f>ROUND(E49*VLOOKUP($B$10,总产出!$T$4:$U$14,2,FALSE),0)</f>
        <v>211</v>
      </c>
      <c r="G49" s="2">
        <f t="shared" si="2"/>
        <v>25</v>
      </c>
      <c r="H49" s="2">
        <f t="shared" si="4"/>
        <v>600</v>
      </c>
      <c r="I49" s="2" cm="1">
        <f t="array" ref="I49">IF(VLOOKUP($I$25,mission!$D$46:$F$60,3,FALSE)&lt;=$F$5*60/$C$7,INDEX(mission!$E$46:$E$60,MATCH($I$25,mission!$D$46:$D$60,0)),0)</f>
        <v>5</v>
      </c>
      <c r="J49" s="2" cm="1">
        <f t="array" ref="J49">IF(VLOOKUP($J$25,mission!$D$46:$F$60,3,FALSE)&lt;=$F$5*60/$C$7,INDEX(mission!$E$46:$E$60,MATCH($J$25,mission!$D$46:$D$60,0)),0)</f>
        <v>0</v>
      </c>
      <c r="K49" s="2" cm="1">
        <f t="array" ref="K49">IF(VLOOKUP($K$25,mission!$D$46:$F$60,3,FALSE)&lt;=$F$5*60/$C$7,INDEX(mission!$E$46:$E$60,MATCH($K$25,mission!$D$46:$D$60,0)),0)</f>
        <v>0</v>
      </c>
      <c r="L49" s="2" cm="1">
        <f t="array" ref="L49">IF(VLOOKUP($L$25,mission!$D$46:$F$60,3,FALSE)&lt;=$C$8,INDEX(mission!$E$46:$E$60,MATCH($L$25,mission!$D$46:$D$60,0)),0)</f>
        <v>5</v>
      </c>
      <c r="M49" s="2" cm="1">
        <f t="array" ref="M49">IF(VLOOKUP($M$25,mission!$D$46:$F$60,3,FALSE)&lt;=$C$8,INDEX(mission!$E$46:$E$60,MATCH($M$25,mission!$D$46:$D$60,0)),0)</f>
        <v>0</v>
      </c>
      <c r="N49" s="2" cm="1">
        <f t="array" ref="N49">IF(VLOOKUP($N$25,mission!$D$46:$F$60,3,FALSE)&lt;=$C$8,INDEX(mission!$E$46:$E$60,MATCH($N$25,mission!$D$46:$D$60,0)),0)</f>
        <v>0</v>
      </c>
      <c r="O49" s="2" cm="1">
        <f t="array" ref="O49">IF(VLOOKUP($O$25,mission!$D$46:$F$60,3,FALSE)&lt;=$C$8*$C$4,INDEX(mission!$E$46:$E$60,MATCH($O$25,mission!$D$46:$D$60,0)),0)</f>
        <v>0</v>
      </c>
      <c r="P49" s="2" cm="1">
        <f t="array" ref="P49">IF(VLOOKUP($P$25,mission!$D$46:$F$60,3,FALSE)&lt;=$C$8*$C$4,INDEX(mission!$E$46:$E$60,MATCH($P$25,mission!$D$46:$D$60,0)),0)</f>
        <v>0</v>
      </c>
      <c r="Q49" s="2" cm="1">
        <f t="array" ref="Q49">IF(VLOOKUP($Q$25,mission!$D$46:$F$60,3,FALSE)&lt;=$C$8*$C$4,INDEX(mission!$E$46:$E$60,MATCH($Q$25,mission!$D$46:$D$60,0)),0)</f>
        <v>0</v>
      </c>
      <c r="R49" s="2" cm="1">
        <f t="array" ref="R49">IF(VLOOKUP($R$25,mission!$D$46:$F$60,3,FALSE)&lt;=$F$5*60/$C$7,INDEX(mission!$E$46:$E$60,MATCH($R$25,mission!$D$46:$D$60,0)),0)</f>
        <v>5</v>
      </c>
      <c r="S49" s="2" cm="1">
        <f t="array" ref="S49">IF(VLOOKUP($S$25,mission!$D$46:$F$60,3,FALSE)&lt;=$F$5*60/$C$7,INDEX(mission!$E$46:$E$60,MATCH($S$25,mission!$D$46:$D$60,0)),0)</f>
        <v>0</v>
      </c>
      <c r="T49" s="2" cm="1">
        <f t="array" ref="T49">IF(VLOOKUP($T$25,mission!$D$46:$F$60,3,FALSE)&lt;=$F$5*60,INDEX(mission!$E$46:$E$60,MATCH($T$25,mission!$D$46:$D$60,0)),0)</f>
        <v>10</v>
      </c>
      <c r="U49" s="2" cm="1">
        <f t="array" ref="U49">IF(VLOOKUP($U$25,mission!$D$46:$F$60,3,FALSE)&lt;=$F$5*60,INDEX(mission!$E$46:$E$60,MATCH($U$25,mission!$D$46:$D$60,0)),0)</f>
        <v>0</v>
      </c>
      <c r="V49" s="2" cm="1">
        <f t="array" ref="V49">IF(VLOOKUP($V$25,mission!$D$46:$F$60,3,FALSE)&lt;=$F$5*60,INDEX(mission!$E$46:$E$60,MATCH($V$25,mission!$D$46:$D$60,0)),0)</f>
        <v>0</v>
      </c>
      <c r="W49" s="2" cm="1">
        <f t="array" ref="W49">IF(VLOOKUP($W$25,mission!$D$46:$F$60,3,FALSE)&lt;=$F$5*60,INDEX(mission!$E$46:$E$60,MATCH($W$25,mission!$D$46:$D$60,0)),0)</f>
        <v>0</v>
      </c>
    </row>
    <row r="50" s="1" customFormat="1" ht="18" customHeight="1" spans="2:23">
      <c r="B50" s="2">
        <v>25</v>
      </c>
      <c r="C50" s="2">
        <f t="shared" si="0"/>
        <v>25000</v>
      </c>
      <c r="D50" s="2">
        <f t="shared" si="6"/>
        <v>88</v>
      </c>
      <c r="E50" s="2">
        <f t="shared" si="3"/>
        <v>2200</v>
      </c>
      <c r="F50" s="2">
        <f>ROUND(E50*VLOOKUP($B$10,总产出!$T$4:$U$14,2,FALSE),0)</f>
        <v>220</v>
      </c>
      <c r="G50" s="2">
        <f t="shared" si="2"/>
        <v>25</v>
      </c>
      <c r="H50" s="2">
        <f t="shared" si="4"/>
        <v>625</v>
      </c>
      <c r="I50" s="2" cm="1">
        <f t="array" ref="I50">IF(VLOOKUP($I$25,mission!$D$46:$F$60,3,FALSE)&lt;=$F$5*60/$C$7,INDEX(mission!$E$46:$E$60,MATCH($I$25,mission!$D$46:$D$60,0)),0)</f>
        <v>5</v>
      </c>
      <c r="J50" s="2" cm="1">
        <f t="array" ref="J50">IF(VLOOKUP($J$25,mission!$D$46:$F$60,3,FALSE)&lt;=$F$5*60/$C$7,INDEX(mission!$E$46:$E$60,MATCH($J$25,mission!$D$46:$D$60,0)),0)</f>
        <v>0</v>
      </c>
      <c r="K50" s="2" cm="1">
        <f t="array" ref="K50">IF(VLOOKUP($K$25,mission!$D$46:$F$60,3,FALSE)&lt;=$F$5*60/$C$7,INDEX(mission!$E$46:$E$60,MATCH($K$25,mission!$D$46:$D$60,0)),0)</f>
        <v>0</v>
      </c>
      <c r="L50" s="2" cm="1">
        <f t="array" ref="L50">IF(VLOOKUP($L$25,mission!$D$46:$F$60,3,FALSE)&lt;=$C$8,INDEX(mission!$E$46:$E$60,MATCH($L$25,mission!$D$46:$D$60,0)),0)</f>
        <v>5</v>
      </c>
      <c r="M50" s="2" cm="1">
        <f t="array" ref="M50">IF(VLOOKUP($M$25,mission!$D$46:$F$60,3,FALSE)&lt;=$C$8,INDEX(mission!$E$46:$E$60,MATCH($M$25,mission!$D$46:$D$60,0)),0)</f>
        <v>0</v>
      </c>
      <c r="N50" s="2" cm="1">
        <f t="array" ref="N50">IF(VLOOKUP($N$25,mission!$D$46:$F$60,3,FALSE)&lt;=$C$8,INDEX(mission!$E$46:$E$60,MATCH($N$25,mission!$D$46:$D$60,0)),0)</f>
        <v>0</v>
      </c>
      <c r="O50" s="2" cm="1">
        <f t="array" ref="O50">IF(VLOOKUP($O$25,mission!$D$46:$F$60,3,FALSE)&lt;=$C$8*$C$4,INDEX(mission!$E$46:$E$60,MATCH($O$25,mission!$D$46:$D$60,0)),0)</f>
        <v>0</v>
      </c>
      <c r="P50" s="2" cm="1">
        <f t="array" ref="P50">IF(VLOOKUP($P$25,mission!$D$46:$F$60,3,FALSE)&lt;=$C$8*$C$4,INDEX(mission!$E$46:$E$60,MATCH($P$25,mission!$D$46:$D$60,0)),0)</f>
        <v>0</v>
      </c>
      <c r="Q50" s="2" cm="1">
        <f t="array" ref="Q50">IF(VLOOKUP($Q$25,mission!$D$46:$F$60,3,FALSE)&lt;=$C$8*$C$4,INDEX(mission!$E$46:$E$60,MATCH($Q$25,mission!$D$46:$D$60,0)),0)</f>
        <v>0</v>
      </c>
      <c r="R50" s="2" cm="1">
        <f t="array" ref="R50">IF(VLOOKUP($R$25,mission!$D$46:$F$60,3,FALSE)&lt;=$F$5*60/$C$7,INDEX(mission!$E$46:$E$60,MATCH($R$25,mission!$D$46:$D$60,0)),0)</f>
        <v>5</v>
      </c>
      <c r="S50" s="2" cm="1">
        <f t="array" ref="S50">IF(VLOOKUP($S$25,mission!$D$46:$F$60,3,FALSE)&lt;=$F$5*60/$C$7,INDEX(mission!$E$46:$E$60,MATCH($S$25,mission!$D$46:$D$60,0)),0)</f>
        <v>0</v>
      </c>
      <c r="T50" s="2" cm="1">
        <f t="array" ref="T50">IF(VLOOKUP($T$25,mission!$D$46:$F$60,3,FALSE)&lt;=$F$5*60,INDEX(mission!$E$46:$E$60,MATCH($T$25,mission!$D$46:$D$60,0)),0)</f>
        <v>10</v>
      </c>
      <c r="U50" s="2" cm="1">
        <f t="array" ref="U50">IF(VLOOKUP($U$25,mission!$D$46:$F$60,3,FALSE)&lt;=$F$5*60,INDEX(mission!$E$46:$E$60,MATCH($U$25,mission!$D$46:$D$60,0)),0)</f>
        <v>0</v>
      </c>
      <c r="V50" s="2" cm="1">
        <f t="array" ref="V50">IF(VLOOKUP($V$25,mission!$D$46:$F$60,3,FALSE)&lt;=$F$5*60,INDEX(mission!$E$46:$E$60,MATCH($V$25,mission!$D$46:$D$60,0)),0)</f>
        <v>0</v>
      </c>
      <c r="W50" s="2" cm="1">
        <f t="array" ref="W50">IF(VLOOKUP($W$25,mission!$D$46:$F$60,3,FALSE)&lt;=$F$5*60,INDEX(mission!$E$46:$E$60,MATCH($W$25,mission!$D$46:$D$60,0)),0)</f>
        <v>0</v>
      </c>
    </row>
    <row r="51" s="1" customFormat="1" ht="18" customHeight="1" spans="2:23">
      <c r="B51" s="2">
        <v>26</v>
      </c>
      <c r="C51" s="2">
        <f t="shared" si="0"/>
        <v>26000</v>
      </c>
      <c r="D51" s="2">
        <f t="shared" si="6"/>
        <v>88</v>
      </c>
      <c r="E51" s="2">
        <f t="shared" si="3"/>
        <v>2288</v>
      </c>
      <c r="F51" s="2">
        <f>ROUND(E51*VLOOKUP($B$10,总产出!$T$4:$U$14,2,FALSE),0)</f>
        <v>229</v>
      </c>
      <c r="G51" s="2">
        <f t="shared" si="2"/>
        <v>25</v>
      </c>
      <c r="H51" s="2">
        <f t="shared" si="4"/>
        <v>650</v>
      </c>
      <c r="I51" s="2" cm="1">
        <f t="array" ref="I51">IF(VLOOKUP($I$25,mission!$D$46:$F$60,3,FALSE)&lt;=$F$5*60/$C$7,INDEX(mission!$E$46:$E$60,MATCH($I$25,mission!$D$46:$D$60,0)),0)</f>
        <v>5</v>
      </c>
      <c r="J51" s="2" cm="1">
        <f t="array" ref="J51">IF(VLOOKUP($J$25,mission!$D$46:$F$60,3,FALSE)&lt;=$F$5*60/$C$7,INDEX(mission!$E$46:$E$60,MATCH($J$25,mission!$D$46:$D$60,0)),0)</f>
        <v>0</v>
      </c>
      <c r="K51" s="2" cm="1">
        <f t="array" ref="K51">IF(VLOOKUP($K$25,mission!$D$46:$F$60,3,FALSE)&lt;=$F$5*60/$C$7,INDEX(mission!$E$46:$E$60,MATCH($K$25,mission!$D$46:$D$60,0)),0)</f>
        <v>0</v>
      </c>
      <c r="L51" s="2" cm="1">
        <f t="array" ref="L51">IF(VLOOKUP($L$25,mission!$D$46:$F$60,3,FALSE)&lt;=$C$8,INDEX(mission!$E$46:$E$60,MATCH($L$25,mission!$D$46:$D$60,0)),0)</f>
        <v>5</v>
      </c>
      <c r="M51" s="2" cm="1">
        <f t="array" ref="M51">IF(VLOOKUP($M$25,mission!$D$46:$F$60,3,FALSE)&lt;=$C$8,INDEX(mission!$E$46:$E$60,MATCH($M$25,mission!$D$46:$D$60,0)),0)</f>
        <v>0</v>
      </c>
      <c r="N51" s="2" cm="1">
        <f t="array" ref="N51">IF(VLOOKUP($N$25,mission!$D$46:$F$60,3,FALSE)&lt;=$C$8,INDEX(mission!$E$46:$E$60,MATCH($N$25,mission!$D$46:$D$60,0)),0)</f>
        <v>0</v>
      </c>
      <c r="O51" s="2" cm="1">
        <f t="array" ref="O51">IF(VLOOKUP($O$25,mission!$D$46:$F$60,3,FALSE)&lt;=$C$8*$C$4,INDEX(mission!$E$46:$E$60,MATCH($O$25,mission!$D$46:$D$60,0)),0)</f>
        <v>0</v>
      </c>
      <c r="P51" s="2" cm="1">
        <f t="array" ref="P51">IF(VLOOKUP($P$25,mission!$D$46:$F$60,3,FALSE)&lt;=$C$8*$C$4,INDEX(mission!$E$46:$E$60,MATCH($P$25,mission!$D$46:$D$60,0)),0)</f>
        <v>0</v>
      </c>
      <c r="Q51" s="2" cm="1">
        <f t="array" ref="Q51">IF(VLOOKUP($Q$25,mission!$D$46:$F$60,3,FALSE)&lt;=$C$8*$C$4,INDEX(mission!$E$46:$E$60,MATCH($Q$25,mission!$D$46:$D$60,0)),0)</f>
        <v>0</v>
      </c>
      <c r="R51" s="2" cm="1">
        <f t="array" ref="R51">IF(VLOOKUP($R$25,mission!$D$46:$F$60,3,FALSE)&lt;=$F$5*60/$C$7,INDEX(mission!$E$46:$E$60,MATCH($R$25,mission!$D$46:$D$60,0)),0)</f>
        <v>5</v>
      </c>
      <c r="S51" s="2" cm="1">
        <f t="array" ref="S51">IF(VLOOKUP($S$25,mission!$D$46:$F$60,3,FALSE)&lt;=$F$5*60/$C$7,INDEX(mission!$E$46:$E$60,MATCH($S$25,mission!$D$46:$D$60,0)),0)</f>
        <v>0</v>
      </c>
      <c r="T51" s="2" cm="1">
        <f t="array" ref="T51">IF(VLOOKUP($T$25,mission!$D$46:$F$60,3,FALSE)&lt;=$F$5*60,INDEX(mission!$E$46:$E$60,MATCH($T$25,mission!$D$46:$D$60,0)),0)</f>
        <v>10</v>
      </c>
      <c r="U51" s="2" cm="1">
        <f t="array" ref="U51">IF(VLOOKUP($U$25,mission!$D$46:$F$60,3,FALSE)&lt;=$F$5*60,INDEX(mission!$E$46:$E$60,MATCH($U$25,mission!$D$46:$D$60,0)),0)</f>
        <v>0</v>
      </c>
      <c r="V51" s="2" cm="1">
        <f t="array" ref="V51">IF(VLOOKUP($V$25,mission!$D$46:$F$60,3,FALSE)&lt;=$F$5*60,INDEX(mission!$E$46:$E$60,MATCH($V$25,mission!$D$46:$D$60,0)),0)</f>
        <v>0</v>
      </c>
      <c r="W51" s="2" cm="1">
        <f t="array" ref="W51">IF(VLOOKUP($W$25,mission!$D$46:$F$60,3,FALSE)&lt;=$F$5*60,INDEX(mission!$E$46:$E$60,MATCH($W$25,mission!$D$46:$D$60,0)),0)</f>
        <v>0</v>
      </c>
    </row>
    <row r="52" s="1" customFormat="1" ht="18" customHeight="1" spans="2:23">
      <c r="B52" s="2">
        <v>27</v>
      </c>
      <c r="C52" s="2">
        <f t="shared" si="0"/>
        <v>27000</v>
      </c>
      <c r="D52" s="2">
        <f t="shared" si="6"/>
        <v>88</v>
      </c>
      <c r="E52" s="2">
        <f t="shared" si="3"/>
        <v>2376</v>
      </c>
      <c r="F52" s="2">
        <f>ROUND(E52*VLOOKUP($B$10,总产出!$T$4:$U$14,2,FALSE),0)</f>
        <v>238</v>
      </c>
      <c r="G52" s="2">
        <f t="shared" si="2"/>
        <v>25</v>
      </c>
      <c r="H52" s="2">
        <f t="shared" si="4"/>
        <v>675</v>
      </c>
      <c r="I52" s="2" cm="1">
        <f t="array" ref="I52">IF(VLOOKUP($I$25,mission!$D$46:$F$60,3,FALSE)&lt;=$F$5*60/$C$7,INDEX(mission!$E$46:$E$60,MATCH($I$25,mission!$D$46:$D$60,0)),0)</f>
        <v>5</v>
      </c>
      <c r="J52" s="2" cm="1">
        <f t="array" ref="J52">IF(VLOOKUP($J$25,mission!$D$46:$F$60,3,FALSE)&lt;=$F$5*60/$C$7,INDEX(mission!$E$46:$E$60,MATCH($J$25,mission!$D$46:$D$60,0)),0)</f>
        <v>0</v>
      </c>
      <c r="K52" s="2" cm="1">
        <f t="array" ref="K52">IF(VLOOKUP($K$25,mission!$D$46:$F$60,3,FALSE)&lt;=$F$5*60/$C$7,INDEX(mission!$E$46:$E$60,MATCH($K$25,mission!$D$46:$D$60,0)),0)</f>
        <v>0</v>
      </c>
      <c r="L52" s="2" cm="1">
        <f t="array" ref="L52">IF(VLOOKUP($L$25,mission!$D$46:$F$60,3,FALSE)&lt;=$C$8,INDEX(mission!$E$46:$E$60,MATCH($L$25,mission!$D$46:$D$60,0)),0)</f>
        <v>5</v>
      </c>
      <c r="M52" s="2" cm="1">
        <f t="array" ref="M52">IF(VLOOKUP($M$25,mission!$D$46:$F$60,3,FALSE)&lt;=$C$8,INDEX(mission!$E$46:$E$60,MATCH($M$25,mission!$D$46:$D$60,0)),0)</f>
        <v>0</v>
      </c>
      <c r="N52" s="2" cm="1">
        <f t="array" ref="N52">IF(VLOOKUP($N$25,mission!$D$46:$F$60,3,FALSE)&lt;=$C$8,INDEX(mission!$E$46:$E$60,MATCH($N$25,mission!$D$46:$D$60,0)),0)</f>
        <v>0</v>
      </c>
      <c r="O52" s="2" cm="1">
        <f t="array" ref="O52">IF(VLOOKUP($O$25,mission!$D$46:$F$60,3,FALSE)&lt;=$C$8*$C$4,INDEX(mission!$E$46:$E$60,MATCH($O$25,mission!$D$46:$D$60,0)),0)</f>
        <v>0</v>
      </c>
      <c r="P52" s="2" cm="1">
        <f t="array" ref="P52">IF(VLOOKUP($P$25,mission!$D$46:$F$60,3,FALSE)&lt;=$C$8*$C$4,INDEX(mission!$E$46:$E$60,MATCH($P$25,mission!$D$46:$D$60,0)),0)</f>
        <v>0</v>
      </c>
      <c r="Q52" s="2" cm="1">
        <f t="array" ref="Q52">IF(VLOOKUP($Q$25,mission!$D$46:$F$60,3,FALSE)&lt;=$C$8*$C$4,INDEX(mission!$E$46:$E$60,MATCH($Q$25,mission!$D$46:$D$60,0)),0)</f>
        <v>0</v>
      </c>
      <c r="R52" s="2" cm="1">
        <f t="array" ref="R52">IF(VLOOKUP($R$25,mission!$D$46:$F$60,3,FALSE)&lt;=$F$5*60/$C$7,INDEX(mission!$E$46:$E$60,MATCH($R$25,mission!$D$46:$D$60,0)),0)</f>
        <v>5</v>
      </c>
      <c r="S52" s="2" cm="1">
        <f t="array" ref="S52">IF(VLOOKUP($S$25,mission!$D$46:$F$60,3,FALSE)&lt;=$F$5*60/$C$7,INDEX(mission!$E$46:$E$60,MATCH($S$25,mission!$D$46:$D$60,0)),0)</f>
        <v>0</v>
      </c>
      <c r="T52" s="2" cm="1">
        <f t="array" ref="T52">IF(VLOOKUP($T$25,mission!$D$46:$F$60,3,FALSE)&lt;=$F$5*60,INDEX(mission!$E$46:$E$60,MATCH($T$25,mission!$D$46:$D$60,0)),0)</f>
        <v>10</v>
      </c>
      <c r="U52" s="2" cm="1">
        <f t="array" ref="U52">IF(VLOOKUP($U$25,mission!$D$46:$F$60,3,FALSE)&lt;=$F$5*60,INDEX(mission!$E$46:$E$60,MATCH($U$25,mission!$D$46:$D$60,0)),0)</f>
        <v>0</v>
      </c>
      <c r="V52" s="2" cm="1">
        <f t="array" ref="V52">IF(VLOOKUP($V$25,mission!$D$46:$F$60,3,FALSE)&lt;=$F$5*60,INDEX(mission!$E$46:$E$60,MATCH($V$25,mission!$D$46:$D$60,0)),0)</f>
        <v>0</v>
      </c>
      <c r="W52" s="2" cm="1">
        <f t="array" ref="W52">IF(VLOOKUP($W$25,mission!$D$46:$F$60,3,FALSE)&lt;=$F$5*60,INDEX(mission!$E$46:$E$60,MATCH($W$25,mission!$D$46:$D$60,0)),0)</f>
        <v>0</v>
      </c>
    </row>
    <row r="53" s="1" customFormat="1" ht="18" customHeight="1" spans="2:23">
      <c r="B53" s="2">
        <v>28</v>
      </c>
      <c r="C53" s="2">
        <f t="shared" si="0"/>
        <v>28000</v>
      </c>
      <c r="D53" s="2">
        <f t="shared" si="6"/>
        <v>88</v>
      </c>
      <c r="E53" s="2">
        <f t="shared" si="3"/>
        <v>2464</v>
      </c>
      <c r="F53" s="2">
        <f>ROUND(E53*VLOOKUP($B$10,总产出!$T$4:$U$14,2,FALSE),0)</f>
        <v>246</v>
      </c>
      <c r="G53" s="2">
        <f t="shared" si="2"/>
        <v>25</v>
      </c>
      <c r="H53" s="2">
        <f t="shared" si="4"/>
        <v>700</v>
      </c>
      <c r="I53" s="2" cm="1">
        <f t="array" ref="I53">IF(VLOOKUP($I$25,mission!$D$46:$F$60,3,FALSE)&lt;=$F$5*60/$C$7,INDEX(mission!$E$46:$E$60,MATCH($I$25,mission!$D$46:$D$60,0)),0)</f>
        <v>5</v>
      </c>
      <c r="J53" s="2" cm="1">
        <f t="array" ref="J53">IF(VLOOKUP($J$25,mission!$D$46:$F$60,3,FALSE)&lt;=$F$5*60/$C$7,INDEX(mission!$E$46:$E$60,MATCH($J$25,mission!$D$46:$D$60,0)),0)</f>
        <v>0</v>
      </c>
      <c r="K53" s="2" cm="1">
        <f t="array" ref="K53">IF(VLOOKUP($K$25,mission!$D$46:$F$60,3,FALSE)&lt;=$F$5*60/$C$7,INDEX(mission!$E$46:$E$60,MATCH($K$25,mission!$D$46:$D$60,0)),0)</f>
        <v>0</v>
      </c>
      <c r="L53" s="2" cm="1">
        <f t="array" ref="L53">IF(VLOOKUP($L$25,mission!$D$46:$F$60,3,FALSE)&lt;=$C$8,INDEX(mission!$E$46:$E$60,MATCH($L$25,mission!$D$46:$D$60,0)),0)</f>
        <v>5</v>
      </c>
      <c r="M53" s="2" cm="1">
        <f t="array" ref="M53">IF(VLOOKUP($M$25,mission!$D$46:$F$60,3,FALSE)&lt;=$C$8,INDEX(mission!$E$46:$E$60,MATCH($M$25,mission!$D$46:$D$60,0)),0)</f>
        <v>0</v>
      </c>
      <c r="N53" s="2" cm="1">
        <f t="array" ref="N53">IF(VLOOKUP($N$25,mission!$D$46:$F$60,3,FALSE)&lt;=$C$8,INDEX(mission!$E$46:$E$60,MATCH($N$25,mission!$D$46:$D$60,0)),0)</f>
        <v>0</v>
      </c>
      <c r="O53" s="2" cm="1">
        <f t="array" ref="O53">IF(VLOOKUP($O$25,mission!$D$46:$F$60,3,FALSE)&lt;=$C$8*$C$4,INDEX(mission!$E$46:$E$60,MATCH($O$25,mission!$D$46:$D$60,0)),0)</f>
        <v>0</v>
      </c>
      <c r="P53" s="2" cm="1">
        <f t="array" ref="P53">IF(VLOOKUP($P$25,mission!$D$46:$F$60,3,FALSE)&lt;=$C$8*$C$4,INDEX(mission!$E$46:$E$60,MATCH($P$25,mission!$D$46:$D$60,0)),0)</f>
        <v>0</v>
      </c>
      <c r="Q53" s="2" cm="1">
        <f t="array" ref="Q53">IF(VLOOKUP($Q$25,mission!$D$46:$F$60,3,FALSE)&lt;=$C$8*$C$4,INDEX(mission!$E$46:$E$60,MATCH($Q$25,mission!$D$46:$D$60,0)),0)</f>
        <v>0</v>
      </c>
      <c r="R53" s="2" cm="1">
        <f t="array" ref="R53">IF(VLOOKUP($R$25,mission!$D$46:$F$60,3,FALSE)&lt;=$F$5*60/$C$7,INDEX(mission!$E$46:$E$60,MATCH($R$25,mission!$D$46:$D$60,0)),0)</f>
        <v>5</v>
      </c>
      <c r="S53" s="2" cm="1">
        <f t="array" ref="S53">IF(VLOOKUP($S$25,mission!$D$46:$F$60,3,FALSE)&lt;=$F$5*60/$C$7,INDEX(mission!$E$46:$E$60,MATCH($S$25,mission!$D$46:$D$60,0)),0)</f>
        <v>0</v>
      </c>
      <c r="T53" s="2" cm="1">
        <f t="array" ref="T53">IF(VLOOKUP($T$25,mission!$D$46:$F$60,3,FALSE)&lt;=$F$5*60,INDEX(mission!$E$46:$E$60,MATCH($T$25,mission!$D$46:$D$60,0)),0)</f>
        <v>10</v>
      </c>
      <c r="U53" s="2" cm="1">
        <f t="array" ref="U53">IF(VLOOKUP($U$25,mission!$D$46:$F$60,3,FALSE)&lt;=$F$5*60,INDEX(mission!$E$46:$E$60,MATCH($U$25,mission!$D$46:$D$60,0)),0)</f>
        <v>0</v>
      </c>
      <c r="V53" s="2" cm="1">
        <f t="array" ref="V53">IF(VLOOKUP($V$25,mission!$D$46:$F$60,3,FALSE)&lt;=$F$5*60,INDEX(mission!$E$46:$E$60,MATCH($V$25,mission!$D$46:$D$60,0)),0)</f>
        <v>0</v>
      </c>
      <c r="W53" s="2" cm="1">
        <f t="array" ref="W53">IF(VLOOKUP($W$25,mission!$D$46:$F$60,3,FALSE)&lt;=$F$5*60,INDEX(mission!$E$46:$E$60,MATCH($W$25,mission!$D$46:$D$60,0)),0)</f>
        <v>0</v>
      </c>
    </row>
    <row r="54" s="1" customFormat="1" ht="18" customHeight="1" spans="2:23">
      <c r="B54" s="2">
        <v>29</v>
      </c>
      <c r="C54" s="2">
        <f t="shared" si="0"/>
        <v>29000</v>
      </c>
      <c r="D54" s="2">
        <f t="shared" si="6"/>
        <v>88</v>
      </c>
      <c r="E54" s="2">
        <f t="shared" si="3"/>
        <v>2552</v>
      </c>
      <c r="F54" s="2">
        <f>ROUND(E54*VLOOKUP($B$10,总产出!$T$4:$U$14,2,FALSE),0)</f>
        <v>255</v>
      </c>
      <c r="G54" s="2">
        <f t="shared" si="2"/>
        <v>25</v>
      </c>
      <c r="H54" s="2">
        <f t="shared" si="4"/>
        <v>725</v>
      </c>
      <c r="I54" s="2" cm="1">
        <f t="array" ref="I54">IF(VLOOKUP($I$25,mission!$D$46:$F$60,3,FALSE)&lt;=$F$5*60/$C$7,INDEX(mission!$E$46:$E$60,MATCH($I$25,mission!$D$46:$D$60,0)),0)</f>
        <v>5</v>
      </c>
      <c r="J54" s="2" cm="1">
        <f t="array" ref="J54">IF(VLOOKUP($J$25,mission!$D$46:$F$60,3,FALSE)&lt;=$F$5*60/$C$7,INDEX(mission!$E$46:$E$60,MATCH($J$25,mission!$D$46:$D$60,0)),0)</f>
        <v>0</v>
      </c>
      <c r="K54" s="2" cm="1">
        <f t="array" ref="K54">IF(VLOOKUP($K$25,mission!$D$46:$F$60,3,FALSE)&lt;=$F$5*60/$C$7,INDEX(mission!$E$46:$E$60,MATCH($K$25,mission!$D$46:$D$60,0)),0)</f>
        <v>0</v>
      </c>
      <c r="L54" s="2" cm="1">
        <f t="array" ref="L54">IF(VLOOKUP($L$25,mission!$D$46:$F$60,3,FALSE)&lt;=$C$8,INDEX(mission!$E$46:$E$60,MATCH($L$25,mission!$D$46:$D$60,0)),0)</f>
        <v>5</v>
      </c>
      <c r="M54" s="2" cm="1">
        <f t="array" ref="M54">IF(VLOOKUP($M$25,mission!$D$46:$F$60,3,FALSE)&lt;=$C$8,INDEX(mission!$E$46:$E$60,MATCH($M$25,mission!$D$46:$D$60,0)),0)</f>
        <v>0</v>
      </c>
      <c r="N54" s="2" cm="1">
        <f t="array" ref="N54">IF(VLOOKUP($N$25,mission!$D$46:$F$60,3,FALSE)&lt;=$C$8,INDEX(mission!$E$46:$E$60,MATCH($N$25,mission!$D$46:$D$60,0)),0)</f>
        <v>0</v>
      </c>
      <c r="O54" s="2" cm="1">
        <f t="array" ref="O54">IF(VLOOKUP($O$25,mission!$D$46:$F$60,3,FALSE)&lt;=$C$8*$C$4,INDEX(mission!$E$46:$E$60,MATCH($O$25,mission!$D$46:$D$60,0)),0)</f>
        <v>0</v>
      </c>
      <c r="P54" s="2" cm="1">
        <f t="array" ref="P54">IF(VLOOKUP($P$25,mission!$D$46:$F$60,3,FALSE)&lt;=$C$8*$C$4,INDEX(mission!$E$46:$E$60,MATCH($P$25,mission!$D$46:$D$60,0)),0)</f>
        <v>0</v>
      </c>
      <c r="Q54" s="2" cm="1">
        <f t="array" ref="Q54">IF(VLOOKUP($Q$25,mission!$D$46:$F$60,3,FALSE)&lt;=$C$8*$C$4,INDEX(mission!$E$46:$E$60,MATCH($Q$25,mission!$D$46:$D$60,0)),0)</f>
        <v>0</v>
      </c>
      <c r="R54" s="2" cm="1">
        <f t="array" ref="R54">IF(VLOOKUP($R$25,mission!$D$46:$F$60,3,FALSE)&lt;=$F$5*60/$C$7,INDEX(mission!$E$46:$E$60,MATCH($R$25,mission!$D$46:$D$60,0)),0)</f>
        <v>5</v>
      </c>
      <c r="S54" s="2" cm="1">
        <f t="array" ref="S54">IF(VLOOKUP($S$25,mission!$D$46:$F$60,3,FALSE)&lt;=$F$5*60/$C$7,INDEX(mission!$E$46:$E$60,MATCH($S$25,mission!$D$46:$D$60,0)),0)</f>
        <v>0</v>
      </c>
      <c r="T54" s="2" cm="1">
        <f t="array" ref="T54">IF(VLOOKUP($T$25,mission!$D$46:$F$60,3,FALSE)&lt;=$F$5*60,INDEX(mission!$E$46:$E$60,MATCH($T$25,mission!$D$46:$D$60,0)),0)</f>
        <v>10</v>
      </c>
      <c r="U54" s="2" cm="1">
        <f t="array" ref="U54">IF(VLOOKUP($U$25,mission!$D$46:$F$60,3,FALSE)&lt;=$F$5*60,INDEX(mission!$E$46:$E$60,MATCH($U$25,mission!$D$46:$D$60,0)),0)</f>
        <v>0</v>
      </c>
      <c r="V54" s="2" cm="1">
        <f t="array" ref="V54">IF(VLOOKUP($V$25,mission!$D$46:$F$60,3,FALSE)&lt;=$F$5*60,INDEX(mission!$E$46:$E$60,MATCH($V$25,mission!$D$46:$D$60,0)),0)</f>
        <v>0</v>
      </c>
      <c r="W54" s="2" cm="1">
        <f t="array" ref="W54">IF(VLOOKUP($W$25,mission!$D$46:$F$60,3,FALSE)&lt;=$F$5*60,INDEX(mission!$E$46:$E$60,MATCH($W$25,mission!$D$46:$D$60,0)),0)</f>
        <v>0</v>
      </c>
    </row>
    <row r="55" s="1" customFormat="1" ht="18" customHeight="1" spans="2:23">
      <c r="B55" s="2">
        <v>30</v>
      </c>
      <c r="C55" s="2">
        <f t="shared" si="0"/>
        <v>30000</v>
      </c>
      <c r="D55" s="2">
        <f t="shared" si="6"/>
        <v>88</v>
      </c>
      <c r="E55" s="2">
        <f t="shared" si="3"/>
        <v>2640</v>
      </c>
      <c r="F55" s="2">
        <f>ROUND(E55*VLOOKUP($B$10,总产出!$T$4:$U$14,2,FALSE),0)</f>
        <v>264</v>
      </c>
      <c r="G55" s="2">
        <f t="shared" si="2"/>
        <v>25</v>
      </c>
      <c r="H55" s="2">
        <f t="shared" si="4"/>
        <v>750</v>
      </c>
      <c r="I55" s="2" cm="1">
        <f t="array" ref="I55">IF(VLOOKUP($I$25,mission!$D$46:$F$60,3,FALSE)&lt;=$F$5*60/$C$7,INDEX(mission!$E$46:$E$60,MATCH($I$25,mission!$D$46:$D$60,0)),0)</f>
        <v>5</v>
      </c>
      <c r="J55" s="2" cm="1">
        <f t="array" ref="J55">IF(VLOOKUP($J$25,mission!$D$46:$F$60,3,FALSE)&lt;=$F$5*60/$C$7,INDEX(mission!$E$46:$E$60,MATCH($J$25,mission!$D$46:$D$60,0)),0)</f>
        <v>0</v>
      </c>
      <c r="K55" s="2" cm="1">
        <f t="array" ref="K55">IF(VLOOKUP($K$25,mission!$D$46:$F$60,3,FALSE)&lt;=$F$5*60/$C$7,INDEX(mission!$E$46:$E$60,MATCH($K$25,mission!$D$46:$D$60,0)),0)</f>
        <v>0</v>
      </c>
      <c r="L55" s="2" cm="1">
        <f t="array" ref="L55">IF(VLOOKUP($L$25,mission!$D$46:$F$60,3,FALSE)&lt;=$C$8,INDEX(mission!$E$46:$E$60,MATCH($L$25,mission!$D$46:$D$60,0)),0)</f>
        <v>5</v>
      </c>
      <c r="M55" s="2" cm="1">
        <f t="array" ref="M55">IF(VLOOKUP($M$25,mission!$D$46:$F$60,3,FALSE)&lt;=$C$8,INDEX(mission!$E$46:$E$60,MATCH($M$25,mission!$D$46:$D$60,0)),0)</f>
        <v>0</v>
      </c>
      <c r="N55" s="2" cm="1">
        <f t="array" ref="N55">IF(VLOOKUP($N$25,mission!$D$46:$F$60,3,FALSE)&lt;=$C$8,INDEX(mission!$E$46:$E$60,MATCH($N$25,mission!$D$46:$D$60,0)),0)</f>
        <v>0</v>
      </c>
      <c r="O55" s="2" cm="1">
        <f t="array" ref="O55">IF(VLOOKUP($O$25,mission!$D$46:$F$60,3,FALSE)&lt;=$C$8*$C$4,INDEX(mission!$E$46:$E$60,MATCH($O$25,mission!$D$46:$D$60,0)),0)</f>
        <v>0</v>
      </c>
      <c r="P55" s="2" cm="1">
        <f t="array" ref="P55">IF(VLOOKUP($P$25,mission!$D$46:$F$60,3,FALSE)&lt;=$C$8*$C$4,INDEX(mission!$E$46:$E$60,MATCH($P$25,mission!$D$46:$D$60,0)),0)</f>
        <v>0</v>
      </c>
      <c r="Q55" s="2" cm="1">
        <f t="array" ref="Q55">IF(VLOOKUP($Q$25,mission!$D$46:$F$60,3,FALSE)&lt;=$C$8*$C$4,INDEX(mission!$E$46:$E$60,MATCH($Q$25,mission!$D$46:$D$60,0)),0)</f>
        <v>0</v>
      </c>
      <c r="R55" s="2" cm="1">
        <f t="array" ref="R55">IF(VLOOKUP($R$25,mission!$D$46:$F$60,3,FALSE)&lt;=$F$5*60/$C$7,INDEX(mission!$E$46:$E$60,MATCH($R$25,mission!$D$46:$D$60,0)),0)</f>
        <v>5</v>
      </c>
      <c r="S55" s="2" cm="1">
        <f t="array" ref="S55">IF(VLOOKUP($S$25,mission!$D$46:$F$60,3,FALSE)&lt;=$F$5*60/$C$7,INDEX(mission!$E$46:$E$60,MATCH($S$25,mission!$D$46:$D$60,0)),0)</f>
        <v>0</v>
      </c>
      <c r="T55" s="2" cm="1">
        <f t="array" ref="T55">IF(VLOOKUP($T$25,mission!$D$46:$F$60,3,FALSE)&lt;=$F$5*60,INDEX(mission!$E$46:$E$60,MATCH($T$25,mission!$D$46:$D$60,0)),0)</f>
        <v>10</v>
      </c>
      <c r="U55" s="2" cm="1">
        <f t="array" ref="U55">IF(VLOOKUP($U$25,mission!$D$46:$F$60,3,FALSE)&lt;=$F$5*60,INDEX(mission!$E$46:$E$60,MATCH($U$25,mission!$D$46:$D$60,0)),0)</f>
        <v>0</v>
      </c>
      <c r="V55" s="2" cm="1">
        <f t="array" ref="V55">IF(VLOOKUP($V$25,mission!$D$46:$F$60,3,FALSE)&lt;=$F$5*60,INDEX(mission!$E$46:$E$60,MATCH($V$25,mission!$D$46:$D$60,0)),0)</f>
        <v>0</v>
      </c>
      <c r="W55" s="2" cm="1">
        <f t="array" ref="W55">IF(VLOOKUP($W$25,mission!$D$46:$F$60,3,FALSE)&lt;=$F$5*60,INDEX(mission!$E$46:$E$60,MATCH($W$25,mission!$D$46:$D$60,0)),0)</f>
        <v>0</v>
      </c>
    </row>
    <row r="56" s="1" customFormat="1" ht="18" customHeight="1" spans="2:23">
      <c r="B56" s="2">
        <v>31</v>
      </c>
      <c r="C56" s="2">
        <f t="shared" si="0"/>
        <v>31000</v>
      </c>
      <c r="D56" s="2">
        <f t="shared" si="6"/>
        <v>88</v>
      </c>
      <c r="E56" s="2">
        <f t="shared" si="3"/>
        <v>2728</v>
      </c>
      <c r="F56" s="2">
        <f>ROUND(E56*VLOOKUP($B$10,总产出!$T$4:$U$14,2,FALSE),0)</f>
        <v>273</v>
      </c>
      <c r="G56" s="2">
        <f t="shared" si="2"/>
        <v>25</v>
      </c>
      <c r="H56" s="2">
        <f t="shared" si="4"/>
        <v>775</v>
      </c>
      <c r="I56" s="2" cm="1">
        <f t="array" ref="I56">IF(VLOOKUP($I$25,mission!$D$46:$F$60,3,FALSE)&lt;=$F$5*60/$C$7,INDEX(mission!$E$46:$E$60,MATCH($I$25,mission!$D$46:$D$60,0)),0)</f>
        <v>5</v>
      </c>
      <c r="J56" s="2" cm="1">
        <f t="array" ref="J56">IF(VLOOKUP($J$25,mission!$D$46:$F$60,3,FALSE)&lt;=$F$5*60/$C$7,INDEX(mission!$E$46:$E$60,MATCH($J$25,mission!$D$46:$D$60,0)),0)</f>
        <v>0</v>
      </c>
      <c r="K56" s="2" cm="1">
        <f t="array" ref="K56">IF(VLOOKUP($K$25,mission!$D$46:$F$60,3,FALSE)&lt;=$F$5*60/$C$7,INDEX(mission!$E$46:$E$60,MATCH($K$25,mission!$D$46:$D$60,0)),0)</f>
        <v>0</v>
      </c>
      <c r="L56" s="2" cm="1">
        <f t="array" ref="L56">IF(VLOOKUP($L$25,mission!$D$46:$F$60,3,FALSE)&lt;=$C$8,INDEX(mission!$E$46:$E$60,MATCH($L$25,mission!$D$46:$D$60,0)),0)</f>
        <v>5</v>
      </c>
      <c r="M56" s="2" cm="1">
        <f t="array" ref="M56">IF(VLOOKUP($M$25,mission!$D$46:$F$60,3,FALSE)&lt;=$C$8,INDEX(mission!$E$46:$E$60,MATCH($M$25,mission!$D$46:$D$60,0)),0)</f>
        <v>0</v>
      </c>
      <c r="N56" s="2" cm="1">
        <f t="array" ref="N56">IF(VLOOKUP($N$25,mission!$D$46:$F$60,3,FALSE)&lt;=$C$8,INDEX(mission!$E$46:$E$60,MATCH($N$25,mission!$D$46:$D$60,0)),0)</f>
        <v>0</v>
      </c>
      <c r="O56" s="2" cm="1">
        <f t="array" ref="O56">IF(VLOOKUP($O$25,mission!$D$46:$F$60,3,FALSE)&lt;=$C$8*$C$4,INDEX(mission!$E$46:$E$60,MATCH($O$25,mission!$D$46:$D$60,0)),0)</f>
        <v>0</v>
      </c>
      <c r="P56" s="2" cm="1">
        <f t="array" ref="P56">IF(VLOOKUP($P$25,mission!$D$46:$F$60,3,FALSE)&lt;=$C$8*$C$4,INDEX(mission!$E$46:$E$60,MATCH($P$25,mission!$D$46:$D$60,0)),0)</f>
        <v>0</v>
      </c>
      <c r="Q56" s="2" cm="1">
        <f t="array" ref="Q56">IF(VLOOKUP($Q$25,mission!$D$46:$F$60,3,FALSE)&lt;=$C$8*$C$4,INDEX(mission!$E$46:$E$60,MATCH($Q$25,mission!$D$46:$D$60,0)),0)</f>
        <v>0</v>
      </c>
      <c r="R56" s="2" cm="1">
        <f t="array" ref="R56">IF(VLOOKUP($R$25,mission!$D$46:$F$60,3,FALSE)&lt;=$F$5*60/$C$7,INDEX(mission!$E$46:$E$60,MATCH($R$25,mission!$D$46:$D$60,0)),0)</f>
        <v>5</v>
      </c>
      <c r="S56" s="2" cm="1">
        <f t="array" ref="S56">IF(VLOOKUP($S$25,mission!$D$46:$F$60,3,FALSE)&lt;=$F$5*60/$C$7,INDEX(mission!$E$46:$E$60,MATCH($S$25,mission!$D$46:$D$60,0)),0)</f>
        <v>0</v>
      </c>
      <c r="T56" s="2" cm="1">
        <f t="array" ref="T56">IF(VLOOKUP($T$25,mission!$D$46:$F$60,3,FALSE)&lt;=$F$5*60,INDEX(mission!$E$46:$E$60,MATCH($T$25,mission!$D$46:$D$60,0)),0)</f>
        <v>10</v>
      </c>
      <c r="U56" s="2" cm="1">
        <f t="array" ref="U56">IF(VLOOKUP($U$25,mission!$D$46:$F$60,3,FALSE)&lt;=$F$5*60,INDEX(mission!$E$46:$E$60,MATCH($U$25,mission!$D$46:$D$60,0)),0)</f>
        <v>0</v>
      </c>
      <c r="V56" s="2" cm="1">
        <f t="array" ref="V56">IF(VLOOKUP($V$25,mission!$D$46:$F$60,3,FALSE)&lt;=$F$5*60,INDEX(mission!$E$46:$E$60,MATCH($V$25,mission!$D$46:$D$60,0)),0)</f>
        <v>0</v>
      </c>
      <c r="W56" s="2" cm="1">
        <f t="array" ref="W56">IF(VLOOKUP($W$25,mission!$D$46:$F$60,3,FALSE)&lt;=$F$5*60,INDEX(mission!$E$46:$E$60,MATCH($W$25,mission!$D$46:$D$60,0)),0)</f>
        <v>0</v>
      </c>
    </row>
    <row r="57" s="1" customFormat="1" ht="18" customHeight="1" spans="2:23">
      <c r="B57" s="2">
        <v>32</v>
      </c>
      <c r="C57" s="2">
        <f t="shared" si="0"/>
        <v>32000</v>
      </c>
      <c r="D57" s="2">
        <f t="shared" ref="D57:D66" si="7">ROUND($C$8*$C$5+$C$8*$C$4*(1-$L$5),0)</f>
        <v>88</v>
      </c>
      <c r="E57" s="2">
        <f t="shared" si="3"/>
        <v>2816</v>
      </c>
      <c r="F57" s="2">
        <f>ROUND(E57*VLOOKUP($B$10,总产出!$T$4:$U$14,2,FALSE),0)</f>
        <v>282</v>
      </c>
      <c r="G57" s="2">
        <f t="shared" si="2"/>
        <v>25</v>
      </c>
      <c r="H57" s="2">
        <f t="shared" si="4"/>
        <v>800</v>
      </c>
      <c r="I57" s="2" cm="1">
        <f t="array" ref="I57">IF(VLOOKUP($I$25,mission!$D$46:$F$60,3,FALSE)&lt;=$F$5*60/$C$7,INDEX(mission!$E$46:$E$60,MATCH($I$25,mission!$D$46:$D$60,0)),0)</f>
        <v>5</v>
      </c>
      <c r="J57" s="2" cm="1">
        <f t="array" ref="J57">IF(VLOOKUP($J$25,mission!$D$46:$F$60,3,FALSE)&lt;=$F$5*60/$C$7,INDEX(mission!$E$46:$E$60,MATCH($J$25,mission!$D$46:$D$60,0)),0)</f>
        <v>0</v>
      </c>
      <c r="K57" s="2" cm="1">
        <f t="array" ref="K57">IF(VLOOKUP($K$25,mission!$D$46:$F$60,3,FALSE)&lt;=$F$5*60/$C$7,INDEX(mission!$E$46:$E$60,MATCH($K$25,mission!$D$46:$D$60,0)),0)</f>
        <v>0</v>
      </c>
      <c r="L57" s="2" cm="1">
        <f t="array" ref="L57">IF(VLOOKUP($L$25,mission!$D$46:$F$60,3,FALSE)&lt;=$C$8,INDEX(mission!$E$46:$E$60,MATCH($L$25,mission!$D$46:$D$60,0)),0)</f>
        <v>5</v>
      </c>
      <c r="M57" s="2" cm="1">
        <f t="array" ref="M57">IF(VLOOKUP($M$25,mission!$D$46:$F$60,3,FALSE)&lt;=$C$8,INDEX(mission!$E$46:$E$60,MATCH($M$25,mission!$D$46:$D$60,0)),0)</f>
        <v>0</v>
      </c>
      <c r="N57" s="2" cm="1">
        <f t="array" ref="N57">IF(VLOOKUP($N$25,mission!$D$46:$F$60,3,FALSE)&lt;=$C$8,INDEX(mission!$E$46:$E$60,MATCH($N$25,mission!$D$46:$D$60,0)),0)</f>
        <v>0</v>
      </c>
      <c r="O57" s="2" cm="1">
        <f t="array" ref="O57">IF(VLOOKUP($O$25,mission!$D$46:$F$60,3,FALSE)&lt;=$C$8*$C$4,INDEX(mission!$E$46:$E$60,MATCH($O$25,mission!$D$46:$D$60,0)),0)</f>
        <v>0</v>
      </c>
      <c r="P57" s="2" cm="1">
        <f t="array" ref="P57">IF(VLOOKUP($P$25,mission!$D$46:$F$60,3,FALSE)&lt;=$C$8*$C$4,INDEX(mission!$E$46:$E$60,MATCH($P$25,mission!$D$46:$D$60,0)),0)</f>
        <v>0</v>
      </c>
      <c r="Q57" s="2" cm="1">
        <f t="array" ref="Q57">IF(VLOOKUP($Q$25,mission!$D$46:$F$60,3,FALSE)&lt;=$C$8*$C$4,INDEX(mission!$E$46:$E$60,MATCH($Q$25,mission!$D$46:$D$60,0)),0)</f>
        <v>0</v>
      </c>
      <c r="R57" s="2" cm="1">
        <f t="array" ref="R57">IF(VLOOKUP($R$25,mission!$D$46:$F$60,3,FALSE)&lt;=$F$5*60/$C$7,INDEX(mission!$E$46:$E$60,MATCH($R$25,mission!$D$46:$D$60,0)),0)</f>
        <v>5</v>
      </c>
      <c r="S57" s="2" cm="1">
        <f t="array" ref="S57">IF(VLOOKUP($S$25,mission!$D$46:$F$60,3,FALSE)&lt;=$F$5*60/$C$7,INDEX(mission!$E$46:$E$60,MATCH($S$25,mission!$D$46:$D$60,0)),0)</f>
        <v>0</v>
      </c>
      <c r="T57" s="2" cm="1">
        <f t="array" ref="T57">IF(VLOOKUP($T$25,mission!$D$46:$F$60,3,FALSE)&lt;=$F$5*60,INDEX(mission!$E$46:$E$60,MATCH($T$25,mission!$D$46:$D$60,0)),0)</f>
        <v>10</v>
      </c>
      <c r="U57" s="2" cm="1">
        <f t="array" ref="U57">IF(VLOOKUP($U$25,mission!$D$46:$F$60,3,FALSE)&lt;=$F$5*60,INDEX(mission!$E$46:$E$60,MATCH($U$25,mission!$D$46:$D$60,0)),0)</f>
        <v>0</v>
      </c>
      <c r="V57" s="2" cm="1">
        <f t="array" ref="V57">IF(VLOOKUP($V$25,mission!$D$46:$F$60,3,FALSE)&lt;=$F$5*60,INDEX(mission!$E$46:$E$60,MATCH($V$25,mission!$D$46:$D$60,0)),0)</f>
        <v>0</v>
      </c>
      <c r="W57" s="2" cm="1">
        <f t="array" ref="W57">IF(VLOOKUP($W$25,mission!$D$46:$F$60,3,FALSE)&lt;=$F$5*60,INDEX(mission!$E$46:$E$60,MATCH($W$25,mission!$D$46:$D$60,0)),0)</f>
        <v>0</v>
      </c>
    </row>
    <row r="58" s="1" customFormat="1" ht="18" customHeight="1" spans="2:23">
      <c r="B58" s="2">
        <v>33</v>
      </c>
      <c r="C58" s="2">
        <f t="shared" si="0"/>
        <v>33000</v>
      </c>
      <c r="D58" s="2">
        <f t="shared" si="7"/>
        <v>88</v>
      </c>
      <c r="E58" s="2">
        <f t="shared" si="3"/>
        <v>2904</v>
      </c>
      <c r="F58" s="2">
        <f>ROUND(E58*VLOOKUP($B$10,总产出!$T$4:$U$14,2,FALSE),0)</f>
        <v>290</v>
      </c>
      <c r="G58" s="2">
        <f t="shared" si="2"/>
        <v>25</v>
      </c>
      <c r="H58" s="2">
        <f t="shared" si="4"/>
        <v>825</v>
      </c>
      <c r="I58" s="2" cm="1">
        <f t="array" ref="I58">IF(VLOOKUP($I$25,mission!$D$46:$F$60,3,FALSE)&lt;=$F$5*60/$C$7,INDEX(mission!$E$46:$E$60,MATCH($I$25,mission!$D$46:$D$60,0)),0)</f>
        <v>5</v>
      </c>
      <c r="J58" s="2" cm="1">
        <f t="array" ref="J58">IF(VLOOKUP($J$25,mission!$D$46:$F$60,3,FALSE)&lt;=$F$5*60/$C$7,INDEX(mission!$E$46:$E$60,MATCH($J$25,mission!$D$46:$D$60,0)),0)</f>
        <v>0</v>
      </c>
      <c r="K58" s="2" cm="1">
        <f t="array" ref="K58">IF(VLOOKUP($K$25,mission!$D$46:$F$60,3,FALSE)&lt;=$F$5*60/$C$7,INDEX(mission!$E$46:$E$60,MATCH($K$25,mission!$D$46:$D$60,0)),0)</f>
        <v>0</v>
      </c>
      <c r="L58" s="2" cm="1">
        <f t="array" ref="L58">IF(VLOOKUP($L$25,mission!$D$46:$F$60,3,FALSE)&lt;=$C$8,INDEX(mission!$E$46:$E$60,MATCH($L$25,mission!$D$46:$D$60,0)),0)</f>
        <v>5</v>
      </c>
      <c r="M58" s="2" cm="1">
        <f t="array" ref="M58">IF(VLOOKUP($M$25,mission!$D$46:$F$60,3,FALSE)&lt;=$C$8,INDEX(mission!$E$46:$E$60,MATCH($M$25,mission!$D$46:$D$60,0)),0)</f>
        <v>0</v>
      </c>
      <c r="N58" s="2" cm="1">
        <f t="array" ref="N58">IF(VLOOKUP($N$25,mission!$D$46:$F$60,3,FALSE)&lt;=$C$8,INDEX(mission!$E$46:$E$60,MATCH($N$25,mission!$D$46:$D$60,0)),0)</f>
        <v>0</v>
      </c>
      <c r="O58" s="2" cm="1">
        <f t="array" ref="O58">IF(VLOOKUP($O$25,mission!$D$46:$F$60,3,FALSE)&lt;=$C$8*$C$4,INDEX(mission!$E$46:$E$60,MATCH($O$25,mission!$D$46:$D$60,0)),0)</f>
        <v>0</v>
      </c>
      <c r="P58" s="2" cm="1">
        <f t="array" ref="P58">IF(VLOOKUP($P$25,mission!$D$46:$F$60,3,FALSE)&lt;=$C$8*$C$4,INDEX(mission!$E$46:$E$60,MATCH($P$25,mission!$D$46:$D$60,0)),0)</f>
        <v>0</v>
      </c>
      <c r="Q58" s="2" cm="1">
        <f t="array" ref="Q58">IF(VLOOKUP($Q$25,mission!$D$46:$F$60,3,FALSE)&lt;=$C$8*$C$4,INDEX(mission!$E$46:$E$60,MATCH($Q$25,mission!$D$46:$D$60,0)),0)</f>
        <v>0</v>
      </c>
      <c r="R58" s="2" cm="1">
        <f t="array" ref="R58">IF(VLOOKUP($R$25,mission!$D$46:$F$60,3,FALSE)&lt;=$F$5*60/$C$7,INDEX(mission!$E$46:$E$60,MATCH($R$25,mission!$D$46:$D$60,0)),0)</f>
        <v>5</v>
      </c>
      <c r="S58" s="2" cm="1">
        <f t="array" ref="S58">IF(VLOOKUP($S$25,mission!$D$46:$F$60,3,FALSE)&lt;=$F$5*60/$C$7,INDEX(mission!$E$46:$E$60,MATCH($S$25,mission!$D$46:$D$60,0)),0)</f>
        <v>0</v>
      </c>
      <c r="T58" s="2" cm="1">
        <f t="array" ref="T58">IF(VLOOKUP($T$25,mission!$D$46:$F$60,3,FALSE)&lt;=$F$5*60,INDEX(mission!$E$46:$E$60,MATCH($T$25,mission!$D$46:$D$60,0)),0)</f>
        <v>10</v>
      </c>
      <c r="U58" s="2" cm="1">
        <f t="array" ref="U58">IF(VLOOKUP($U$25,mission!$D$46:$F$60,3,FALSE)&lt;=$F$5*60,INDEX(mission!$E$46:$E$60,MATCH($U$25,mission!$D$46:$D$60,0)),0)</f>
        <v>0</v>
      </c>
      <c r="V58" s="2" cm="1">
        <f t="array" ref="V58">IF(VLOOKUP($V$25,mission!$D$46:$F$60,3,FALSE)&lt;=$F$5*60,INDEX(mission!$E$46:$E$60,MATCH($V$25,mission!$D$46:$D$60,0)),0)</f>
        <v>0</v>
      </c>
      <c r="W58" s="2" cm="1">
        <f t="array" ref="W58">IF(VLOOKUP($W$25,mission!$D$46:$F$60,3,FALSE)&lt;=$F$5*60,INDEX(mission!$E$46:$E$60,MATCH($W$25,mission!$D$46:$D$60,0)),0)</f>
        <v>0</v>
      </c>
    </row>
    <row r="59" s="1" customFormat="1" ht="18" customHeight="1" spans="2:23">
      <c r="B59" s="2">
        <v>34</v>
      </c>
      <c r="C59" s="2">
        <f t="shared" ref="C59:C90" si="8">$C$8*B59</f>
        <v>34000</v>
      </c>
      <c r="D59" s="2">
        <f t="shared" si="7"/>
        <v>88</v>
      </c>
      <c r="E59" s="2">
        <f t="shared" si="3"/>
        <v>2992</v>
      </c>
      <c r="F59" s="2">
        <f>ROUND(E59*VLOOKUP($B$10,总产出!$T$4:$U$14,2,FALSE),0)</f>
        <v>299</v>
      </c>
      <c r="G59" s="2">
        <f t="shared" ref="G59:G90" si="9">SUM(I59:W59)</f>
        <v>25</v>
      </c>
      <c r="H59" s="2">
        <f t="shared" si="4"/>
        <v>850</v>
      </c>
      <c r="I59" s="2" cm="1">
        <f t="array" ref="I59">IF(VLOOKUP($I$25,mission!$D$46:$F$60,3,FALSE)&lt;=$F$5*60/$C$7,INDEX(mission!$E$46:$E$60,MATCH($I$25,mission!$D$46:$D$60,0)),0)</f>
        <v>5</v>
      </c>
      <c r="J59" s="2" cm="1">
        <f t="array" ref="J59">IF(VLOOKUP($J$25,mission!$D$46:$F$60,3,FALSE)&lt;=$F$5*60/$C$7,INDEX(mission!$E$46:$E$60,MATCH($J$25,mission!$D$46:$D$60,0)),0)</f>
        <v>0</v>
      </c>
      <c r="K59" s="2" cm="1">
        <f t="array" ref="K59">IF(VLOOKUP($K$25,mission!$D$46:$F$60,3,FALSE)&lt;=$F$5*60/$C$7,INDEX(mission!$E$46:$E$60,MATCH($K$25,mission!$D$46:$D$60,0)),0)</f>
        <v>0</v>
      </c>
      <c r="L59" s="2" cm="1">
        <f t="array" ref="L59">IF(VLOOKUP($L$25,mission!$D$46:$F$60,3,FALSE)&lt;=$C$8,INDEX(mission!$E$46:$E$60,MATCH($L$25,mission!$D$46:$D$60,0)),0)</f>
        <v>5</v>
      </c>
      <c r="M59" s="2" cm="1">
        <f t="array" ref="M59">IF(VLOOKUP($M$25,mission!$D$46:$F$60,3,FALSE)&lt;=$C$8,INDEX(mission!$E$46:$E$60,MATCH($M$25,mission!$D$46:$D$60,0)),0)</f>
        <v>0</v>
      </c>
      <c r="N59" s="2" cm="1">
        <f t="array" ref="N59">IF(VLOOKUP($N$25,mission!$D$46:$F$60,3,FALSE)&lt;=$C$8,INDEX(mission!$E$46:$E$60,MATCH($N$25,mission!$D$46:$D$60,0)),0)</f>
        <v>0</v>
      </c>
      <c r="O59" s="2" cm="1">
        <f t="array" ref="O59">IF(VLOOKUP($O$25,mission!$D$46:$F$60,3,FALSE)&lt;=$C$8*$C$4,INDEX(mission!$E$46:$E$60,MATCH($O$25,mission!$D$46:$D$60,0)),0)</f>
        <v>0</v>
      </c>
      <c r="P59" s="2" cm="1">
        <f t="array" ref="P59">IF(VLOOKUP($P$25,mission!$D$46:$F$60,3,FALSE)&lt;=$C$8*$C$4,INDEX(mission!$E$46:$E$60,MATCH($P$25,mission!$D$46:$D$60,0)),0)</f>
        <v>0</v>
      </c>
      <c r="Q59" s="2" cm="1">
        <f t="array" ref="Q59">IF(VLOOKUP($Q$25,mission!$D$46:$F$60,3,FALSE)&lt;=$C$8*$C$4,INDEX(mission!$E$46:$E$60,MATCH($Q$25,mission!$D$46:$D$60,0)),0)</f>
        <v>0</v>
      </c>
      <c r="R59" s="2" cm="1">
        <f t="array" ref="R59">IF(VLOOKUP($R$25,mission!$D$46:$F$60,3,FALSE)&lt;=$F$5*60/$C$7,INDEX(mission!$E$46:$E$60,MATCH($R$25,mission!$D$46:$D$60,0)),0)</f>
        <v>5</v>
      </c>
      <c r="S59" s="2" cm="1">
        <f t="array" ref="S59">IF(VLOOKUP($S$25,mission!$D$46:$F$60,3,FALSE)&lt;=$F$5*60/$C$7,INDEX(mission!$E$46:$E$60,MATCH($S$25,mission!$D$46:$D$60,0)),0)</f>
        <v>0</v>
      </c>
      <c r="T59" s="2" cm="1">
        <f t="array" ref="T59">IF(VLOOKUP($T$25,mission!$D$46:$F$60,3,FALSE)&lt;=$F$5*60,INDEX(mission!$E$46:$E$60,MATCH($T$25,mission!$D$46:$D$60,0)),0)</f>
        <v>10</v>
      </c>
      <c r="U59" s="2" cm="1">
        <f t="array" ref="U59">IF(VLOOKUP($U$25,mission!$D$46:$F$60,3,FALSE)&lt;=$F$5*60,INDEX(mission!$E$46:$E$60,MATCH($U$25,mission!$D$46:$D$60,0)),0)</f>
        <v>0</v>
      </c>
      <c r="V59" s="2" cm="1">
        <f t="array" ref="V59">IF(VLOOKUP($V$25,mission!$D$46:$F$60,3,FALSE)&lt;=$F$5*60,INDEX(mission!$E$46:$E$60,MATCH($V$25,mission!$D$46:$D$60,0)),0)</f>
        <v>0</v>
      </c>
      <c r="W59" s="2" cm="1">
        <f t="array" ref="W59">IF(VLOOKUP($W$25,mission!$D$46:$F$60,3,FALSE)&lt;=$F$5*60,INDEX(mission!$E$46:$E$60,MATCH($W$25,mission!$D$46:$D$60,0)),0)</f>
        <v>0</v>
      </c>
    </row>
    <row r="60" s="1" customFormat="1" ht="18" customHeight="1" spans="2:23">
      <c r="B60" s="2">
        <v>35</v>
      </c>
      <c r="C60" s="2">
        <f t="shared" si="8"/>
        <v>35000</v>
      </c>
      <c r="D60" s="2">
        <f t="shared" si="7"/>
        <v>88</v>
      </c>
      <c r="E60" s="2">
        <f t="shared" ref="E60:E91" si="10">D60*B60</f>
        <v>3080</v>
      </c>
      <c r="F60" s="2">
        <f>ROUND(E60*VLOOKUP($B$10,总产出!$T$4:$U$14,2,FALSE),0)</f>
        <v>308</v>
      </c>
      <c r="G60" s="2">
        <f t="shared" si="9"/>
        <v>25</v>
      </c>
      <c r="H60" s="2">
        <f t="shared" ref="H60:H91" si="11">G60+H59</f>
        <v>875</v>
      </c>
      <c r="I60" s="2" cm="1">
        <f t="array" ref="I60">IF(VLOOKUP($I$25,mission!$D$46:$F$60,3,FALSE)&lt;=$F$5*60/$C$7,INDEX(mission!$E$46:$E$60,MATCH($I$25,mission!$D$46:$D$60,0)),0)</f>
        <v>5</v>
      </c>
      <c r="J60" s="2" cm="1">
        <f t="array" ref="J60">IF(VLOOKUP($J$25,mission!$D$46:$F$60,3,FALSE)&lt;=$F$5*60/$C$7,INDEX(mission!$E$46:$E$60,MATCH($J$25,mission!$D$46:$D$60,0)),0)</f>
        <v>0</v>
      </c>
      <c r="K60" s="2" cm="1">
        <f t="array" ref="K60">IF(VLOOKUP($K$25,mission!$D$46:$F$60,3,FALSE)&lt;=$F$5*60/$C$7,INDEX(mission!$E$46:$E$60,MATCH($K$25,mission!$D$46:$D$60,0)),0)</f>
        <v>0</v>
      </c>
      <c r="L60" s="2" cm="1">
        <f t="array" ref="L60">IF(VLOOKUP($L$25,mission!$D$46:$F$60,3,FALSE)&lt;=$C$8,INDEX(mission!$E$46:$E$60,MATCH($L$25,mission!$D$46:$D$60,0)),0)</f>
        <v>5</v>
      </c>
      <c r="M60" s="2" cm="1">
        <f t="array" ref="M60">IF(VLOOKUP($M$25,mission!$D$46:$F$60,3,FALSE)&lt;=$C$8,INDEX(mission!$E$46:$E$60,MATCH($M$25,mission!$D$46:$D$60,0)),0)</f>
        <v>0</v>
      </c>
      <c r="N60" s="2" cm="1">
        <f t="array" ref="N60">IF(VLOOKUP($N$25,mission!$D$46:$F$60,3,FALSE)&lt;=$C$8,INDEX(mission!$E$46:$E$60,MATCH($N$25,mission!$D$46:$D$60,0)),0)</f>
        <v>0</v>
      </c>
      <c r="O60" s="2" cm="1">
        <f t="array" ref="O60">IF(VLOOKUP($O$25,mission!$D$46:$F$60,3,FALSE)&lt;=$C$8*$C$4,INDEX(mission!$E$46:$E$60,MATCH($O$25,mission!$D$46:$D$60,0)),0)</f>
        <v>0</v>
      </c>
      <c r="P60" s="2" cm="1">
        <f t="array" ref="P60">IF(VLOOKUP($P$25,mission!$D$46:$F$60,3,FALSE)&lt;=$C$8*$C$4,INDEX(mission!$E$46:$E$60,MATCH($P$25,mission!$D$46:$D$60,0)),0)</f>
        <v>0</v>
      </c>
      <c r="Q60" s="2" cm="1">
        <f t="array" ref="Q60">IF(VLOOKUP($Q$25,mission!$D$46:$F$60,3,FALSE)&lt;=$C$8*$C$4,INDEX(mission!$E$46:$E$60,MATCH($Q$25,mission!$D$46:$D$60,0)),0)</f>
        <v>0</v>
      </c>
      <c r="R60" s="2" cm="1">
        <f t="array" ref="R60">IF(VLOOKUP($R$25,mission!$D$46:$F$60,3,FALSE)&lt;=$F$5*60/$C$7,INDEX(mission!$E$46:$E$60,MATCH($R$25,mission!$D$46:$D$60,0)),0)</f>
        <v>5</v>
      </c>
      <c r="S60" s="2" cm="1">
        <f t="array" ref="S60">IF(VLOOKUP($S$25,mission!$D$46:$F$60,3,FALSE)&lt;=$F$5*60/$C$7,INDEX(mission!$E$46:$E$60,MATCH($S$25,mission!$D$46:$D$60,0)),0)</f>
        <v>0</v>
      </c>
      <c r="T60" s="2" cm="1">
        <f t="array" ref="T60">IF(VLOOKUP($T$25,mission!$D$46:$F$60,3,FALSE)&lt;=$F$5*60,INDEX(mission!$E$46:$E$60,MATCH($T$25,mission!$D$46:$D$60,0)),0)</f>
        <v>10</v>
      </c>
      <c r="U60" s="2" cm="1">
        <f t="array" ref="U60">IF(VLOOKUP($U$25,mission!$D$46:$F$60,3,FALSE)&lt;=$F$5*60,INDEX(mission!$E$46:$E$60,MATCH($U$25,mission!$D$46:$D$60,0)),0)</f>
        <v>0</v>
      </c>
      <c r="V60" s="2" cm="1">
        <f t="array" ref="V60">IF(VLOOKUP($V$25,mission!$D$46:$F$60,3,FALSE)&lt;=$F$5*60,INDEX(mission!$E$46:$E$60,MATCH($V$25,mission!$D$46:$D$60,0)),0)</f>
        <v>0</v>
      </c>
      <c r="W60" s="2" cm="1">
        <f t="array" ref="W60">IF(VLOOKUP($W$25,mission!$D$46:$F$60,3,FALSE)&lt;=$F$5*60,INDEX(mission!$E$46:$E$60,MATCH($W$25,mission!$D$46:$D$60,0)),0)</f>
        <v>0</v>
      </c>
    </row>
    <row r="61" s="1" customFormat="1" ht="18" customHeight="1" spans="2:23">
      <c r="B61" s="2">
        <v>36</v>
      </c>
      <c r="C61" s="2">
        <f t="shared" si="8"/>
        <v>36000</v>
      </c>
      <c r="D61" s="2">
        <f t="shared" si="7"/>
        <v>88</v>
      </c>
      <c r="E61" s="2">
        <f t="shared" si="10"/>
        <v>3168</v>
      </c>
      <c r="F61" s="2">
        <f>ROUND(E61*VLOOKUP($B$10,总产出!$T$4:$U$14,2,FALSE),0)</f>
        <v>317</v>
      </c>
      <c r="G61" s="2">
        <f t="shared" si="9"/>
        <v>25</v>
      </c>
      <c r="H61" s="2">
        <f t="shared" si="11"/>
        <v>900</v>
      </c>
      <c r="I61" s="2" cm="1">
        <f t="array" ref="I61">IF(VLOOKUP($I$25,mission!$D$46:$F$60,3,FALSE)&lt;=$F$5*60/$C$7,INDEX(mission!$E$46:$E$60,MATCH($I$25,mission!$D$46:$D$60,0)),0)</f>
        <v>5</v>
      </c>
      <c r="J61" s="2" cm="1">
        <f t="array" ref="J61">IF(VLOOKUP($J$25,mission!$D$46:$F$60,3,FALSE)&lt;=$F$5*60/$C$7,INDEX(mission!$E$46:$E$60,MATCH($J$25,mission!$D$46:$D$60,0)),0)</f>
        <v>0</v>
      </c>
      <c r="K61" s="2" cm="1">
        <f t="array" ref="K61">IF(VLOOKUP($K$25,mission!$D$46:$F$60,3,FALSE)&lt;=$F$5*60/$C$7,INDEX(mission!$E$46:$E$60,MATCH($K$25,mission!$D$46:$D$60,0)),0)</f>
        <v>0</v>
      </c>
      <c r="L61" s="2" cm="1">
        <f t="array" ref="L61">IF(VLOOKUP($L$25,mission!$D$46:$F$60,3,FALSE)&lt;=$C$8,INDEX(mission!$E$46:$E$60,MATCH($L$25,mission!$D$46:$D$60,0)),0)</f>
        <v>5</v>
      </c>
      <c r="M61" s="2" cm="1">
        <f t="array" ref="M61">IF(VLOOKUP($M$25,mission!$D$46:$F$60,3,FALSE)&lt;=$C$8,INDEX(mission!$E$46:$E$60,MATCH($M$25,mission!$D$46:$D$60,0)),0)</f>
        <v>0</v>
      </c>
      <c r="N61" s="2" cm="1">
        <f t="array" ref="N61">IF(VLOOKUP($N$25,mission!$D$46:$F$60,3,FALSE)&lt;=$C$8,INDEX(mission!$E$46:$E$60,MATCH($N$25,mission!$D$46:$D$60,0)),0)</f>
        <v>0</v>
      </c>
      <c r="O61" s="2" cm="1">
        <f t="array" ref="O61">IF(VLOOKUP($O$25,mission!$D$46:$F$60,3,FALSE)&lt;=$C$8*$C$4,INDEX(mission!$E$46:$E$60,MATCH($O$25,mission!$D$46:$D$60,0)),0)</f>
        <v>0</v>
      </c>
      <c r="P61" s="2" cm="1">
        <f t="array" ref="P61">IF(VLOOKUP($P$25,mission!$D$46:$F$60,3,FALSE)&lt;=$C$8*$C$4,INDEX(mission!$E$46:$E$60,MATCH($P$25,mission!$D$46:$D$60,0)),0)</f>
        <v>0</v>
      </c>
      <c r="Q61" s="2" cm="1">
        <f t="array" ref="Q61">IF(VLOOKUP($Q$25,mission!$D$46:$F$60,3,FALSE)&lt;=$C$8*$C$4,INDEX(mission!$E$46:$E$60,MATCH($Q$25,mission!$D$46:$D$60,0)),0)</f>
        <v>0</v>
      </c>
      <c r="R61" s="2" cm="1">
        <f t="array" ref="R61">IF(VLOOKUP($R$25,mission!$D$46:$F$60,3,FALSE)&lt;=$F$5*60/$C$7,INDEX(mission!$E$46:$E$60,MATCH($R$25,mission!$D$46:$D$60,0)),0)</f>
        <v>5</v>
      </c>
      <c r="S61" s="2" cm="1">
        <f t="array" ref="S61">IF(VLOOKUP($S$25,mission!$D$46:$F$60,3,FALSE)&lt;=$F$5*60/$C$7,INDEX(mission!$E$46:$E$60,MATCH($S$25,mission!$D$46:$D$60,0)),0)</f>
        <v>0</v>
      </c>
      <c r="T61" s="2" cm="1">
        <f t="array" ref="T61">IF(VLOOKUP($T$25,mission!$D$46:$F$60,3,FALSE)&lt;=$F$5*60,INDEX(mission!$E$46:$E$60,MATCH($T$25,mission!$D$46:$D$60,0)),0)</f>
        <v>10</v>
      </c>
      <c r="U61" s="2" cm="1">
        <f t="array" ref="U61">IF(VLOOKUP($U$25,mission!$D$46:$F$60,3,FALSE)&lt;=$F$5*60,INDEX(mission!$E$46:$E$60,MATCH($U$25,mission!$D$46:$D$60,0)),0)</f>
        <v>0</v>
      </c>
      <c r="V61" s="2" cm="1">
        <f t="array" ref="V61">IF(VLOOKUP($V$25,mission!$D$46:$F$60,3,FALSE)&lt;=$F$5*60,INDEX(mission!$E$46:$E$60,MATCH($V$25,mission!$D$46:$D$60,0)),0)</f>
        <v>0</v>
      </c>
      <c r="W61" s="2" cm="1">
        <f t="array" ref="W61">IF(VLOOKUP($W$25,mission!$D$46:$F$60,3,FALSE)&lt;=$F$5*60,INDEX(mission!$E$46:$E$60,MATCH($W$25,mission!$D$46:$D$60,0)),0)</f>
        <v>0</v>
      </c>
    </row>
    <row r="62" s="1" customFormat="1" ht="18" customHeight="1" spans="2:23">
      <c r="B62" s="2">
        <v>37</v>
      </c>
      <c r="C62" s="2">
        <f t="shared" si="8"/>
        <v>37000</v>
      </c>
      <c r="D62" s="2">
        <f t="shared" si="7"/>
        <v>88</v>
      </c>
      <c r="E62" s="2">
        <f t="shared" si="10"/>
        <v>3256</v>
      </c>
      <c r="F62" s="2">
        <f>ROUND(E62*VLOOKUP($B$10,总产出!$T$4:$U$14,2,FALSE),0)</f>
        <v>326</v>
      </c>
      <c r="G62" s="2">
        <f t="shared" si="9"/>
        <v>25</v>
      </c>
      <c r="H62" s="2">
        <f t="shared" si="11"/>
        <v>925</v>
      </c>
      <c r="I62" s="2" cm="1">
        <f t="array" ref="I62">IF(VLOOKUP($I$25,mission!$D$46:$F$60,3,FALSE)&lt;=$F$5*60/$C$7,INDEX(mission!$E$46:$E$60,MATCH($I$25,mission!$D$46:$D$60,0)),0)</f>
        <v>5</v>
      </c>
      <c r="J62" s="2" cm="1">
        <f t="array" ref="J62">IF(VLOOKUP($J$25,mission!$D$46:$F$60,3,FALSE)&lt;=$F$5*60/$C$7,INDEX(mission!$E$46:$E$60,MATCH($J$25,mission!$D$46:$D$60,0)),0)</f>
        <v>0</v>
      </c>
      <c r="K62" s="2" cm="1">
        <f t="array" ref="K62">IF(VLOOKUP($K$25,mission!$D$46:$F$60,3,FALSE)&lt;=$F$5*60/$C$7,INDEX(mission!$E$46:$E$60,MATCH($K$25,mission!$D$46:$D$60,0)),0)</f>
        <v>0</v>
      </c>
      <c r="L62" s="2" cm="1">
        <f t="array" ref="L62">IF(VLOOKUP($L$25,mission!$D$46:$F$60,3,FALSE)&lt;=$C$8,INDEX(mission!$E$46:$E$60,MATCH($L$25,mission!$D$46:$D$60,0)),0)</f>
        <v>5</v>
      </c>
      <c r="M62" s="2" cm="1">
        <f t="array" ref="M62">IF(VLOOKUP($M$25,mission!$D$46:$F$60,3,FALSE)&lt;=$C$8,INDEX(mission!$E$46:$E$60,MATCH($M$25,mission!$D$46:$D$60,0)),0)</f>
        <v>0</v>
      </c>
      <c r="N62" s="2" cm="1">
        <f t="array" ref="N62">IF(VLOOKUP($N$25,mission!$D$46:$F$60,3,FALSE)&lt;=$C$8,INDEX(mission!$E$46:$E$60,MATCH($N$25,mission!$D$46:$D$60,0)),0)</f>
        <v>0</v>
      </c>
      <c r="O62" s="2" cm="1">
        <f t="array" ref="O62">IF(VLOOKUP($O$25,mission!$D$46:$F$60,3,FALSE)&lt;=$C$8*$C$4,INDEX(mission!$E$46:$E$60,MATCH($O$25,mission!$D$46:$D$60,0)),0)</f>
        <v>0</v>
      </c>
      <c r="P62" s="2" cm="1">
        <f t="array" ref="P62">IF(VLOOKUP($P$25,mission!$D$46:$F$60,3,FALSE)&lt;=$C$8*$C$4,INDEX(mission!$E$46:$E$60,MATCH($P$25,mission!$D$46:$D$60,0)),0)</f>
        <v>0</v>
      </c>
      <c r="Q62" s="2" cm="1">
        <f t="array" ref="Q62">IF(VLOOKUP($Q$25,mission!$D$46:$F$60,3,FALSE)&lt;=$C$8*$C$4,INDEX(mission!$E$46:$E$60,MATCH($Q$25,mission!$D$46:$D$60,0)),0)</f>
        <v>0</v>
      </c>
      <c r="R62" s="2" cm="1">
        <f t="array" ref="R62">IF(VLOOKUP($R$25,mission!$D$46:$F$60,3,FALSE)&lt;=$F$5*60/$C$7,INDEX(mission!$E$46:$E$60,MATCH($R$25,mission!$D$46:$D$60,0)),0)</f>
        <v>5</v>
      </c>
      <c r="S62" s="2" cm="1">
        <f t="array" ref="S62">IF(VLOOKUP($S$25,mission!$D$46:$F$60,3,FALSE)&lt;=$F$5*60/$C$7,INDEX(mission!$E$46:$E$60,MATCH($S$25,mission!$D$46:$D$60,0)),0)</f>
        <v>0</v>
      </c>
      <c r="T62" s="2" cm="1">
        <f t="array" ref="T62">IF(VLOOKUP($T$25,mission!$D$46:$F$60,3,FALSE)&lt;=$F$5*60,INDEX(mission!$E$46:$E$60,MATCH($T$25,mission!$D$46:$D$60,0)),0)</f>
        <v>10</v>
      </c>
      <c r="U62" s="2" cm="1">
        <f t="array" ref="U62">IF(VLOOKUP($U$25,mission!$D$46:$F$60,3,FALSE)&lt;=$F$5*60,INDEX(mission!$E$46:$E$60,MATCH($U$25,mission!$D$46:$D$60,0)),0)</f>
        <v>0</v>
      </c>
      <c r="V62" s="2" cm="1">
        <f t="array" ref="V62">IF(VLOOKUP($V$25,mission!$D$46:$F$60,3,FALSE)&lt;=$F$5*60,INDEX(mission!$E$46:$E$60,MATCH($V$25,mission!$D$46:$D$60,0)),0)</f>
        <v>0</v>
      </c>
      <c r="W62" s="2" cm="1">
        <f t="array" ref="W62">IF(VLOOKUP($W$25,mission!$D$46:$F$60,3,FALSE)&lt;=$F$5*60,INDEX(mission!$E$46:$E$60,MATCH($W$25,mission!$D$46:$D$60,0)),0)</f>
        <v>0</v>
      </c>
    </row>
    <row r="63" s="1" customFormat="1" ht="18" customHeight="1" spans="2:23">
      <c r="B63" s="2">
        <v>38</v>
      </c>
      <c r="C63" s="2">
        <f t="shared" si="8"/>
        <v>38000</v>
      </c>
      <c r="D63" s="2">
        <f t="shared" si="7"/>
        <v>88</v>
      </c>
      <c r="E63" s="2">
        <f t="shared" si="10"/>
        <v>3344</v>
      </c>
      <c r="F63" s="2">
        <f>ROUND(E63*VLOOKUP($B$10,总产出!$T$4:$U$14,2,FALSE),0)</f>
        <v>334</v>
      </c>
      <c r="G63" s="2">
        <f t="shared" si="9"/>
        <v>25</v>
      </c>
      <c r="H63" s="2">
        <f t="shared" si="11"/>
        <v>950</v>
      </c>
      <c r="I63" s="2" cm="1">
        <f t="array" ref="I63">IF(VLOOKUP($I$25,mission!$D$46:$F$60,3,FALSE)&lt;=$F$5*60/$C$7,INDEX(mission!$E$46:$E$60,MATCH($I$25,mission!$D$46:$D$60,0)),0)</f>
        <v>5</v>
      </c>
      <c r="J63" s="2" cm="1">
        <f t="array" ref="J63">IF(VLOOKUP($J$25,mission!$D$46:$F$60,3,FALSE)&lt;=$F$5*60/$C$7,INDEX(mission!$E$46:$E$60,MATCH($J$25,mission!$D$46:$D$60,0)),0)</f>
        <v>0</v>
      </c>
      <c r="K63" s="2" cm="1">
        <f t="array" ref="K63">IF(VLOOKUP($K$25,mission!$D$46:$F$60,3,FALSE)&lt;=$F$5*60/$C$7,INDEX(mission!$E$46:$E$60,MATCH($K$25,mission!$D$46:$D$60,0)),0)</f>
        <v>0</v>
      </c>
      <c r="L63" s="2" cm="1">
        <f t="array" ref="L63">IF(VLOOKUP($L$25,mission!$D$46:$F$60,3,FALSE)&lt;=$C$8,INDEX(mission!$E$46:$E$60,MATCH($L$25,mission!$D$46:$D$60,0)),0)</f>
        <v>5</v>
      </c>
      <c r="M63" s="2" cm="1">
        <f t="array" ref="M63">IF(VLOOKUP($M$25,mission!$D$46:$F$60,3,FALSE)&lt;=$C$8,INDEX(mission!$E$46:$E$60,MATCH($M$25,mission!$D$46:$D$60,0)),0)</f>
        <v>0</v>
      </c>
      <c r="N63" s="2" cm="1">
        <f t="array" ref="N63">IF(VLOOKUP($N$25,mission!$D$46:$F$60,3,FALSE)&lt;=$C$8,INDEX(mission!$E$46:$E$60,MATCH($N$25,mission!$D$46:$D$60,0)),0)</f>
        <v>0</v>
      </c>
      <c r="O63" s="2" cm="1">
        <f t="array" ref="O63">IF(VLOOKUP($O$25,mission!$D$46:$F$60,3,FALSE)&lt;=$C$8*$C$4,INDEX(mission!$E$46:$E$60,MATCH($O$25,mission!$D$46:$D$60,0)),0)</f>
        <v>0</v>
      </c>
      <c r="P63" s="2" cm="1">
        <f t="array" ref="P63">IF(VLOOKUP($P$25,mission!$D$46:$F$60,3,FALSE)&lt;=$C$8*$C$4,INDEX(mission!$E$46:$E$60,MATCH($P$25,mission!$D$46:$D$60,0)),0)</f>
        <v>0</v>
      </c>
      <c r="Q63" s="2" cm="1">
        <f t="array" ref="Q63">IF(VLOOKUP($Q$25,mission!$D$46:$F$60,3,FALSE)&lt;=$C$8*$C$4,INDEX(mission!$E$46:$E$60,MATCH($Q$25,mission!$D$46:$D$60,0)),0)</f>
        <v>0</v>
      </c>
      <c r="R63" s="2" cm="1">
        <f t="array" ref="R63">IF(VLOOKUP($R$25,mission!$D$46:$F$60,3,FALSE)&lt;=$F$5*60/$C$7,INDEX(mission!$E$46:$E$60,MATCH($R$25,mission!$D$46:$D$60,0)),0)</f>
        <v>5</v>
      </c>
      <c r="S63" s="2" cm="1">
        <f t="array" ref="S63">IF(VLOOKUP($S$25,mission!$D$46:$F$60,3,FALSE)&lt;=$F$5*60/$C$7,INDEX(mission!$E$46:$E$60,MATCH($S$25,mission!$D$46:$D$60,0)),0)</f>
        <v>0</v>
      </c>
      <c r="T63" s="2" cm="1">
        <f t="array" ref="T63">IF(VLOOKUP($T$25,mission!$D$46:$F$60,3,FALSE)&lt;=$F$5*60,INDEX(mission!$E$46:$E$60,MATCH($T$25,mission!$D$46:$D$60,0)),0)</f>
        <v>10</v>
      </c>
      <c r="U63" s="2" cm="1">
        <f t="array" ref="U63">IF(VLOOKUP($U$25,mission!$D$46:$F$60,3,FALSE)&lt;=$F$5*60,INDEX(mission!$E$46:$E$60,MATCH($U$25,mission!$D$46:$D$60,0)),0)</f>
        <v>0</v>
      </c>
      <c r="V63" s="2" cm="1">
        <f t="array" ref="V63">IF(VLOOKUP($V$25,mission!$D$46:$F$60,3,FALSE)&lt;=$F$5*60,INDEX(mission!$E$46:$E$60,MATCH($V$25,mission!$D$46:$D$60,0)),0)</f>
        <v>0</v>
      </c>
      <c r="W63" s="2" cm="1">
        <f t="array" ref="W63">IF(VLOOKUP($W$25,mission!$D$46:$F$60,3,FALSE)&lt;=$F$5*60,INDEX(mission!$E$46:$E$60,MATCH($W$25,mission!$D$46:$D$60,0)),0)</f>
        <v>0</v>
      </c>
    </row>
    <row r="64" s="1" customFormat="1" ht="18" customHeight="1" spans="2:23">
      <c r="B64" s="2">
        <v>39</v>
      </c>
      <c r="C64" s="2">
        <f t="shared" si="8"/>
        <v>39000</v>
      </c>
      <c r="D64" s="2">
        <f t="shared" si="7"/>
        <v>88</v>
      </c>
      <c r="E64" s="2">
        <f t="shared" si="10"/>
        <v>3432</v>
      </c>
      <c r="F64" s="2">
        <f>ROUND(E64*VLOOKUP($B$10,总产出!$T$4:$U$14,2,FALSE),0)</f>
        <v>343</v>
      </c>
      <c r="G64" s="2">
        <f t="shared" si="9"/>
        <v>25</v>
      </c>
      <c r="H64" s="2">
        <f t="shared" si="11"/>
        <v>975</v>
      </c>
      <c r="I64" s="2" cm="1">
        <f t="array" ref="I64">IF(VLOOKUP($I$25,mission!$D$46:$F$60,3,FALSE)&lt;=$F$5*60/$C$7,INDEX(mission!$E$46:$E$60,MATCH($I$25,mission!$D$46:$D$60,0)),0)</f>
        <v>5</v>
      </c>
      <c r="J64" s="2" cm="1">
        <f t="array" ref="J64">IF(VLOOKUP($J$25,mission!$D$46:$F$60,3,FALSE)&lt;=$F$5*60/$C$7,INDEX(mission!$E$46:$E$60,MATCH($J$25,mission!$D$46:$D$60,0)),0)</f>
        <v>0</v>
      </c>
      <c r="K64" s="2" cm="1">
        <f t="array" ref="K64">IF(VLOOKUP($K$25,mission!$D$46:$F$60,3,FALSE)&lt;=$F$5*60/$C$7,INDEX(mission!$E$46:$E$60,MATCH($K$25,mission!$D$46:$D$60,0)),0)</f>
        <v>0</v>
      </c>
      <c r="L64" s="2" cm="1">
        <f t="array" ref="L64">IF(VLOOKUP($L$25,mission!$D$46:$F$60,3,FALSE)&lt;=$C$8,INDEX(mission!$E$46:$E$60,MATCH($L$25,mission!$D$46:$D$60,0)),0)</f>
        <v>5</v>
      </c>
      <c r="M64" s="2" cm="1">
        <f t="array" ref="M64">IF(VLOOKUP($M$25,mission!$D$46:$F$60,3,FALSE)&lt;=$C$8,INDEX(mission!$E$46:$E$60,MATCH($M$25,mission!$D$46:$D$60,0)),0)</f>
        <v>0</v>
      </c>
      <c r="N64" s="2" cm="1">
        <f t="array" ref="N64">IF(VLOOKUP($N$25,mission!$D$46:$F$60,3,FALSE)&lt;=$C$8,INDEX(mission!$E$46:$E$60,MATCH($N$25,mission!$D$46:$D$60,0)),0)</f>
        <v>0</v>
      </c>
      <c r="O64" s="2" cm="1">
        <f t="array" ref="O64">IF(VLOOKUP($O$25,mission!$D$46:$F$60,3,FALSE)&lt;=$C$8*$C$4,INDEX(mission!$E$46:$E$60,MATCH($O$25,mission!$D$46:$D$60,0)),0)</f>
        <v>0</v>
      </c>
      <c r="P64" s="2" cm="1">
        <f t="array" ref="P64">IF(VLOOKUP($P$25,mission!$D$46:$F$60,3,FALSE)&lt;=$C$8*$C$4,INDEX(mission!$E$46:$E$60,MATCH($P$25,mission!$D$46:$D$60,0)),0)</f>
        <v>0</v>
      </c>
      <c r="Q64" s="2" cm="1">
        <f t="array" ref="Q64">IF(VLOOKUP($Q$25,mission!$D$46:$F$60,3,FALSE)&lt;=$C$8*$C$4,INDEX(mission!$E$46:$E$60,MATCH($Q$25,mission!$D$46:$D$60,0)),0)</f>
        <v>0</v>
      </c>
      <c r="R64" s="2" cm="1">
        <f t="array" ref="R64">IF(VLOOKUP($R$25,mission!$D$46:$F$60,3,FALSE)&lt;=$F$5*60/$C$7,INDEX(mission!$E$46:$E$60,MATCH($R$25,mission!$D$46:$D$60,0)),0)</f>
        <v>5</v>
      </c>
      <c r="S64" s="2" cm="1">
        <f t="array" ref="S64">IF(VLOOKUP($S$25,mission!$D$46:$F$60,3,FALSE)&lt;=$F$5*60/$C$7,INDEX(mission!$E$46:$E$60,MATCH($S$25,mission!$D$46:$D$60,0)),0)</f>
        <v>0</v>
      </c>
      <c r="T64" s="2" cm="1">
        <f t="array" ref="T64">IF(VLOOKUP($T$25,mission!$D$46:$F$60,3,FALSE)&lt;=$F$5*60,INDEX(mission!$E$46:$E$60,MATCH($T$25,mission!$D$46:$D$60,0)),0)</f>
        <v>10</v>
      </c>
      <c r="U64" s="2" cm="1">
        <f t="array" ref="U64">IF(VLOOKUP($U$25,mission!$D$46:$F$60,3,FALSE)&lt;=$F$5*60,INDEX(mission!$E$46:$E$60,MATCH($U$25,mission!$D$46:$D$60,0)),0)</f>
        <v>0</v>
      </c>
      <c r="V64" s="2" cm="1">
        <f t="array" ref="V64">IF(VLOOKUP($V$25,mission!$D$46:$F$60,3,FALSE)&lt;=$F$5*60,INDEX(mission!$E$46:$E$60,MATCH($V$25,mission!$D$46:$D$60,0)),0)</f>
        <v>0</v>
      </c>
      <c r="W64" s="2" cm="1">
        <f t="array" ref="W64">IF(VLOOKUP($W$25,mission!$D$46:$F$60,3,FALSE)&lt;=$F$5*60,INDEX(mission!$E$46:$E$60,MATCH($W$25,mission!$D$46:$D$60,0)),0)</f>
        <v>0</v>
      </c>
    </row>
    <row r="65" s="1" customFormat="1" ht="18" customHeight="1" spans="2:23">
      <c r="B65" s="2">
        <v>40</v>
      </c>
      <c r="C65" s="2">
        <f t="shared" si="8"/>
        <v>40000</v>
      </c>
      <c r="D65" s="2">
        <f t="shared" si="7"/>
        <v>88</v>
      </c>
      <c r="E65" s="2">
        <f t="shared" si="10"/>
        <v>3520</v>
      </c>
      <c r="F65" s="2">
        <f>ROUND(E65*VLOOKUP($B$10,总产出!$T$4:$U$14,2,FALSE),0)</f>
        <v>352</v>
      </c>
      <c r="G65" s="2">
        <f t="shared" si="9"/>
        <v>25</v>
      </c>
      <c r="H65" s="2">
        <f t="shared" si="11"/>
        <v>1000</v>
      </c>
      <c r="I65" s="2" cm="1">
        <f t="array" ref="I65">IF(VLOOKUP($I$25,mission!$D$46:$F$60,3,FALSE)&lt;=$F$5*60/$C$7,INDEX(mission!$E$46:$E$60,MATCH($I$25,mission!$D$46:$D$60,0)),0)</f>
        <v>5</v>
      </c>
      <c r="J65" s="2" cm="1">
        <f t="array" ref="J65">IF(VLOOKUP($J$25,mission!$D$46:$F$60,3,FALSE)&lt;=$F$5*60/$C$7,INDEX(mission!$E$46:$E$60,MATCH($J$25,mission!$D$46:$D$60,0)),0)</f>
        <v>0</v>
      </c>
      <c r="K65" s="2" cm="1">
        <f t="array" ref="K65">IF(VLOOKUP($K$25,mission!$D$46:$F$60,3,FALSE)&lt;=$F$5*60/$C$7,INDEX(mission!$E$46:$E$60,MATCH($K$25,mission!$D$46:$D$60,0)),0)</f>
        <v>0</v>
      </c>
      <c r="L65" s="2" cm="1">
        <f t="array" ref="L65">IF(VLOOKUP($L$25,mission!$D$46:$F$60,3,FALSE)&lt;=$C$8,INDEX(mission!$E$46:$E$60,MATCH($L$25,mission!$D$46:$D$60,0)),0)</f>
        <v>5</v>
      </c>
      <c r="M65" s="2" cm="1">
        <f t="array" ref="M65">IF(VLOOKUP($M$25,mission!$D$46:$F$60,3,FALSE)&lt;=$C$8,INDEX(mission!$E$46:$E$60,MATCH($M$25,mission!$D$46:$D$60,0)),0)</f>
        <v>0</v>
      </c>
      <c r="N65" s="2" cm="1">
        <f t="array" ref="N65">IF(VLOOKUP($N$25,mission!$D$46:$F$60,3,FALSE)&lt;=$C$8,INDEX(mission!$E$46:$E$60,MATCH($N$25,mission!$D$46:$D$60,0)),0)</f>
        <v>0</v>
      </c>
      <c r="O65" s="2" cm="1">
        <f t="array" ref="O65">IF(VLOOKUP($O$25,mission!$D$46:$F$60,3,FALSE)&lt;=$C$8*$C$4,INDEX(mission!$E$46:$E$60,MATCH($O$25,mission!$D$46:$D$60,0)),0)</f>
        <v>0</v>
      </c>
      <c r="P65" s="2" cm="1">
        <f t="array" ref="P65">IF(VLOOKUP($P$25,mission!$D$46:$F$60,3,FALSE)&lt;=$C$8*$C$4,INDEX(mission!$E$46:$E$60,MATCH($P$25,mission!$D$46:$D$60,0)),0)</f>
        <v>0</v>
      </c>
      <c r="Q65" s="2" cm="1">
        <f t="array" ref="Q65">IF(VLOOKUP($Q$25,mission!$D$46:$F$60,3,FALSE)&lt;=$C$8*$C$4,INDEX(mission!$E$46:$E$60,MATCH($Q$25,mission!$D$46:$D$60,0)),0)</f>
        <v>0</v>
      </c>
      <c r="R65" s="2" cm="1">
        <f t="array" ref="R65">IF(VLOOKUP($R$25,mission!$D$46:$F$60,3,FALSE)&lt;=$F$5*60/$C$7,INDEX(mission!$E$46:$E$60,MATCH($R$25,mission!$D$46:$D$60,0)),0)</f>
        <v>5</v>
      </c>
      <c r="S65" s="2" cm="1">
        <f t="array" ref="S65">IF(VLOOKUP($S$25,mission!$D$46:$F$60,3,FALSE)&lt;=$F$5*60/$C$7,INDEX(mission!$E$46:$E$60,MATCH($S$25,mission!$D$46:$D$60,0)),0)</f>
        <v>0</v>
      </c>
      <c r="T65" s="2" cm="1">
        <f t="array" ref="T65">IF(VLOOKUP($T$25,mission!$D$46:$F$60,3,FALSE)&lt;=$F$5*60,INDEX(mission!$E$46:$E$60,MATCH($T$25,mission!$D$46:$D$60,0)),0)</f>
        <v>10</v>
      </c>
      <c r="U65" s="2" cm="1">
        <f t="array" ref="U65">IF(VLOOKUP($U$25,mission!$D$46:$F$60,3,FALSE)&lt;=$F$5*60,INDEX(mission!$E$46:$E$60,MATCH($U$25,mission!$D$46:$D$60,0)),0)</f>
        <v>0</v>
      </c>
      <c r="V65" s="2" cm="1">
        <f t="array" ref="V65">IF(VLOOKUP($V$25,mission!$D$46:$F$60,3,FALSE)&lt;=$F$5*60,INDEX(mission!$E$46:$E$60,MATCH($V$25,mission!$D$46:$D$60,0)),0)</f>
        <v>0</v>
      </c>
      <c r="W65" s="2" cm="1">
        <f t="array" ref="W65">IF(VLOOKUP($W$25,mission!$D$46:$F$60,3,FALSE)&lt;=$F$5*60,INDEX(mission!$E$46:$E$60,MATCH($W$25,mission!$D$46:$D$60,0)),0)</f>
        <v>0</v>
      </c>
    </row>
    <row r="66" s="1" customFormat="1" ht="18" customHeight="1" spans="2:23">
      <c r="B66" s="2">
        <v>41</v>
      </c>
      <c r="C66" s="2">
        <f t="shared" si="8"/>
        <v>41000</v>
      </c>
      <c r="D66" s="2">
        <f t="shared" si="7"/>
        <v>88</v>
      </c>
      <c r="E66" s="2">
        <f t="shared" si="10"/>
        <v>3608</v>
      </c>
      <c r="F66" s="2">
        <f>ROUND(E66*VLOOKUP($B$10,总产出!$T$4:$U$14,2,FALSE),0)</f>
        <v>361</v>
      </c>
      <c r="G66" s="2">
        <f t="shared" si="9"/>
        <v>25</v>
      </c>
      <c r="H66" s="2">
        <f t="shared" si="11"/>
        <v>1025</v>
      </c>
      <c r="I66" s="2" cm="1">
        <f t="array" ref="I66">IF(VLOOKUP($I$25,mission!$D$46:$F$60,3,FALSE)&lt;=$F$5*60/$C$7,INDEX(mission!$E$46:$E$60,MATCH($I$25,mission!$D$46:$D$60,0)),0)</f>
        <v>5</v>
      </c>
      <c r="J66" s="2" cm="1">
        <f t="array" ref="J66">IF(VLOOKUP($J$25,mission!$D$46:$F$60,3,FALSE)&lt;=$F$5*60/$C$7,INDEX(mission!$E$46:$E$60,MATCH($J$25,mission!$D$46:$D$60,0)),0)</f>
        <v>0</v>
      </c>
      <c r="K66" s="2" cm="1">
        <f t="array" ref="K66">IF(VLOOKUP($K$25,mission!$D$46:$F$60,3,FALSE)&lt;=$F$5*60/$C$7,INDEX(mission!$E$46:$E$60,MATCH($K$25,mission!$D$46:$D$60,0)),0)</f>
        <v>0</v>
      </c>
      <c r="L66" s="2" cm="1">
        <f t="array" ref="L66">IF(VLOOKUP($L$25,mission!$D$46:$F$60,3,FALSE)&lt;=$C$8,INDEX(mission!$E$46:$E$60,MATCH($L$25,mission!$D$46:$D$60,0)),0)</f>
        <v>5</v>
      </c>
      <c r="M66" s="2" cm="1">
        <f t="array" ref="M66">IF(VLOOKUP($M$25,mission!$D$46:$F$60,3,FALSE)&lt;=$C$8,INDEX(mission!$E$46:$E$60,MATCH($M$25,mission!$D$46:$D$60,0)),0)</f>
        <v>0</v>
      </c>
      <c r="N66" s="2" cm="1">
        <f t="array" ref="N66">IF(VLOOKUP($N$25,mission!$D$46:$F$60,3,FALSE)&lt;=$C$8,INDEX(mission!$E$46:$E$60,MATCH($N$25,mission!$D$46:$D$60,0)),0)</f>
        <v>0</v>
      </c>
      <c r="O66" s="2" cm="1">
        <f t="array" ref="O66">IF(VLOOKUP($O$25,mission!$D$46:$F$60,3,FALSE)&lt;=$C$8*$C$4,INDEX(mission!$E$46:$E$60,MATCH($O$25,mission!$D$46:$D$60,0)),0)</f>
        <v>0</v>
      </c>
      <c r="P66" s="2" cm="1">
        <f t="array" ref="P66">IF(VLOOKUP($P$25,mission!$D$46:$F$60,3,FALSE)&lt;=$C$8*$C$4,INDEX(mission!$E$46:$E$60,MATCH($P$25,mission!$D$46:$D$60,0)),0)</f>
        <v>0</v>
      </c>
      <c r="Q66" s="2" cm="1">
        <f t="array" ref="Q66">IF(VLOOKUP($Q$25,mission!$D$46:$F$60,3,FALSE)&lt;=$C$8*$C$4,INDEX(mission!$E$46:$E$60,MATCH($Q$25,mission!$D$46:$D$60,0)),0)</f>
        <v>0</v>
      </c>
      <c r="R66" s="2" cm="1">
        <f t="array" ref="R66">IF(VLOOKUP($R$25,mission!$D$46:$F$60,3,FALSE)&lt;=$F$5*60/$C$7,INDEX(mission!$E$46:$E$60,MATCH($R$25,mission!$D$46:$D$60,0)),0)</f>
        <v>5</v>
      </c>
      <c r="S66" s="2" cm="1">
        <f t="array" ref="S66">IF(VLOOKUP($S$25,mission!$D$46:$F$60,3,FALSE)&lt;=$F$5*60/$C$7,INDEX(mission!$E$46:$E$60,MATCH($S$25,mission!$D$46:$D$60,0)),0)</f>
        <v>0</v>
      </c>
      <c r="T66" s="2" cm="1">
        <f t="array" ref="T66">IF(VLOOKUP($T$25,mission!$D$46:$F$60,3,FALSE)&lt;=$F$5*60,INDEX(mission!$E$46:$E$60,MATCH($T$25,mission!$D$46:$D$60,0)),0)</f>
        <v>10</v>
      </c>
      <c r="U66" s="2" cm="1">
        <f t="array" ref="U66">IF(VLOOKUP($U$25,mission!$D$46:$F$60,3,FALSE)&lt;=$F$5*60,INDEX(mission!$E$46:$E$60,MATCH($U$25,mission!$D$46:$D$60,0)),0)</f>
        <v>0</v>
      </c>
      <c r="V66" s="2" cm="1">
        <f t="array" ref="V66">IF(VLOOKUP($V$25,mission!$D$46:$F$60,3,FALSE)&lt;=$F$5*60,INDEX(mission!$E$46:$E$60,MATCH($V$25,mission!$D$46:$D$60,0)),0)</f>
        <v>0</v>
      </c>
      <c r="W66" s="2" cm="1">
        <f t="array" ref="W66">IF(VLOOKUP($W$25,mission!$D$46:$F$60,3,FALSE)&lt;=$F$5*60,INDEX(mission!$E$46:$E$60,MATCH($W$25,mission!$D$46:$D$60,0)),0)</f>
        <v>0</v>
      </c>
    </row>
    <row r="67" s="1" customFormat="1" ht="18" customHeight="1" spans="2:23">
      <c r="B67" s="2">
        <v>42</v>
      </c>
      <c r="C67" s="2">
        <f t="shared" si="8"/>
        <v>42000</v>
      </c>
      <c r="D67" s="2">
        <f t="shared" ref="D67:D76" si="12">ROUND($C$8*$C$5+$C$8*$C$4*(1-$L$5),0)</f>
        <v>88</v>
      </c>
      <c r="E67" s="2">
        <f t="shared" si="10"/>
        <v>3696</v>
      </c>
      <c r="F67" s="2">
        <f>ROUND(E67*VLOOKUP($B$10,总产出!$T$4:$U$14,2,FALSE),0)</f>
        <v>370</v>
      </c>
      <c r="G67" s="2">
        <f t="shared" si="9"/>
        <v>25</v>
      </c>
      <c r="H67" s="2">
        <f t="shared" si="11"/>
        <v>1050</v>
      </c>
      <c r="I67" s="2" cm="1">
        <f t="array" ref="I67">IF(VLOOKUP($I$25,mission!$D$46:$F$60,3,FALSE)&lt;=$F$5*60/$C$7,INDEX(mission!$E$46:$E$60,MATCH($I$25,mission!$D$46:$D$60,0)),0)</f>
        <v>5</v>
      </c>
      <c r="J67" s="2" cm="1">
        <f t="array" ref="J67">IF(VLOOKUP($J$25,mission!$D$46:$F$60,3,FALSE)&lt;=$F$5*60/$C$7,INDEX(mission!$E$46:$E$60,MATCH($J$25,mission!$D$46:$D$60,0)),0)</f>
        <v>0</v>
      </c>
      <c r="K67" s="2" cm="1">
        <f t="array" ref="K67">IF(VLOOKUP($K$25,mission!$D$46:$F$60,3,FALSE)&lt;=$F$5*60/$C$7,INDEX(mission!$E$46:$E$60,MATCH($K$25,mission!$D$46:$D$60,0)),0)</f>
        <v>0</v>
      </c>
      <c r="L67" s="2" cm="1">
        <f t="array" ref="L67">IF(VLOOKUP($L$25,mission!$D$46:$F$60,3,FALSE)&lt;=$C$8,INDEX(mission!$E$46:$E$60,MATCH($L$25,mission!$D$46:$D$60,0)),0)</f>
        <v>5</v>
      </c>
      <c r="M67" s="2" cm="1">
        <f t="array" ref="M67">IF(VLOOKUP($M$25,mission!$D$46:$F$60,3,FALSE)&lt;=$C$8,INDEX(mission!$E$46:$E$60,MATCH($M$25,mission!$D$46:$D$60,0)),0)</f>
        <v>0</v>
      </c>
      <c r="N67" s="2" cm="1">
        <f t="array" ref="N67">IF(VLOOKUP($N$25,mission!$D$46:$F$60,3,FALSE)&lt;=$C$8,INDEX(mission!$E$46:$E$60,MATCH($N$25,mission!$D$46:$D$60,0)),0)</f>
        <v>0</v>
      </c>
      <c r="O67" s="2" cm="1">
        <f t="array" ref="O67">IF(VLOOKUP($O$25,mission!$D$46:$F$60,3,FALSE)&lt;=$C$8*$C$4,INDEX(mission!$E$46:$E$60,MATCH($O$25,mission!$D$46:$D$60,0)),0)</f>
        <v>0</v>
      </c>
      <c r="P67" s="2" cm="1">
        <f t="array" ref="P67">IF(VLOOKUP($P$25,mission!$D$46:$F$60,3,FALSE)&lt;=$C$8*$C$4,INDEX(mission!$E$46:$E$60,MATCH($P$25,mission!$D$46:$D$60,0)),0)</f>
        <v>0</v>
      </c>
      <c r="Q67" s="2" cm="1">
        <f t="array" ref="Q67">IF(VLOOKUP($Q$25,mission!$D$46:$F$60,3,FALSE)&lt;=$C$8*$C$4,INDEX(mission!$E$46:$E$60,MATCH($Q$25,mission!$D$46:$D$60,0)),0)</f>
        <v>0</v>
      </c>
      <c r="R67" s="2" cm="1">
        <f t="array" ref="R67">IF(VLOOKUP($R$25,mission!$D$46:$F$60,3,FALSE)&lt;=$F$5*60/$C$7,INDEX(mission!$E$46:$E$60,MATCH($R$25,mission!$D$46:$D$60,0)),0)</f>
        <v>5</v>
      </c>
      <c r="S67" s="2" cm="1">
        <f t="array" ref="S67">IF(VLOOKUP($S$25,mission!$D$46:$F$60,3,FALSE)&lt;=$F$5*60/$C$7,INDEX(mission!$E$46:$E$60,MATCH($S$25,mission!$D$46:$D$60,0)),0)</f>
        <v>0</v>
      </c>
      <c r="T67" s="2" cm="1">
        <f t="array" ref="T67">IF(VLOOKUP($T$25,mission!$D$46:$F$60,3,FALSE)&lt;=$F$5*60,INDEX(mission!$E$46:$E$60,MATCH($T$25,mission!$D$46:$D$60,0)),0)</f>
        <v>10</v>
      </c>
      <c r="U67" s="2" cm="1">
        <f t="array" ref="U67">IF(VLOOKUP($U$25,mission!$D$46:$F$60,3,FALSE)&lt;=$F$5*60,INDEX(mission!$E$46:$E$60,MATCH($U$25,mission!$D$46:$D$60,0)),0)</f>
        <v>0</v>
      </c>
      <c r="V67" s="2" cm="1">
        <f t="array" ref="V67">IF(VLOOKUP($V$25,mission!$D$46:$F$60,3,FALSE)&lt;=$F$5*60,INDEX(mission!$E$46:$E$60,MATCH($V$25,mission!$D$46:$D$60,0)),0)</f>
        <v>0</v>
      </c>
      <c r="W67" s="2" cm="1">
        <f t="array" ref="W67">IF(VLOOKUP($W$25,mission!$D$46:$F$60,3,FALSE)&lt;=$F$5*60,INDEX(mission!$E$46:$E$60,MATCH($W$25,mission!$D$46:$D$60,0)),0)</f>
        <v>0</v>
      </c>
    </row>
    <row r="68" s="1" customFormat="1" ht="18" customHeight="1" spans="2:23">
      <c r="B68" s="2">
        <v>43</v>
      </c>
      <c r="C68" s="2">
        <f t="shared" si="8"/>
        <v>43000</v>
      </c>
      <c r="D68" s="2">
        <f t="shared" si="12"/>
        <v>88</v>
      </c>
      <c r="E68" s="2">
        <f t="shared" si="10"/>
        <v>3784</v>
      </c>
      <c r="F68" s="2">
        <f>ROUND(E68*VLOOKUP($B$10,总产出!$T$4:$U$14,2,FALSE),0)</f>
        <v>378</v>
      </c>
      <c r="G68" s="2">
        <f t="shared" si="9"/>
        <v>25</v>
      </c>
      <c r="H68" s="2">
        <f t="shared" si="11"/>
        <v>1075</v>
      </c>
      <c r="I68" s="2" cm="1">
        <f t="array" ref="I68">IF(VLOOKUP($I$25,mission!$D$46:$F$60,3,FALSE)&lt;=$F$5*60/$C$7,INDEX(mission!$E$46:$E$60,MATCH($I$25,mission!$D$46:$D$60,0)),0)</f>
        <v>5</v>
      </c>
      <c r="J68" s="2" cm="1">
        <f t="array" ref="J68">IF(VLOOKUP($J$25,mission!$D$46:$F$60,3,FALSE)&lt;=$F$5*60/$C$7,INDEX(mission!$E$46:$E$60,MATCH($J$25,mission!$D$46:$D$60,0)),0)</f>
        <v>0</v>
      </c>
      <c r="K68" s="2" cm="1">
        <f t="array" ref="K68">IF(VLOOKUP($K$25,mission!$D$46:$F$60,3,FALSE)&lt;=$F$5*60/$C$7,INDEX(mission!$E$46:$E$60,MATCH($K$25,mission!$D$46:$D$60,0)),0)</f>
        <v>0</v>
      </c>
      <c r="L68" s="2" cm="1">
        <f t="array" ref="L68">IF(VLOOKUP($L$25,mission!$D$46:$F$60,3,FALSE)&lt;=$C$8,INDEX(mission!$E$46:$E$60,MATCH($L$25,mission!$D$46:$D$60,0)),0)</f>
        <v>5</v>
      </c>
      <c r="M68" s="2" cm="1">
        <f t="array" ref="M68">IF(VLOOKUP($M$25,mission!$D$46:$F$60,3,FALSE)&lt;=$C$8,INDEX(mission!$E$46:$E$60,MATCH($M$25,mission!$D$46:$D$60,0)),0)</f>
        <v>0</v>
      </c>
      <c r="N68" s="2" cm="1">
        <f t="array" ref="N68">IF(VLOOKUP($N$25,mission!$D$46:$F$60,3,FALSE)&lt;=$C$8,INDEX(mission!$E$46:$E$60,MATCH($N$25,mission!$D$46:$D$60,0)),0)</f>
        <v>0</v>
      </c>
      <c r="O68" s="2" cm="1">
        <f t="array" ref="O68">IF(VLOOKUP($O$25,mission!$D$46:$F$60,3,FALSE)&lt;=$C$8*$C$4,INDEX(mission!$E$46:$E$60,MATCH($O$25,mission!$D$46:$D$60,0)),0)</f>
        <v>0</v>
      </c>
      <c r="P68" s="2" cm="1">
        <f t="array" ref="P68">IF(VLOOKUP($P$25,mission!$D$46:$F$60,3,FALSE)&lt;=$C$8*$C$4,INDEX(mission!$E$46:$E$60,MATCH($P$25,mission!$D$46:$D$60,0)),0)</f>
        <v>0</v>
      </c>
      <c r="Q68" s="2" cm="1">
        <f t="array" ref="Q68">IF(VLOOKUP($Q$25,mission!$D$46:$F$60,3,FALSE)&lt;=$C$8*$C$4,INDEX(mission!$E$46:$E$60,MATCH($Q$25,mission!$D$46:$D$60,0)),0)</f>
        <v>0</v>
      </c>
      <c r="R68" s="2" cm="1">
        <f t="array" ref="R68">IF(VLOOKUP($R$25,mission!$D$46:$F$60,3,FALSE)&lt;=$F$5*60/$C$7,INDEX(mission!$E$46:$E$60,MATCH($R$25,mission!$D$46:$D$60,0)),0)</f>
        <v>5</v>
      </c>
      <c r="S68" s="2" cm="1">
        <f t="array" ref="S68">IF(VLOOKUP($S$25,mission!$D$46:$F$60,3,FALSE)&lt;=$F$5*60/$C$7,INDEX(mission!$E$46:$E$60,MATCH($S$25,mission!$D$46:$D$60,0)),0)</f>
        <v>0</v>
      </c>
      <c r="T68" s="2" cm="1">
        <f t="array" ref="T68">IF(VLOOKUP($T$25,mission!$D$46:$F$60,3,FALSE)&lt;=$F$5*60,INDEX(mission!$E$46:$E$60,MATCH($T$25,mission!$D$46:$D$60,0)),0)</f>
        <v>10</v>
      </c>
      <c r="U68" s="2" cm="1">
        <f t="array" ref="U68">IF(VLOOKUP($U$25,mission!$D$46:$F$60,3,FALSE)&lt;=$F$5*60,INDEX(mission!$E$46:$E$60,MATCH($U$25,mission!$D$46:$D$60,0)),0)</f>
        <v>0</v>
      </c>
      <c r="V68" s="2" cm="1">
        <f t="array" ref="V68">IF(VLOOKUP($V$25,mission!$D$46:$F$60,3,FALSE)&lt;=$F$5*60,INDEX(mission!$E$46:$E$60,MATCH($V$25,mission!$D$46:$D$60,0)),0)</f>
        <v>0</v>
      </c>
      <c r="W68" s="2" cm="1">
        <f t="array" ref="W68">IF(VLOOKUP($W$25,mission!$D$46:$F$60,3,FALSE)&lt;=$F$5*60,INDEX(mission!$E$46:$E$60,MATCH($W$25,mission!$D$46:$D$60,0)),0)</f>
        <v>0</v>
      </c>
    </row>
    <row r="69" s="1" customFormat="1" ht="18" customHeight="1" spans="2:23">
      <c r="B69" s="2">
        <v>44</v>
      </c>
      <c r="C69" s="2">
        <f t="shared" si="8"/>
        <v>44000</v>
      </c>
      <c r="D69" s="2">
        <f t="shared" si="12"/>
        <v>88</v>
      </c>
      <c r="E69" s="2">
        <f t="shared" si="10"/>
        <v>3872</v>
      </c>
      <c r="F69" s="2">
        <f>ROUND(E69*VLOOKUP($B$10,总产出!$T$4:$U$14,2,FALSE),0)</f>
        <v>387</v>
      </c>
      <c r="G69" s="2">
        <f t="shared" si="9"/>
        <v>25</v>
      </c>
      <c r="H69" s="2">
        <f t="shared" si="11"/>
        <v>1100</v>
      </c>
      <c r="I69" s="2" cm="1">
        <f t="array" ref="I69">IF(VLOOKUP($I$25,mission!$D$46:$F$60,3,FALSE)&lt;=$F$5*60/$C$7,INDEX(mission!$E$46:$E$60,MATCH($I$25,mission!$D$46:$D$60,0)),0)</f>
        <v>5</v>
      </c>
      <c r="J69" s="2" cm="1">
        <f t="array" ref="J69">IF(VLOOKUP($J$25,mission!$D$46:$F$60,3,FALSE)&lt;=$F$5*60/$C$7,INDEX(mission!$E$46:$E$60,MATCH($J$25,mission!$D$46:$D$60,0)),0)</f>
        <v>0</v>
      </c>
      <c r="K69" s="2" cm="1">
        <f t="array" ref="K69">IF(VLOOKUP($K$25,mission!$D$46:$F$60,3,FALSE)&lt;=$F$5*60/$C$7,INDEX(mission!$E$46:$E$60,MATCH($K$25,mission!$D$46:$D$60,0)),0)</f>
        <v>0</v>
      </c>
      <c r="L69" s="2" cm="1">
        <f t="array" ref="L69">IF(VLOOKUP($L$25,mission!$D$46:$F$60,3,FALSE)&lt;=$C$8,INDEX(mission!$E$46:$E$60,MATCH($L$25,mission!$D$46:$D$60,0)),0)</f>
        <v>5</v>
      </c>
      <c r="M69" s="2" cm="1">
        <f t="array" ref="M69">IF(VLOOKUP($M$25,mission!$D$46:$F$60,3,FALSE)&lt;=$C$8,INDEX(mission!$E$46:$E$60,MATCH($M$25,mission!$D$46:$D$60,0)),0)</f>
        <v>0</v>
      </c>
      <c r="N69" s="2" cm="1">
        <f t="array" ref="N69">IF(VLOOKUP($N$25,mission!$D$46:$F$60,3,FALSE)&lt;=$C$8,INDEX(mission!$E$46:$E$60,MATCH($N$25,mission!$D$46:$D$60,0)),0)</f>
        <v>0</v>
      </c>
      <c r="O69" s="2" cm="1">
        <f t="array" ref="O69">IF(VLOOKUP($O$25,mission!$D$46:$F$60,3,FALSE)&lt;=$C$8*$C$4,INDEX(mission!$E$46:$E$60,MATCH($O$25,mission!$D$46:$D$60,0)),0)</f>
        <v>0</v>
      </c>
      <c r="P69" s="2" cm="1">
        <f t="array" ref="P69">IF(VLOOKUP($P$25,mission!$D$46:$F$60,3,FALSE)&lt;=$C$8*$C$4,INDEX(mission!$E$46:$E$60,MATCH($P$25,mission!$D$46:$D$60,0)),0)</f>
        <v>0</v>
      </c>
      <c r="Q69" s="2" cm="1">
        <f t="array" ref="Q69">IF(VLOOKUP($Q$25,mission!$D$46:$F$60,3,FALSE)&lt;=$C$8*$C$4,INDEX(mission!$E$46:$E$60,MATCH($Q$25,mission!$D$46:$D$60,0)),0)</f>
        <v>0</v>
      </c>
      <c r="R69" s="2" cm="1">
        <f t="array" ref="R69">IF(VLOOKUP($R$25,mission!$D$46:$F$60,3,FALSE)&lt;=$F$5*60/$C$7,INDEX(mission!$E$46:$E$60,MATCH($R$25,mission!$D$46:$D$60,0)),0)</f>
        <v>5</v>
      </c>
      <c r="S69" s="2" cm="1">
        <f t="array" ref="S69">IF(VLOOKUP($S$25,mission!$D$46:$F$60,3,FALSE)&lt;=$F$5*60/$C$7,INDEX(mission!$E$46:$E$60,MATCH($S$25,mission!$D$46:$D$60,0)),0)</f>
        <v>0</v>
      </c>
      <c r="T69" s="2" cm="1">
        <f t="array" ref="T69">IF(VLOOKUP($T$25,mission!$D$46:$F$60,3,FALSE)&lt;=$F$5*60,INDEX(mission!$E$46:$E$60,MATCH($T$25,mission!$D$46:$D$60,0)),0)</f>
        <v>10</v>
      </c>
      <c r="U69" s="2" cm="1">
        <f t="array" ref="U69">IF(VLOOKUP($U$25,mission!$D$46:$F$60,3,FALSE)&lt;=$F$5*60,INDEX(mission!$E$46:$E$60,MATCH($U$25,mission!$D$46:$D$60,0)),0)</f>
        <v>0</v>
      </c>
      <c r="V69" s="2" cm="1">
        <f t="array" ref="V69">IF(VLOOKUP($V$25,mission!$D$46:$F$60,3,FALSE)&lt;=$F$5*60,INDEX(mission!$E$46:$E$60,MATCH($V$25,mission!$D$46:$D$60,0)),0)</f>
        <v>0</v>
      </c>
      <c r="W69" s="2" cm="1">
        <f t="array" ref="W69">IF(VLOOKUP($W$25,mission!$D$46:$F$60,3,FALSE)&lt;=$F$5*60,INDEX(mission!$E$46:$E$60,MATCH($W$25,mission!$D$46:$D$60,0)),0)</f>
        <v>0</v>
      </c>
    </row>
    <row r="70" s="1" customFormat="1" ht="18" customHeight="1" spans="2:23">
      <c r="B70" s="2">
        <v>45</v>
      </c>
      <c r="C70" s="2">
        <f t="shared" si="8"/>
        <v>45000</v>
      </c>
      <c r="D70" s="2">
        <f t="shared" si="12"/>
        <v>88</v>
      </c>
      <c r="E70" s="2">
        <f t="shared" si="10"/>
        <v>3960</v>
      </c>
      <c r="F70" s="2">
        <f>ROUND(E70*VLOOKUP($B$10,总产出!$T$4:$U$14,2,FALSE),0)</f>
        <v>396</v>
      </c>
      <c r="G70" s="2">
        <f t="shared" si="9"/>
        <v>25</v>
      </c>
      <c r="H70" s="2">
        <f t="shared" si="11"/>
        <v>1125</v>
      </c>
      <c r="I70" s="2" cm="1">
        <f t="array" ref="I70">IF(VLOOKUP($I$25,mission!$D$46:$F$60,3,FALSE)&lt;=$F$5*60/$C$7,INDEX(mission!$E$46:$E$60,MATCH($I$25,mission!$D$46:$D$60,0)),0)</f>
        <v>5</v>
      </c>
      <c r="J70" s="2" cm="1">
        <f t="array" ref="J70">IF(VLOOKUP($J$25,mission!$D$46:$F$60,3,FALSE)&lt;=$F$5*60/$C$7,INDEX(mission!$E$46:$E$60,MATCH($J$25,mission!$D$46:$D$60,0)),0)</f>
        <v>0</v>
      </c>
      <c r="K70" s="2" cm="1">
        <f t="array" ref="K70">IF(VLOOKUP($K$25,mission!$D$46:$F$60,3,FALSE)&lt;=$F$5*60/$C$7,INDEX(mission!$E$46:$E$60,MATCH($K$25,mission!$D$46:$D$60,0)),0)</f>
        <v>0</v>
      </c>
      <c r="L70" s="2" cm="1">
        <f t="array" ref="L70">IF(VLOOKUP($L$25,mission!$D$46:$F$60,3,FALSE)&lt;=$C$8,INDEX(mission!$E$46:$E$60,MATCH($L$25,mission!$D$46:$D$60,0)),0)</f>
        <v>5</v>
      </c>
      <c r="M70" s="2" cm="1">
        <f t="array" ref="M70">IF(VLOOKUP($M$25,mission!$D$46:$F$60,3,FALSE)&lt;=$C$8,INDEX(mission!$E$46:$E$60,MATCH($M$25,mission!$D$46:$D$60,0)),0)</f>
        <v>0</v>
      </c>
      <c r="N70" s="2" cm="1">
        <f t="array" ref="N70">IF(VLOOKUP($N$25,mission!$D$46:$F$60,3,FALSE)&lt;=$C$8,INDEX(mission!$E$46:$E$60,MATCH($N$25,mission!$D$46:$D$60,0)),0)</f>
        <v>0</v>
      </c>
      <c r="O70" s="2" cm="1">
        <f t="array" ref="O70">IF(VLOOKUP($O$25,mission!$D$46:$F$60,3,FALSE)&lt;=$C$8*$C$4,INDEX(mission!$E$46:$E$60,MATCH($O$25,mission!$D$46:$D$60,0)),0)</f>
        <v>0</v>
      </c>
      <c r="P70" s="2" cm="1">
        <f t="array" ref="P70">IF(VLOOKUP($P$25,mission!$D$46:$F$60,3,FALSE)&lt;=$C$8*$C$4,INDEX(mission!$E$46:$E$60,MATCH($P$25,mission!$D$46:$D$60,0)),0)</f>
        <v>0</v>
      </c>
      <c r="Q70" s="2" cm="1">
        <f t="array" ref="Q70">IF(VLOOKUP($Q$25,mission!$D$46:$F$60,3,FALSE)&lt;=$C$8*$C$4,INDEX(mission!$E$46:$E$60,MATCH($Q$25,mission!$D$46:$D$60,0)),0)</f>
        <v>0</v>
      </c>
      <c r="R70" s="2" cm="1">
        <f t="array" ref="R70">IF(VLOOKUP($R$25,mission!$D$46:$F$60,3,FALSE)&lt;=$F$5*60/$C$7,INDEX(mission!$E$46:$E$60,MATCH($R$25,mission!$D$46:$D$60,0)),0)</f>
        <v>5</v>
      </c>
      <c r="S70" s="2" cm="1">
        <f t="array" ref="S70">IF(VLOOKUP($S$25,mission!$D$46:$F$60,3,FALSE)&lt;=$F$5*60/$C$7,INDEX(mission!$E$46:$E$60,MATCH($S$25,mission!$D$46:$D$60,0)),0)</f>
        <v>0</v>
      </c>
      <c r="T70" s="2" cm="1">
        <f t="array" ref="T70">IF(VLOOKUP($T$25,mission!$D$46:$F$60,3,FALSE)&lt;=$F$5*60,INDEX(mission!$E$46:$E$60,MATCH($T$25,mission!$D$46:$D$60,0)),0)</f>
        <v>10</v>
      </c>
      <c r="U70" s="2" cm="1">
        <f t="array" ref="U70">IF(VLOOKUP($U$25,mission!$D$46:$F$60,3,FALSE)&lt;=$F$5*60,INDEX(mission!$E$46:$E$60,MATCH($U$25,mission!$D$46:$D$60,0)),0)</f>
        <v>0</v>
      </c>
      <c r="V70" s="2" cm="1">
        <f t="array" ref="V70">IF(VLOOKUP($V$25,mission!$D$46:$F$60,3,FALSE)&lt;=$F$5*60,INDEX(mission!$E$46:$E$60,MATCH($V$25,mission!$D$46:$D$60,0)),0)</f>
        <v>0</v>
      </c>
      <c r="W70" s="2" cm="1">
        <f t="array" ref="W70">IF(VLOOKUP($W$25,mission!$D$46:$F$60,3,FALSE)&lt;=$F$5*60,INDEX(mission!$E$46:$E$60,MATCH($W$25,mission!$D$46:$D$60,0)),0)</f>
        <v>0</v>
      </c>
    </row>
    <row r="71" s="1" customFormat="1" ht="18" customHeight="1" spans="2:23">
      <c r="B71" s="2">
        <v>46</v>
      </c>
      <c r="C71" s="2">
        <f t="shared" si="8"/>
        <v>46000</v>
      </c>
      <c r="D71" s="2">
        <f t="shared" si="12"/>
        <v>88</v>
      </c>
      <c r="E71" s="2">
        <f t="shared" si="10"/>
        <v>4048</v>
      </c>
      <c r="F71" s="2">
        <f>ROUND(E71*VLOOKUP($B$10,总产出!$T$4:$U$14,2,FALSE),0)</f>
        <v>405</v>
      </c>
      <c r="G71" s="2">
        <f t="shared" si="9"/>
        <v>25</v>
      </c>
      <c r="H71" s="2">
        <f t="shared" si="11"/>
        <v>1150</v>
      </c>
      <c r="I71" s="2" cm="1">
        <f t="array" ref="I71">IF(VLOOKUP($I$25,mission!$D$46:$F$60,3,FALSE)&lt;=$F$5*60/$C$7,INDEX(mission!$E$46:$E$60,MATCH($I$25,mission!$D$46:$D$60,0)),0)</f>
        <v>5</v>
      </c>
      <c r="J71" s="2" cm="1">
        <f t="array" ref="J71">IF(VLOOKUP($J$25,mission!$D$46:$F$60,3,FALSE)&lt;=$F$5*60/$C$7,INDEX(mission!$E$46:$E$60,MATCH($J$25,mission!$D$46:$D$60,0)),0)</f>
        <v>0</v>
      </c>
      <c r="K71" s="2" cm="1">
        <f t="array" ref="K71">IF(VLOOKUP($K$25,mission!$D$46:$F$60,3,FALSE)&lt;=$F$5*60/$C$7,INDEX(mission!$E$46:$E$60,MATCH($K$25,mission!$D$46:$D$60,0)),0)</f>
        <v>0</v>
      </c>
      <c r="L71" s="2" cm="1">
        <f t="array" ref="L71">IF(VLOOKUP($L$25,mission!$D$46:$F$60,3,FALSE)&lt;=$C$8,INDEX(mission!$E$46:$E$60,MATCH($L$25,mission!$D$46:$D$60,0)),0)</f>
        <v>5</v>
      </c>
      <c r="M71" s="2" cm="1">
        <f t="array" ref="M71">IF(VLOOKUP($M$25,mission!$D$46:$F$60,3,FALSE)&lt;=$C$8,INDEX(mission!$E$46:$E$60,MATCH($M$25,mission!$D$46:$D$60,0)),0)</f>
        <v>0</v>
      </c>
      <c r="N71" s="2" cm="1">
        <f t="array" ref="N71">IF(VLOOKUP($N$25,mission!$D$46:$F$60,3,FALSE)&lt;=$C$8,INDEX(mission!$E$46:$E$60,MATCH($N$25,mission!$D$46:$D$60,0)),0)</f>
        <v>0</v>
      </c>
      <c r="O71" s="2" cm="1">
        <f t="array" ref="O71">IF(VLOOKUP($O$25,mission!$D$46:$F$60,3,FALSE)&lt;=$C$8*$C$4,INDEX(mission!$E$46:$E$60,MATCH($O$25,mission!$D$46:$D$60,0)),0)</f>
        <v>0</v>
      </c>
      <c r="P71" s="2" cm="1">
        <f t="array" ref="P71">IF(VLOOKUP($P$25,mission!$D$46:$F$60,3,FALSE)&lt;=$C$8*$C$4,INDEX(mission!$E$46:$E$60,MATCH($P$25,mission!$D$46:$D$60,0)),0)</f>
        <v>0</v>
      </c>
      <c r="Q71" s="2" cm="1">
        <f t="array" ref="Q71">IF(VLOOKUP($Q$25,mission!$D$46:$F$60,3,FALSE)&lt;=$C$8*$C$4,INDEX(mission!$E$46:$E$60,MATCH($Q$25,mission!$D$46:$D$60,0)),0)</f>
        <v>0</v>
      </c>
      <c r="R71" s="2" cm="1">
        <f t="array" ref="R71">IF(VLOOKUP($R$25,mission!$D$46:$F$60,3,FALSE)&lt;=$F$5*60/$C$7,INDEX(mission!$E$46:$E$60,MATCH($R$25,mission!$D$46:$D$60,0)),0)</f>
        <v>5</v>
      </c>
      <c r="S71" s="2" cm="1">
        <f t="array" ref="S71">IF(VLOOKUP($S$25,mission!$D$46:$F$60,3,FALSE)&lt;=$F$5*60/$C$7,INDEX(mission!$E$46:$E$60,MATCH($S$25,mission!$D$46:$D$60,0)),0)</f>
        <v>0</v>
      </c>
      <c r="T71" s="2" cm="1">
        <f t="array" ref="T71">IF(VLOOKUP($T$25,mission!$D$46:$F$60,3,FALSE)&lt;=$F$5*60,INDEX(mission!$E$46:$E$60,MATCH($T$25,mission!$D$46:$D$60,0)),0)</f>
        <v>10</v>
      </c>
      <c r="U71" s="2" cm="1">
        <f t="array" ref="U71">IF(VLOOKUP($U$25,mission!$D$46:$F$60,3,FALSE)&lt;=$F$5*60,INDEX(mission!$E$46:$E$60,MATCH($U$25,mission!$D$46:$D$60,0)),0)</f>
        <v>0</v>
      </c>
      <c r="V71" s="2" cm="1">
        <f t="array" ref="V71">IF(VLOOKUP($V$25,mission!$D$46:$F$60,3,FALSE)&lt;=$F$5*60,INDEX(mission!$E$46:$E$60,MATCH($V$25,mission!$D$46:$D$60,0)),0)</f>
        <v>0</v>
      </c>
      <c r="W71" s="2" cm="1">
        <f t="array" ref="W71">IF(VLOOKUP($W$25,mission!$D$46:$F$60,3,FALSE)&lt;=$F$5*60,INDEX(mission!$E$46:$E$60,MATCH($W$25,mission!$D$46:$D$60,0)),0)</f>
        <v>0</v>
      </c>
    </row>
    <row r="72" s="1" customFormat="1" ht="18" customHeight="1" spans="2:23">
      <c r="B72" s="2">
        <v>47</v>
      </c>
      <c r="C72" s="2">
        <f t="shared" si="8"/>
        <v>47000</v>
      </c>
      <c r="D72" s="2">
        <f t="shared" si="12"/>
        <v>88</v>
      </c>
      <c r="E72" s="2">
        <f t="shared" si="10"/>
        <v>4136</v>
      </c>
      <c r="F72" s="2">
        <f>ROUND(E72*VLOOKUP($B$10,总产出!$T$4:$U$14,2,FALSE),0)</f>
        <v>414</v>
      </c>
      <c r="G72" s="2">
        <f t="shared" si="9"/>
        <v>25</v>
      </c>
      <c r="H72" s="2">
        <f t="shared" si="11"/>
        <v>1175</v>
      </c>
      <c r="I72" s="2" cm="1">
        <f t="array" ref="I72">IF(VLOOKUP($I$25,mission!$D$46:$F$60,3,FALSE)&lt;=$F$5*60/$C$7,INDEX(mission!$E$46:$E$60,MATCH($I$25,mission!$D$46:$D$60,0)),0)</f>
        <v>5</v>
      </c>
      <c r="J72" s="2" cm="1">
        <f t="array" ref="J72">IF(VLOOKUP($J$25,mission!$D$46:$F$60,3,FALSE)&lt;=$F$5*60/$C$7,INDEX(mission!$E$46:$E$60,MATCH($J$25,mission!$D$46:$D$60,0)),0)</f>
        <v>0</v>
      </c>
      <c r="K72" s="2" cm="1">
        <f t="array" ref="K72">IF(VLOOKUP($K$25,mission!$D$46:$F$60,3,FALSE)&lt;=$F$5*60/$C$7,INDEX(mission!$E$46:$E$60,MATCH($K$25,mission!$D$46:$D$60,0)),0)</f>
        <v>0</v>
      </c>
      <c r="L72" s="2" cm="1">
        <f t="array" ref="L72">IF(VLOOKUP($L$25,mission!$D$46:$F$60,3,FALSE)&lt;=$C$8,INDEX(mission!$E$46:$E$60,MATCH($L$25,mission!$D$46:$D$60,0)),0)</f>
        <v>5</v>
      </c>
      <c r="M72" s="2" cm="1">
        <f t="array" ref="M72">IF(VLOOKUP($M$25,mission!$D$46:$F$60,3,FALSE)&lt;=$C$8,INDEX(mission!$E$46:$E$60,MATCH($M$25,mission!$D$46:$D$60,0)),0)</f>
        <v>0</v>
      </c>
      <c r="N72" s="2" cm="1">
        <f t="array" ref="N72">IF(VLOOKUP($N$25,mission!$D$46:$F$60,3,FALSE)&lt;=$C$8,INDEX(mission!$E$46:$E$60,MATCH($N$25,mission!$D$46:$D$60,0)),0)</f>
        <v>0</v>
      </c>
      <c r="O72" s="2" cm="1">
        <f t="array" ref="O72">IF(VLOOKUP($O$25,mission!$D$46:$F$60,3,FALSE)&lt;=$C$8*$C$4,INDEX(mission!$E$46:$E$60,MATCH($O$25,mission!$D$46:$D$60,0)),0)</f>
        <v>0</v>
      </c>
      <c r="P72" s="2" cm="1">
        <f t="array" ref="P72">IF(VLOOKUP($P$25,mission!$D$46:$F$60,3,FALSE)&lt;=$C$8*$C$4,INDEX(mission!$E$46:$E$60,MATCH($P$25,mission!$D$46:$D$60,0)),0)</f>
        <v>0</v>
      </c>
      <c r="Q72" s="2" cm="1">
        <f t="array" ref="Q72">IF(VLOOKUP($Q$25,mission!$D$46:$F$60,3,FALSE)&lt;=$C$8*$C$4,INDEX(mission!$E$46:$E$60,MATCH($Q$25,mission!$D$46:$D$60,0)),0)</f>
        <v>0</v>
      </c>
      <c r="R72" s="2" cm="1">
        <f t="array" ref="R72">IF(VLOOKUP($R$25,mission!$D$46:$F$60,3,FALSE)&lt;=$F$5*60/$C$7,INDEX(mission!$E$46:$E$60,MATCH($R$25,mission!$D$46:$D$60,0)),0)</f>
        <v>5</v>
      </c>
      <c r="S72" s="2" cm="1">
        <f t="array" ref="S72">IF(VLOOKUP($S$25,mission!$D$46:$F$60,3,FALSE)&lt;=$F$5*60/$C$7,INDEX(mission!$E$46:$E$60,MATCH($S$25,mission!$D$46:$D$60,0)),0)</f>
        <v>0</v>
      </c>
      <c r="T72" s="2" cm="1">
        <f t="array" ref="T72">IF(VLOOKUP($T$25,mission!$D$46:$F$60,3,FALSE)&lt;=$F$5*60,INDEX(mission!$E$46:$E$60,MATCH($T$25,mission!$D$46:$D$60,0)),0)</f>
        <v>10</v>
      </c>
      <c r="U72" s="2" cm="1">
        <f t="array" ref="U72">IF(VLOOKUP($U$25,mission!$D$46:$F$60,3,FALSE)&lt;=$F$5*60,INDEX(mission!$E$46:$E$60,MATCH($U$25,mission!$D$46:$D$60,0)),0)</f>
        <v>0</v>
      </c>
      <c r="V72" s="2" cm="1">
        <f t="array" ref="V72">IF(VLOOKUP($V$25,mission!$D$46:$F$60,3,FALSE)&lt;=$F$5*60,INDEX(mission!$E$46:$E$60,MATCH($V$25,mission!$D$46:$D$60,0)),0)</f>
        <v>0</v>
      </c>
      <c r="W72" s="2" cm="1">
        <f t="array" ref="W72">IF(VLOOKUP($W$25,mission!$D$46:$F$60,3,FALSE)&lt;=$F$5*60,INDEX(mission!$E$46:$E$60,MATCH($W$25,mission!$D$46:$D$60,0)),0)</f>
        <v>0</v>
      </c>
    </row>
    <row r="73" s="1" customFormat="1" ht="18" customHeight="1" spans="2:23">
      <c r="B73" s="2">
        <v>48</v>
      </c>
      <c r="C73" s="2">
        <f t="shared" si="8"/>
        <v>48000</v>
      </c>
      <c r="D73" s="2">
        <f t="shared" si="12"/>
        <v>88</v>
      </c>
      <c r="E73" s="2">
        <f t="shared" si="10"/>
        <v>4224</v>
      </c>
      <c r="F73" s="2">
        <f>ROUND(E73*VLOOKUP($B$10,总产出!$T$4:$U$14,2,FALSE),0)</f>
        <v>422</v>
      </c>
      <c r="G73" s="2">
        <f t="shared" si="9"/>
        <v>25</v>
      </c>
      <c r="H73" s="2">
        <f t="shared" si="11"/>
        <v>1200</v>
      </c>
      <c r="I73" s="2" cm="1">
        <f t="array" ref="I73">IF(VLOOKUP($I$25,mission!$D$46:$F$60,3,FALSE)&lt;=$F$5*60/$C$7,INDEX(mission!$E$46:$E$60,MATCH($I$25,mission!$D$46:$D$60,0)),0)</f>
        <v>5</v>
      </c>
      <c r="J73" s="2" cm="1">
        <f t="array" ref="J73">IF(VLOOKUP($J$25,mission!$D$46:$F$60,3,FALSE)&lt;=$F$5*60/$C$7,INDEX(mission!$E$46:$E$60,MATCH($J$25,mission!$D$46:$D$60,0)),0)</f>
        <v>0</v>
      </c>
      <c r="K73" s="2" cm="1">
        <f t="array" ref="K73">IF(VLOOKUP($K$25,mission!$D$46:$F$60,3,FALSE)&lt;=$F$5*60/$C$7,INDEX(mission!$E$46:$E$60,MATCH($K$25,mission!$D$46:$D$60,0)),0)</f>
        <v>0</v>
      </c>
      <c r="L73" s="2" cm="1">
        <f t="array" ref="L73">IF(VLOOKUP($L$25,mission!$D$46:$F$60,3,FALSE)&lt;=$C$8,INDEX(mission!$E$46:$E$60,MATCH($L$25,mission!$D$46:$D$60,0)),0)</f>
        <v>5</v>
      </c>
      <c r="M73" s="2" cm="1">
        <f t="array" ref="M73">IF(VLOOKUP($M$25,mission!$D$46:$F$60,3,FALSE)&lt;=$C$8,INDEX(mission!$E$46:$E$60,MATCH($M$25,mission!$D$46:$D$60,0)),0)</f>
        <v>0</v>
      </c>
      <c r="N73" s="2" cm="1">
        <f t="array" ref="N73">IF(VLOOKUP($N$25,mission!$D$46:$F$60,3,FALSE)&lt;=$C$8,INDEX(mission!$E$46:$E$60,MATCH($N$25,mission!$D$46:$D$60,0)),0)</f>
        <v>0</v>
      </c>
      <c r="O73" s="2" cm="1">
        <f t="array" ref="O73">IF(VLOOKUP($O$25,mission!$D$46:$F$60,3,FALSE)&lt;=$C$8*$C$4,INDEX(mission!$E$46:$E$60,MATCH($O$25,mission!$D$46:$D$60,0)),0)</f>
        <v>0</v>
      </c>
      <c r="P73" s="2" cm="1">
        <f t="array" ref="P73">IF(VLOOKUP($P$25,mission!$D$46:$F$60,3,FALSE)&lt;=$C$8*$C$4,INDEX(mission!$E$46:$E$60,MATCH($P$25,mission!$D$46:$D$60,0)),0)</f>
        <v>0</v>
      </c>
      <c r="Q73" s="2" cm="1">
        <f t="array" ref="Q73">IF(VLOOKUP($Q$25,mission!$D$46:$F$60,3,FALSE)&lt;=$C$8*$C$4,INDEX(mission!$E$46:$E$60,MATCH($Q$25,mission!$D$46:$D$60,0)),0)</f>
        <v>0</v>
      </c>
      <c r="R73" s="2" cm="1">
        <f t="array" ref="R73">IF(VLOOKUP($R$25,mission!$D$46:$F$60,3,FALSE)&lt;=$F$5*60/$C$7,INDEX(mission!$E$46:$E$60,MATCH($R$25,mission!$D$46:$D$60,0)),0)</f>
        <v>5</v>
      </c>
      <c r="S73" s="2" cm="1">
        <f t="array" ref="S73">IF(VLOOKUP($S$25,mission!$D$46:$F$60,3,FALSE)&lt;=$F$5*60/$C$7,INDEX(mission!$E$46:$E$60,MATCH($S$25,mission!$D$46:$D$60,0)),0)</f>
        <v>0</v>
      </c>
      <c r="T73" s="2" cm="1">
        <f t="array" ref="T73">IF(VLOOKUP($T$25,mission!$D$46:$F$60,3,FALSE)&lt;=$F$5*60,INDEX(mission!$E$46:$E$60,MATCH($T$25,mission!$D$46:$D$60,0)),0)</f>
        <v>10</v>
      </c>
      <c r="U73" s="2" cm="1">
        <f t="array" ref="U73">IF(VLOOKUP($U$25,mission!$D$46:$F$60,3,FALSE)&lt;=$F$5*60,INDEX(mission!$E$46:$E$60,MATCH($U$25,mission!$D$46:$D$60,0)),0)</f>
        <v>0</v>
      </c>
      <c r="V73" s="2" cm="1">
        <f t="array" ref="V73">IF(VLOOKUP($V$25,mission!$D$46:$F$60,3,FALSE)&lt;=$F$5*60,INDEX(mission!$E$46:$E$60,MATCH($V$25,mission!$D$46:$D$60,0)),0)</f>
        <v>0</v>
      </c>
      <c r="W73" s="2" cm="1">
        <f t="array" ref="W73">IF(VLOOKUP($W$25,mission!$D$46:$F$60,3,FALSE)&lt;=$F$5*60,INDEX(mission!$E$46:$E$60,MATCH($W$25,mission!$D$46:$D$60,0)),0)</f>
        <v>0</v>
      </c>
    </row>
    <row r="74" s="1" customFormat="1" ht="18" customHeight="1" spans="2:23">
      <c r="B74" s="2">
        <v>49</v>
      </c>
      <c r="C74" s="2">
        <f t="shared" si="8"/>
        <v>49000</v>
      </c>
      <c r="D74" s="2">
        <f t="shared" si="12"/>
        <v>88</v>
      </c>
      <c r="E74" s="2">
        <f t="shared" si="10"/>
        <v>4312</v>
      </c>
      <c r="F74" s="2">
        <f>ROUND(E74*VLOOKUP($B$10,总产出!$T$4:$U$14,2,FALSE),0)</f>
        <v>431</v>
      </c>
      <c r="G74" s="2">
        <f t="shared" si="9"/>
        <v>25</v>
      </c>
      <c r="H74" s="2">
        <f t="shared" si="11"/>
        <v>1225</v>
      </c>
      <c r="I74" s="2" cm="1">
        <f t="array" ref="I74">IF(VLOOKUP($I$25,mission!$D$46:$F$60,3,FALSE)&lt;=$F$5*60/$C$7,INDEX(mission!$E$46:$E$60,MATCH($I$25,mission!$D$46:$D$60,0)),0)</f>
        <v>5</v>
      </c>
      <c r="J74" s="2" cm="1">
        <f t="array" ref="J74">IF(VLOOKUP($J$25,mission!$D$46:$F$60,3,FALSE)&lt;=$F$5*60/$C$7,INDEX(mission!$E$46:$E$60,MATCH($J$25,mission!$D$46:$D$60,0)),0)</f>
        <v>0</v>
      </c>
      <c r="K74" s="2" cm="1">
        <f t="array" ref="K74">IF(VLOOKUP($K$25,mission!$D$46:$F$60,3,FALSE)&lt;=$F$5*60/$C$7,INDEX(mission!$E$46:$E$60,MATCH($K$25,mission!$D$46:$D$60,0)),0)</f>
        <v>0</v>
      </c>
      <c r="L74" s="2" cm="1">
        <f t="array" ref="L74">IF(VLOOKUP($L$25,mission!$D$46:$F$60,3,FALSE)&lt;=$C$8,INDEX(mission!$E$46:$E$60,MATCH($L$25,mission!$D$46:$D$60,0)),0)</f>
        <v>5</v>
      </c>
      <c r="M74" s="2" cm="1">
        <f t="array" ref="M74">IF(VLOOKUP($M$25,mission!$D$46:$F$60,3,FALSE)&lt;=$C$8,INDEX(mission!$E$46:$E$60,MATCH($M$25,mission!$D$46:$D$60,0)),0)</f>
        <v>0</v>
      </c>
      <c r="N74" s="2" cm="1">
        <f t="array" ref="N74">IF(VLOOKUP($N$25,mission!$D$46:$F$60,3,FALSE)&lt;=$C$8,INDEX(mission!$E$46:$E$60,MATCH($N$25,mission!$D$46:$D$60,0)),0)</f>
        <v>0</v>
      </c>
      <c r="O74" s="2" cm="1">
        <f t="array" ref="O74">IF(VLOOKUP($O$25,mission!$D$46:$F$60,3,FALSE)&lt;=$C$8*$C$4,INDEX(mission!$E$46:$E$60,MATCH($O$25,mission!$D$46:$D$60,0)),0)</f>
        <v>0</v>
      </c>
      <c r="P74" s="2" cm="1">
        <f t="array" ref="P74">IF(VLOOKUP($P$25,mission!$D$46:$F$60,3,FALSE)&lt;=$C$8*$C$4,INDEX(mission!$E$46:$E$60,MATCH($P$25,mission!$D$46:$D$60,0)),0)</f>
        <v>0</v>
      </c>
      <c r="Q74" s="2" cm="1">
        <f t="array" ref="Q74">IF(VLOOKUP($Q$25,mission!$D$46:$F$60,3,FALSE)&lt;=$C$8*$C$4,INDEX(mission!$E$46:$E$60,MATCH($Q$25,mission!$D$46:$D$60,0)),0)</f>
        <v>0</v>
      </c>
      <c r="R74" s="2" cm="1">
        <f t="array" ref="R74">IF(VLOOKUP($R$25,mission!$D$46:$F$60,3,FALSE)&lt;=$F$5*60/$C$7,INDEX(mission!$E$46:$E$60,MATCH($R$25,mission!$D$46:$D$60,0)),0)</f>
        <v>5</v>
      </c>
      <c r="S74" s="2" cm="1">
        <f t="array" ref="S74">IF(VLOOKUP($S$25,mission!$D$46:$F$60,3,FALSE)&lt;=$F$5*60/$C$7,INDEX(mission!$E$46:$E$60,MATCH($S$25,mission!$D$46:$D$60,0)),0)</f>
        <v>0</v>
      </c>
      <c r="T74" s="2" cm="1">
        <f t="array" ref="T74">IF(VLOOKUP($T$25,mission!$D$46:$F$60,3,FALSE)&lt;=$F$5*60,INDEX(mission!$E$46:$E$60,MATCH($T$25,mission!$D$46:$D$60,0)),0)</f>
        <v>10</v>
      </c>
      <c r="U74" s="2" cm="1">
        <f t="array" ref="U74">IF(VLOOKUP($U$25,mission!$D$46:$F$60,3,FALSE)&lt;=$F$5*60,INDEX(mission!$E$46:$E$60,MATCH($U$25,mission!$D$46:$D$60,0)),0)</f>
        <v>0</v>
      </c>
      <c r="V74" s="2" cm="1">
        <f t="array" ref="V74">IF(VLOOKUP($V$25,mission!$D$46:$F$60,3,FALSE)&lt;=$F$5*60,INDEX(mission!$E$46:$E$60,MATCH($V$25,mission!$D$46:$D$60,0)),0)</f>
        <v>0</v>
      </c>
      <c r="W74" s="2" cm="1">
        <f t="array" ref="W74">IF(VLOOKUP($W$25,mission!$D$46:$F$60,3,FALSE)&lt;=$F$5*60,INDEX(mission!$E$46:$E$60,MATCH($W$25,mission!$D$46:$D$60,0)),0)</f>
        <v>0</v>
      </c>
    </row>
    <row r="75" s="1" customFormat="1" ht="18" customHeight="1" spans="2:23">
      <c r="B75" s="2">
        <v>50</v>
      </c>
      <c r="C75" s="2">
        <f t="shared" si="8"/>
        <v>50000</v>
      </c>
      <c r="D75" s="2">
        <f t="shared" si="12"/>
        <v>88</v>
      </c>
      <c r="E75" s="2">
        <f t="shared" si="10"/>
        <v>4400</v>
      </c>
      <c r="F75" s="2">
        <f>ROUND(E75*VLOOKUP($B$10,总产出!$T$4:$U$14,2,FALSE),0)</f>
        <v>440</v>
      </c>
      <c r="G75" s="2">
        <f t="shared" si="9"/>
        <v>25</v>
      </c>
      <c r="H75" s="2">
        <f t="shared" si="11"/>
        <v>1250</v>
      </c>
      <c r="I75" s="2" cm="1">
        <f t="array" ref="I75">IF(VLOOKUP($I$25,mission!$D$46:$F$60,3,FALSE)&lt;=$F$5*60/$C$7,INDEX(mission!$E$46:$E$60,MATCH($I$25,mission!$D$46:$D$60,0)),0)</f>
        <v>5</v>
      </c>
      <c r="J75" s="2" cm="1">
        <f t="array" ref="J75">IF(VLOOKUP($J$25,mission!$D$46:$F$60,3,FALSE)&lt;=$F$5*60/$C$7,INDEX(mission!$E$46:$E$60,MATCH($J$25,mission!$D$46:$D$60,0)),0)</f>
        <v>0</v>
      </c>
      <c r="K75" s="2" cm="1">
        <f t="array" ref="K75">IF(VLOOKUP($K$25,mission!$D$46:$F$60,3,FALSE)&lt;=$F$5*60/$C$7,INDEX(mission!$E$46:$E$60,MATCH($K$25,mission!$D$46:$D$60,0)),0)</f>
        <v>0</v>
      </c>
      <c r="L75" s="2" cm="1">
        <f t="array" ref="L75">IF(VLOOKUP($L$25,mission!$D$46:$F$60,3,FALSE)&lt;=$C$8,INDEX(mission!$E$46:$E$60,MATCH($L$25,mission!$D$46:$D$60,0)),0)</f>
        <v>5</v>
      </c>
      <c r="M75" s="2" cm="1">
        <f t="array" ref="M75">IF(VLOOKUP($M$25,mission!$D$46:$F$60,3,FALSE)&lt;=$C$8,INDEX(mission!$E$46:$E$60,MATCH($M$25,mission!$D$46:$D$60,0)),0)</f>
        <v>0</v>
      </c>
      <c r="N75" s="2" cm="1">
        <f t="array" ref="N75">IF(VLOOKUP($N$25,mission!$D$46:$F$60,3,FALSE)&lt;=$C$8,INDEX(mission!$E$46:$E$60,MATCH($N$25,mission!$D$46:$D$60,0)),0)</f>
        <v>0</v>
      </c>
      <c r="O75" s="2" cm="1">
        <f t="array" ref="O75">IF(VLOOKUP($O$25,mission!$D$46:$F$60,3,FALSE)&lt;=$C$8*$C$4,INDEX(mission!$E$46:$E$60,MATCH($O$25,mission!$D$46:$D$60,0)),0)</f>
        <v>0</v>
      </c>
      <c r="P75" s="2" cm="1">
        <f t="array" ref="P75">IF(VLOOKUP($P$25,mission!$D$46:$F$60,3,FALSE)&lt;=$C$8*$C$4,INDEX(mission!$E$46:$E$60,MATCH($P$25,mission!$D$46:$D$60,0)),0)</f>
        <v>0</v>
      </c>
      <c r="Q75" s="2" cm="1">
        <f t="array" ref="Q75">IF(VLOOKUP($Q$25,mission!$D$46:$F$60,3,FALSE)&lt;=$C$8*$C$4,INDEX(mission!$E$46:$E$60,MATCH($Q$25,mission!$D$46:$D$60,0)),0)</f>
        <v>0</v>
      </c>
      <c r="R75" s="2" cm="1">
        <f t="array" ref="R75">IF(VLOOKUP($R$25,mission!$D$46:$F$60,3,FALSE)&lt;=$F$5*60/$C$7,INDEX(mission!$E$46:$E$60,MATCH($R$25,mission!$D$46:$D$60,0)),0)</f>
        <v>5</v>
      </c>
      <c r="S75" s="2" cm="1">
        <f t="array" ref="S75">IF(VLOOKUP($S$25,mission!$D$46:$F$60,3,FALSE)&lt;=$F$5*60/$C$7,INDEX(mission!$E$46:$E$60,MATCH($S$25,mission!$D$46:$D$60,0)),0)</f>
        <v>0</v>
      </c>
      <c r="T75" s="2" cm="1">
        <f t="array" ref="T75">IF(VLOOKUP($T$25,mission!$D$46:$F$60,3,FALSE)&lt;=$F$5*60,INDEX(mission!$E$46:$E$60,MATCH($T$25,mission!$D$46:$D$60,0)),0)</f>
        <v>10</v>
      </c>
      <c r="U75" s="2" cm="1">
        <f t="array" ref="U75">IF(VLOOKUP($U$25,mission!$D$46:$F$60,3,FALSE)&lt;=$F$5*60,INDEX(mission!$E$46:$E$60,MATCH($U$25,mission!$D$46:$D$60,0)),0)</f>
        <v>0</v>
      </c>
      <c r="V75" s="2" cm="1">
        <f t="array" ref="V75">IF(VLOOKUP($V$25,mission!$D$46:$F$60,3,FALSE)&lt;=$F$5*60,INDEX(mission!$E$46:$E$60,MATCH($V$25,mission!$D$46:$D$60,0)),0)</f>
        <v>0</v>
      </c>
      <c r="W75" s="2" cm="1">
        <f t="array" ref="W75">IF(VLOOKUP($W$25,mission!$D$46:$F$60,3,FALSE)&lt;=$F$5*60,INDEX(mission!$E$46:$E$60,MATCH($W$25,mission!$D$46:$D$60,0)),0)</f>
        <v>0</v>
      </c>
    </row>
    <row r="76" s="1" customFormat="1" ht="18" customHeight="1" spans="2:23">
      <c r="B76" s="2">
        <v>51</v>
      </c>
      <c r="C76" s="2">
        <f t="shared" si="8"/>
        <v>51000</v>
      </c>
      <c r="D76" s="2">
        <f t="shared" si="12"/>
        <v>88</v>
      </c>
      <c r="E76" s="2">
        <f t="shared" si="10"/>
        <v>4488</v>
      </c>
      <c r="F76" s="2">
        <f>ROUND(E76*VLOOKUP($B$10,总产出!$T$4:$U$14,2,FALSE),0)</f>
        <v>449</v>
      </c>
      <c r="G76" s="2">
        <f t="shared" si="9"/>
        <v>25</v>
      </c>
      <c r="H76" s="2">
        <f t="shared" si="11"/>
        <v>1275</v>
      </c>
      <c r="I76" s="2" cm="1">
        <f t="array" ref="I76">IF(VLOOKUP($I$25,mission!$D$46:$F$60,3,FALSE)&lt;=$F$5*60/$C$7,INDEX(mission!$E$46:$E$60,MATCH($I$25,mission!$D$46:$D$60,0)),0)</f>
        <v>5</v>
      </c>
      <c r="J76" s="2" cm="1">
        <f t="array" ref="J76">IF(VLOOKUP($J$25,mission!$D$46:$F$60,3,FALSE)&lt;=$F$5*60/$C$7,INDEX(mission!$E$46:$E$60,MATCH($J$25,mission!$D$46:$D$60,0)),0)</f>
        <v>0</v>
      </c>
      <c r="K76" s="2" cm="1">
        <f t="array" ref="K76">IF(VLOOKUP($K$25,mission!$D$46:$F$60,3,FALSE)&lt;=$F$5*60/$C$7,INDEX(mission!$E$46:$E$60,MATCH($K$25,mission!$D$46:$D$60,0)),0)</f>
        <v>0</v>
      </c>
      <c r="L76" s="2" cm="1">
        <f t="array" ref="L76">IF(VLOOKUP($L$25,mission!$D$46:$F$60,3,FALSE)&lt;=$C$8,INDEX(mission!$E$46:$E$60,MATCH($L$25,mission!$D$46:$D$60,0)),0)</f>
        <v>5</v>
      </c>
      <c r="M76" s="2" cm="1">
        <f t="array" ref="M76">IF(VLOOKUP($M$25,mission!$D$46:$F$60,3,FALSE)&lt;=$C$8,INDEX(mission!$E$46:$E$60,MATCH($M$25,mission!$D$46:$D$60,0)),0)</f>
        <v>0</v>
      </c>
      <c r="N76" s="2" cm="1">
        <f t="array" ref="N76">IF(VLOOKUP($N$25,mission!$D$46:$F$60,3,FALSE)&lt;=$C$8,INDEX(mission!$E$46:$E$60,MATCH($N$25,mission!$D$46:$D$60,0)),0)</f>
        <v>0</v>
      </c>
      <c r="O76" s="2" cm="1">
        <f t="array" ref="O76">IF(VLOOKUP($O$25,mission!$D$46:$F$60,3,FALSE)&lt;=$C$8*$C$4,INDEX(mission!$E$46:$E$60,MATCH($O$25,mission!$D$46:$D$60,0)),0)</f>
        <v>0</v>
      </c>
      <c r="P76" s="2" cm="1">
        <f t="array" ref="P76">IF(VLOOKUP($P$25,mission!$D$46:$F$60,3,FALSE)&lt;=$C$8*$C$4,INDEX(mission!$E$46:$E$60,MATCH($P$25,mission!$D$46:$D$60,0)),0)</f>
        <v>0</v>
      </c>
      <c r="Q76" s="2" cm="1">
        <f t="array" ref="Q76">IF(VLOOKUP($Q$25,mission!$D$46:$F$60,3,FALSE)&lt;=$C$8*$C$4,INDEX(mission!$E$46:$E$60,MATCH($Q$25,mission!$D$46:$D$60,0)),0)</f>
        <v>0</v>
      </c>
      <c r="R76" s="2" cm="1">
        <f t="array" ref="R76">IF(VLOOKUP($R$25,mission!$D$46:$F$60,3,FALSE)&lt;=$F$5*60/$C$7,INDEX(mission!$E$46:$E$60,MATCH($R$25,mission!$D$46:$D$60,0)),0)</f>
        <v>5</v>
      </c>
      <c r="S76" s="2" cm="1">
        <f t="array" ref="S76">IF(VLOOKUP($S$25,mission!$D$46:$F$60,3,FALSE)&lt;=$F$5*60/$C$7,INDEX(mission!$E$46:$E$60,MATCH($S$25,mission!$D$46:$D$60,0)),0)</f>
        <v>0</v>
      </c>
      <c r="T76" s="2" cm="1">
        <f t="array" ref="T76">IF(VLOOKUP($T$25,mission!$D$46:$F$60,3,FALSE)&lt;=$F$5*60,INDEX(mission!$E$46:$E$60,MATCH($T$25,mission!$D$46:$D$60,0)),0)</f>
        <v>10</v>
      </c>
      <c r="U76" s="2" cm="1">
        <f t="array" ref="U76">IF(VLOOKUP($U$25,mission!$D$46:$F$60,3,FALSE)&lt;=$F$5*60,INDEX(mission!$E$46:$E$60,MATCH($U$25,mission!$D$46:$D$60,0)),0)</f>
        <v>0</v>
      </c>
      <c r="V76" s="2" cm="1">
        <f t="array" ref="V76">IF(VLOOKUP($V$25,mission!$D$46:$F$60,3,FALSE)&lt;=$F$5*60,INDEX(mission!$E$46:$E$60,MATCH($V$25,mission!$D$46:$D$60,0)),0)</f>
        <v>0</v>
      </c>
      <c r="W76" s="2" cm="1">
        <f t="array" ref="W76">IF(VLOOKUP($W$25,mission!$D$46:$F$60,3,FALSE)&lt;=$F$5*60,INDEX(mission!$E$46:$E$60,MATCH($W$25,mission!$D$46:$D$60,0)),0)</f>
        <v>0</v>
      </c>
    </row>
    <row r="77" s="1" customFormat="1" ht="18" customHeight="1" spans="2:23">
      <c r="B77" s="2">
        <v>52</v>
      </c>
      <c r="C77" s="2">
        <f t="shared" si="8"/>
        <v>52000</v>
      </c>
      <c r="D77" s="2">
        <f t="shared" ref="D77:D86" si="13">ROUND($C$8*$C$5+$C$8*$C$4*(1-$L$5),0)</f>
        <v>88</v>
      </c>
      <c r="E77" s="2">
        <f t="shared" si="10"/>
        <v>4576</v>
      </c>
      <c r="F77" s="2">
        <f>ROUND(E77*VLOOKUP($B$10,总产出!$T$4:$U$14,2,FALSE),0)</f>
        <v>458</v>
      </c>
      <c r="G77" s="2">
        <f t="shared" si="9"/>
        <v>25</v>
      </c>
      <c r="H77" s="2">
        <f t="shared" si="11"/>
        <v>1300</v>
      </c>
      <c r="I77" s="2" cm="1">
        <f t="array" ref="I77">IF(VLOOKUP($I$25,mission!$D$46:$F$60,3,FALSE)&lt;=$F$5*60/$C$7,INDEX(mission!$E$46:$E$60,MATCH($I$25,mission!$D$46:$D$60,0)),0)</f>
        <v>5</v>
      </c>
      <c r="J77" s="2" cm="1">
        <f t="array" ref="J77">IF(VLOOKUP($J$25,mission!$D$46:$F$60,3,FALSE)&lt;=$F$5*60/$C$7,INDEX(mission!$E$46:$E$60,MATCH($J$25,mission!$D$46:$D$60,0)),0)</f>
        <v>0</v>
      </c>
      <c r="K77" s="2" cm="1">
        <f t="array" ref="K77">IF(VLOOKUP($K$25,mission!$D$46:$F$60,3,FALSE)&lt;=$F$5*60/$C$7,INDEX(mission!$E$46:$E$60,MATCH($K$25,mission!$D$46:$D$60,0)),0)</f>
        <v>0</v>
      </c>
      <c r="L77" s="2" cm="1">
        <f t="array" ref="L77">IF(VLOOKUP($L$25,mission!$D$46:$F$60,3,FALSE)&lt;=$C$8,INDEX(mission!$E$46:$E$60,MATCH($L$25,mission!$D$46:$D$60,0)),0)</f>
        <v>5</v>
      </c>
      <c r="M77" s="2" cm="1">
        <f t="array" ref="M77">IF(VLOOKUP($M$25,mission!$D$46:$F$60,3,FALSE)&lt;=$C$8,INDEX(mission!$E$46:$E$60,MATCH($M$25,mission!$D$46:$D$60,0)),0)</f>
        <v>0</v>
      </c>
      <c r="N77" s="2" cm="1">
        <f t="array" ref="N77">IF(VLOOKUP($N$25,mission!$D$46:$F$60,3,FALSE)&lt;=$C$8,INDEX(mission!$E$46:$E$60,MATCH($N$25,mission!$D$46:$D$60,0)),0)</f>
        <v>0</v>
      </c>
      <c r="O77" s="2" cm="1">
        <f t="array" ref="O77">IF(VLOOKUP($O$25,mission!$D$46:$F$60,3,FALSE)&lt;=$C$8*$C$4,INDEX(mission!$E$46:$E$60,MATCH($O$25,mission!$D$46:$D$60,0)),0)</f>
        <v>0</v>
      </c>
      <c r="P77" s="2" cm="1">
        <f t="array" ref="P77">IF(VLOOKUP($P$25,mission!$D$46:$F$60,3,FALSE)&lt;=$C$8*$C$4,INDEX(mission!$E$46:$E$60,MATCH($P$25,mission!$D$46:$D$60,0)),0)</f>
        <v>0</v>
      </c>
      <c r="Q77" s="2" cm="1">
        <f t="array" ref="Q77">IF(VLOOKUP($Q$25,mission!$D$46:$F$60,3,FALSE)&lt;=$C$8*$C$4,INDEX(mission!$E$46:$E$60,MATCH($Q$25,mission!$D$46:$D$60,0)),0)</f>
        <v>0</v>
      </c>
      <c r="R77" s="2" cm="1">
        <f t="array" ref="R77">IF(VLOOKUP($R$25,mission!$D$46:$F$60,3,FALSE)&lt;=$F$5*60/$C$7,INDEX(mission!$E$46:$E$60,MATCH($R$25,mission!$D$46:$D$60,0)),0)</f>
        <v>5</v>
      </c>
      <c r="S77" s="2" cm="1">
        <f t="array" ref="S77">IF(VLOOKUP($S$25,mission!$D$46:$F$60,3,FALSE)&lt;=$F$5*60/$C$7,INDEX(mission!$E$46:$E$60,MATCH($S$25,mission!$D$46:$D$60,0)),0)</f>
        <v>0</v>
      </c>
      <c r="T77" s="2" cm="1">
        <f t="array" ref="T77">IF(VLOOKUP($T$25,mission!$D$46:$F$60,3,FALSE)&lt;=$F$5*60,INDEX(mission!$E$46:$E$60,MATCH($T$25,mission!$D$46:$D$60,0)),0)</f>
        <v>10</v>
      </c>
      <c r="U77" s="2" cm="1">
        <f t="array" ref="U77">IF(VLOOKUP($U$25,mission!$D$46:$F$60,3,FALSE)&lt;=$F$5*60,INDEX(mission!$E$46:$E$60,MATCH($U$25,mission!$D$46:$D$60,0)),0)</f>
        <v>0</v>
      </c>
      <c r="V77" s="2" cm="1">
        <f t="array" ref="V77">IF(VLOOKUP($V$25,mission!$D$46:$F$60,3,FALSE)&lt;=$F$5*60,INDEX(mission!$E$46:$E$60,MATCH($V$25,mission!$D$46:$D$60,0)),0)</f>
        <v>0</v>
      </c>
      <c r="W77" s="2" cm="1">
        <f t="array" ref="W77">IF(VLOOKUP($W$25,mission!$D$46:$F$60,3,FALSE)&lt;=$F$5*60,INDEX(mission!$E$46:$E$60,MATCH($W$25,mission!$D$46:$D$60,0)),0)</f>
        <v>0</v>
      </c>
    </row>
    <row r="78" s="1" customFormat="1" ht="18" customHeight="1" spans="2:23">
      <c r="B78" s="2">
        <v>53</v>
      </c>
      <c r="C78" s="2">
        <f t="shared" si="8"/>
        <v>53000</v>
      </c>
      <c r="D78" s="2">
        <f t="shared" si="13"/>
        <v>88</v>
      </c>
      <c r="E78" s="2">
        <f t="shared" si="10"/>
        <v>4664</v>
      </c>
      <c r="F78" s="2">
        <f>ROUND(E78*VLOOKUP($B$10,总产出!$T$4:$U$14,2,FALSE),0)</f>
        <v>466</v>
      </c>
      <c r="G78" s="2">
        <f t="shared" si="9"/>
        <v>25</v>
      </c>
      <c r="H78" s="2">
        <f t="shared" si="11"/>
        <v>1325</v>
      </c>
      <c r="I78" s="2" cm="1">
        <f t="array" ref="I78">IF(VLOOKUP($I$25,mission!$D$46:$F$60,3,FALSE)&lt;=$F$5*60/$C$7,INDEX(mission!$E$46:$E$60,MATCH($I$25,mission!$D$46:$D$60,0)),0)</f>
        <v>5</v>
      </c>
      <c r="J78" s="2" cm="1">
        <f t="array" ref="J78">IF(VLOOKUP($J$25,mission!$D$46:$F$60,3,FALSE)&lt;=$F$5*60/$C$7,INDEX(mission!$E$46:$E$60,MATCH($J$25,mission!$D$46:$D$60,0)),0)</f>
        <v>0</v>
      </c>
      <c r="K78" s="2" cm="1">
        <f t="array" ref="K78">IF(VLOOKUP($K$25,mission!$D$46:$F$60,3,FALSE)&lt;=$F$5*60/$C$7,INDEX(mission!$E$46:$E$60,MATCH($K$25,mission!$D$46:$D$60,0)),0)</f>
        <v>0</v>
      </c>
      <c r="L78" s="2" cm="1">
        <f t="array" ref="L78">IF(VLOOKUP($L$25,mission!$D$46:$F$60,3,FALSE)&lt;=$C$8,INDEX(mission!$E$46:$E$60,MATCH($L$25,mission!$D$46:$D$60,0)),0)</f>
        <v>5</v>
      </c>
      <c r="M78" s="2" cm="1">
        <f t="array" ref="M78">IF(VLOOKUP($M$25,mission!$D$46:$F$60,3,FALSE)&lt;=$C$8,INDEX(mission!$E$46:$E$60,MATCH($M$25,mission!$D$46:$D$60,0)),0)</f>
        <v>0</v>
      </c>
      <c r="N78" s="2" cm="1">
        <f t="array" ref="N78">IF(VLOOKUP($N$25,mission!$D$46:$F$60,3,FALSE)&lt;=$C$8,INDEX(mission!$E$46:$E$60,MATCH($N$25,mission!$D$46:$D$60,0)),0)</f>
        <v>0</v>
      </c>
      <c r="O78" s="2" cm="1">
        <f t="array" ref="O78">IF(VLOOKUP($O$25,mission!$D$46:$F$60,3,FALSE)&lt;=$C$8*$C$4,INDEX(mission!$E$46:$E$60,MATCH($O$25,mission!$D$46:$D$60,0)),0)</f>
        <v>0</v>
      </c>
      <c r="P78" s="2" cm="1">
        <f t="array" ref="P78">IF(VLOOKUP($P$25,mission!$D$46:$F$60,3,FALSE)&lt;=$C$8*$C$4,INDEX(mission!$E$46:$E$60,MATCH($P$25,mission!$D$46:$D$60,0)),0)</f>
        <v>0</v>
      </c>
      <c r="Q78" s="2" cm="1">
        <f t="array" ref="Q78">IF(VLOOKUP($Q$25,mission!$D$46:$F$60,3,FALSE)&lt;=$C$8*$C$4,INDEX(mission!$E$46:$E$60,MATCH($Q$25,mission!$D$46:$D$60,0)),0)</f>
        <v>0</v>
      </c>
      <c r="R78" s="2" cm="1">
        <f t="array" ref="R78">IF(VLOOKUP($R$25,mission!$D$46:$F$60,3,FALSE)&lt;=$F$5*60/$C$7,INDEX(mission!$E$46:$E$60,MATCH($R$25,mission!$D$46:$D$60,0)),0)</f>
        <v>5</v>
      </c>
      <c r="S78" s="2" cm="1">
        <f t="array" ref="S78">IF(VLOOKUP($S$25,mission!$D$46:$F$60,3,FALSE)&lt;=$F$5*60/$C$7,INDEX(mission!$E$46:$E$60,MATCH($S$25,mission!$D$46:$D$60,0)),0)</f>
        <v>0</v>
      </c>
      <c r="T78" s="2" cm="1">
        <f t="array" ref="T78">IF(VLOOKUP($T$25,mission!$D$46:$F$60,3,FALSE)&lt;=$F$5*60,INDEX(mission!$E$46:$E$60,MATCH($T$25,mission!$D$46:$D$60,0)),0)</f>
        <v>10</v>
      </c>
      <c r="U78" s="2" cm="1">
        <f t="array" ref="U78">IF(VLOOKUP($U$25,mission!$D$46:$F$60,3,FALSE)&lt;=$F$5*60,INDEX(mission!$E$46:$E$60,MATCH($U$25,mission!$D$46:$D$60,0)),0)</f>
        <v>0</v>
      </c>
      <c r="V78" s="2" cm="1">
        <f t="array" ref="V78">IF(VLOOKUP($V$25,mission!$D$46:$F$60,3,FALSE)&lt;=$F$5*60,INDEX(mission!$E$46:$E$60,MATCH($V$25,mission!$D$46:$D$60,0)),0)</f>
        <v>0</v>
      </c>
      <c r="W78" s="2" cm="1">
        <f t="array" ref="W78">IF(VLOOKUP($W$25,mission!$D$46:$F$60,3,FALSE)&lt;=$F$5*60,INDEX(mission!$E$46:$E$60,MATCH($W$25,mission!$D$46:$D$60,0)),0)</f>
        <v>0</v>
      </c>
    </row>
    <row r="79" s="1" customFormat="1" ht="18" customHeight="1" spans="2:23">
      <c r="B79" s="2">
        <v>54</v>
      </c>
      <c r="C79" s="2">
        <f t="shared" si="8"/>
        <v>54000</v>
      </c>
      <c r="D79" s="2">
        <f t="shared" si="13"/>
        <v>88</v>
      </c>
      <c r="E79" s="2">
        <f t="shared" si="10"/>
        <v>4752</v>
      </c>
      <c r="F79" s="2">
        <f>ROUND(E79*VLOOKUP($B$10,总产出!$T$4:$U$14,2,FALSE),0)</f>
        <v>475</v>
      </c>
      <c r="G79" s="2">
        <f t="shared" si="9"/>
        <v>25</v>
      </c>
      <c r="H79" s="2">
        <f t="shared" si="11"/>
        <v>1350</v>
      </c>
      <c r="I79" s="2" cm="1">
        <f t="array" ref="I79">IF(VLOOKUP($I$25,mission!$D$46:$F$60,3,FALSE)&lt;=$F$5*60/$C$7,INDEX(mission!$E$46:$E$60,MATCH($I$25,mission!$D$46:$D$60,0)),0)</f>
        <v>5</v>
      </c>
      <c r="J79" s="2" cm="1">
        <f t="array" ref="J79">IF(VLOOKUP($J$25,mission!$D$46:$F$60,3,FALSE)&lt;=$F$5*60/$C$7,INDEX(mission!$E$46:$E$60,MATCH($J$25,mission!$D$46:$D$60,0)),0)</f>
        <v>0</v>
      </c>
      <c r="K79" s="2" cm="1">
        <f t="array" ref="K79">IF(VLOOKUP($K$25,mission!$D$46:$F$60,3,FALSE)&lt;=$F$5*60/$C$7,INDEX(mission!$E$46:$E$60,MATCH($K$25,mission!$D$46:$D$60,0)),0)</f>
        <v>0</v>
      </c>
      <c r="L79" s="2" cm="1">
        <f t="array" ref="L79">IF(VLOOKUP($L$25,mission!$D$46:$F$60,3,FALSE)&lt;=$C$8,INDEX(mission!$E$46:$E$60,MATCH($L$25,mission!$D$46:$D$60,0)),0)</f>
        <v>5</v>
      </c>
      <c r="M79" s="2" cm="1">
        <f t="array" ref="M79">IF(VLOOKUP($M$25,mission!$D$46:$F$60,3,FALSE)&lt;=$C$8,INDEX(mission!$E$46:$E$60,MATCH($M$25,mission!$D$46:$D$60,0)),0)</f>
        <v>0</v>
      </c>
      <c r="N79" s="2" cm="1">
        <f t="array" ref="N79">IF(VLOOKUP($N$25,mission!$D$46:$F$60,3,FALSE)&lt;=$C$8,INDEX(mission!$E$46:$E$60,MATCH($N$25,mission!$D$46:$D$60,0)),0)</f>
        <v>0</v>
      </c>
      <c r="O79" s="2" cm="1">
        <f t="array" ref="O79">IF(VLOOKUP($O$25,mission!$D$46:$F$60,3,FALSE)&lt;=$C$8*$C$4,INDEX(mission!$E$46:$E$60,MATCH($O$25,mission!$D$46:$D$60,0)),0)</f>
        <v>0</v>
      </c>
      <c r="P79" s="2" cm="1">
        <f t="array" ref="P79">IF(VLOOKUP($P$25,mission!$D$46:$F$60,3,FALSE)&lt;=$C$8*$C$4,INDEX(mission!$E$46:$E$60,MATCH($P$25,mission!$D$46:$D$60,0)),0)</f>
        <v>0</v>
      </c>
      <c r="Q79" s="2" cm="1">
        <f t="array" ref="Q79">IF(VLOOKUP($Q$25,mission!$D$46:$F$60,3,FALSE)&lt;=$C$8*$C$4,INDEX(mission!$E$46:$E$60,MATCH($Q$25,mission!$D$46:$D$60,0)),0)</f>
        <v>0</v>
      </c>
      <c r="R79" s="2" cm="1">
        <f t="array" ref="R79">IF(VLOOKUP($R$25,mission!$D$46:$F$60,3,FALSE)&lt;=$F$5*60/$C$7,INDEX(mission!$E$46:$E$60,MATCH($R$25,mission!$D$46:$D$60,0)),0)</f>
        <v>5</v>
      </c>
      <c r="S79" s="2" cm="1">
        <f t="array" ref="S79">IF(VLOOKUP($S$25,mission!$D$46:$F$60,3,FALSE)&lt;=$F$5*60/$C$7,INDEX(mission!$E$46:$E$60,MATCH($S$25,mission!$D$46:$D$60,0)),0)</f>
        <v>0</v>
      </c>
      <c r="T79" s="2" cm="1">
        <f t="array" ref="T79">IF(VLOOKUP($T$25,mission!$D$46:$F$60,3,FALSE)&lt;=$F$5*60,INDEX(mission!$E$46:$E$60,MATCH($T$25,mission!$D$46:$D$60,0)),0)</f>
        <v>10</v>
      </c>
      <c r="U79" s="2" cm="1">
        <f t="array" ref="U79">IF(VLOOKUP($U$25,mission!$D$46:$F$60,3,FALSE)&lt;=$F$5*60,INDEX(mission!$E$46:$E$60,MATCH($U$25,mission!$D$46:$D$60,0)),0)</f>
        <v>0</v>
      </c>
      <c r="V79" s="2" cm="1">
        <f t="array" ref="V79">IF(VLOOKUP($V$25,mission!$D$46:$F$60,3,FALSE)&lt;=$F$5*60,INDEX(mission!$E$46:$E$60,MATCH($V$25,mission!$D$46:$D$60,0)),0)</f>
        <v>0</v>
      </c>
      <c r="W79" s="2" cm="1">
        <f t="array" ref="W79">IF(VLOOKUP($W$25,mission!$D$46:$F$60,3,FALSE)&lt;=$F$5*60,INDEX(mission!$E$46:$E$60,MATCH($W$25,mission!$D$46:$D$60,0)),0)</f>
        <v>0</v>
      </c>
    </row>
    <row r="80" s="1" customFormat="1" ht="18" customHeight="1" spans="2:23">
      <c r="B80" s="2">
        <v>55</v>
      </c>
      <c r="C80" s="2">
        <f t="shared" si="8"/>
        <v>55000</v>
      </c>
      <c r="D80" s="2">
        <f t="shared" si="13"/>
        <v>88</v>
      </c>
      <c r="E80" s="2">
        <f t="shared" si="10"/>
        <v>4840</v>
      </c>
      <c r="F80" s="2">
        <f>ROUND(E80*VLOOKUP($B$10,总产出!$T$4:$U$14,2,FALSE),0)</f>
        <v>484</v>
      </c>
      <c r="G80" s="2">
        <f t="shared" si="9"/>
        <v>25</v>
      </c>
      <c r="H80" s="2">
        <f t="shared" si="11"/>
        <v>1375</v>
      </c>
      <c r="I80" s="2" cm="1">
        <f t="array" ref="I80">IF(VLOOKUP($I$25,mission!$D$46:$F$60,3,FALSE)&lt;=$F$5*60/$C$7,INDEX(mission!$E$46:$E$60,MATCH($I$25,mission!$D$46:$D$60,0)),0)</f>
        <v>5</v>
      </c>
      <c r="J80" s="2" cm="1">
        <f t="array" ref="J80">IF(VLOOKUP($J$25,mission!$D$46:$F$60,3,FALSE)&lt;=$F$5*60/$C$7,INDEX(mission!$E$46:$E$60,MATCH($J$25,mission!$D$46:$D$60,0)),0)</f>
        <v>0</v>
      </c>
      <c r="K80" s="2" cm="1">
        <f t="array" ref="K80">IF(VLOOKUP($K$25,mission!$D$46:$F$60,3,FALSE)&lt;=$F$5*60/$C$7,INDEX(mission!$E$46:$E$60,MATCH($K$25,mission!$D$46:$D$60,0)),0)</f>
        <v>0</v>
      </c>
      <c r="L80" s="2" cm="1">
        <f t="array" ref="L80">IF(VLOOKUP($L$25,mission!$D$46:$F$60,3,FALSE)&lt;=$C$8,INDEX(mission!$E$46:$E$60,MATCH($L$25,mission!$D$46:$D$60,0)),0)</f>
        <v>5</v>
      </c>
      <c r="M80" s="2" cm="1">
        <f t="array" ref="M80">IF(VLOOKUP($M$25,mission!$D$46:$F$60,3,FALSE)&lt;=$C$8,INDEX(mission!$E$46:$E$60,MATCH($M$25,mission!$D$46:$D$60,0)),0)</f>
        <v>0</v>
      </c>
      <c r="N80" s="2" cm="1">
        <f t="array" ref="N80">IF(VLOOKUP($N$25,mission!$D$46:$F$60,3,FALSE)&lt;=$C$8,INDEX(mission!$E$46:$E$60,MATCH($N$25,mission!$D$46:$D$60,0)),0)</f>
        <v>0</v>
      </c>
      <c r="O80" s="2" cm="1">
        <f t="array" ref="O80">IF(VLOOKUP($O$25,mission!$D$46:$F$60,3,FALSE)&lt;=$C$8*$C$4,INDEX(mission!$E$46:$E$60,MATCH($O$25,mission!$D$46:$D$60,0)),0)</f>
        <v>0</v>
      </c>
      <c r="P80" s="2" cm="1">
        <f t="array" ref="P80">IF(VLOOKUP($P$25,mission!$D$46:$F$60,3,FALSE)&lt;=$C$8*$C$4,INDEX(mission!$E$46:$E$60,MATCH($P$25,mission!$D$46:$D$60,0)),0)</f>
        <v>0</v>
      </c>
      <c r="Q80" s="2" cm="1">
        <f t="array" ref="Q80">IF(VLOOKUP($Q$25,mission!$D$46:$F$60,3,FALSE)&lt;=$C$8*$C$4,INDEX(mission!$E$46:$E$60,MATCH($Q$25,mission!$D$46:$D$60,0)),0)</f>
        <v>0</v>
      </c>
      <c r="R80" s="2" cm="1">
        <f t="array" ref="R80">IF(VLOOKUP($R$25,mission!$D$46:$F$60,3,FALSE)&lt;=$F$5*60/$C$7,INDEX(mission!$E$46:$E$60,MATCH($R$25,mission!$D$46:$D$60,0)),0)</f>
        <v>5</v>
      </c>
      <c r="S80" s="2" cm="1">
        <f t="array" ref="S80">IF(VLOOKUP($S$25,mission!$D$46:$F$60,3,FALSE)&lt;=$F$5*60/$C$7,INDEX(mission!$E$46:$E$60,MATCH($S$25,mission!$D$46:$D$60,0)),0)</f>
        <v>0</v>
      </c>
      <c r="T80" s="2" cm="1">
        <f t="array" ref="T80">IF(VLOOKUP($T$25,mission!$D$46:$F$60,3,FALSE)&lt;=$F$5*60,INDEX(mission!$E$46:$E$60,MATCH($T$25,mission!$D$46:$D$60,0)),0)</f>
        <v>10</v>
      </c>
      <c r="U80" s="2" cm="1">
        <f t="array" ref="U80">IF(VLOOKUP($U$25,mission!$D$46:$F$60,3,FALSE)&lt;=$F$5*60,INDEX(mission!$E$46:$E$60,MATCH($U$25,mission!$D$46:$D$60,0)),0)</f>
        <v>0</v>
      </c>
      <c r="V80" s="2" cm="1">
        <f t="array" ref="V80">IF(VLOOKUP($V$25,mission!$D$46:$F$60,3,FALSE)&lt;=$F$5*60,INDEX(mission!$E$46:$E$60,MATCH($V$25,mission!$D$46:$D$60,0)),0)</f>
        <v>0</v>
      </c>
      <c r="W80" s="2" cm="1">
        <f t="array" ref="W80">IF(VLOOKUP($W$25,mission!$D$46:$F$60,3,FALSE)&lt;=$F$5*60,INDEX(mission!$E$46:$E$60,MATCH($W$25,mission!$D$46:$D$60,0)),0)</f>
        <v>0</v>
      </c>
    </row>
    <row r="81" s="1" customFormat="1" ht="18" customHeight="1" spans="2:23">
      <c r="B81" s="2">
        <v>56</v>
      </c>
      <c r="C81" s="2">
        <f t="shared" si="8"/>
        <v>56000</v>
      </c>
      <c r="D81" s="2">
        <f t="shared" si="13"/>
        <v>88</v>
      </c>
      <c r="E81" s="2">
        <f t="shared" si="10"/>
        <v>4928</v>
      </c>
      <c r="F81" s="2">
        <f>ROUND(E81*VLOOKUP($B$10,总产出!$T$4:$U$14,2,FALSE),0)</f>
        <v>493</v>
      </c>
      <c r="G81" s="2">
        <f t="shared" si="9"/>
        <v>25</v>
      </c>
      <c r="H81" s="2">
        <f t="shared" si="11"/>
        <v>1400</v>
      </c>
      <c r="I81" s="2" cm="1">
        <f t="array" ref="I81">IF(VLOOKUP($I$25,mission!$D$46:$F$60,3,FALSE)&lt;=$F$5*60/$C$7,INDEX(mission!$E$46:$E$60,MATCH($I$25,mission!$D$46:$D$60,0)),0)</f>
        <v>5</v>
      </c>
      <c r="J81" s="2" cm="1">
        <f t="array" ref="J81">IF(VLOOKUP($J$25,mission!$D$46:$F$60,3,FALSE)&lt;=$F$5*60/$C$7,INDEX(mission!$E$46:$E$60,MATCH($J$25,mission!$D$46:$D$60,0)),0)</f>
        <v>0</v>
      </c>
      <c r="K81" s="2" cm="1">
        <f t="array" ref="K81">IF(VLOOKUP($K$25,mission!$D$46:$F$60,3,FALSE)&lt;=$F$5*60/$C$7,INDEX(mission!$E$46:$E$60,MATCH($K$25,mission!$D$46:$D$60,0)),0)</f>
        <v>0</v>
      </c>
      <c r="L81" s="2" cm="1">
        <f t="array" ref="L81">IF(VLOOKUP($L$25,mission!$D$46:$F$60,3,FALSE)&lt;=$C$8,INDEX(mission!$E$46:$E$60,MATCH($L$25,mission!$D$46:$D$60,0)),0)</f>
        <v>5</v>
      </c>
      <c r="M81" s="2" cm="1">
        <f t="array" ref="M81">IF(VLOOKUP($M$25,mission!$D$46:$F$60,3,FALSE)&lt;=$C$8,INDEX(mission!$E$46:$E$60,MATCH($M$25,mission!$D$46:$D$60,0)),0)</f>
        <v>0</v>
      </c>
      <c r="N81" s="2" cm="1">
        <f t="array" ref="N81">IF(VLOOKUP($N$25,mission!$D$46:$F$60,3,FALSE)&lt;=$C$8,INDEX(mission!$E$46:$E$60,MATCH($N$25,mission!$D$46:$D$60,0)),0)</f>
        <v>0</v>
      </c>
      <c r="O81" s="2" cm="1">
        <f t="array" ref="O81">IF(VLOOKUP($O$25,mission!$D$46:$F$60,3,FALSE)&lt;=$C$8*$C$4,INDEX(mission!$E$46:$E$60,MATCH($O$25,mission!$D$46:$D$60,0)),0)</f>
        <v>0</v>
      </c>
      <c r="P81" s="2" cm="1">
        <f t="array" ref="P81">IF(VLOOKUP($P$25,mission!$D$46:$F$60,3,FALSE)&lt;=$C$8*$C$4,INDEX(mission!$E$46:$E$60,MATCH($P$25,mission!$D$46:$D$60,0)),0)</f>
        <v>0</v>
      </c>
      <c r="Q81" s="2" cm="1">
        <f t="array" ref="Q81">IF(VLOOKUP($Q$25,mission!$D$46:$F$60,3,FALSE)&lt;=$C$8*$C$4,INDEX(mission!$E$46:$E$60,MATCH($Q$25,mission!$D$46:$D$60,0)),0)</f>
        <v>0</v>
      </c>
      <c r="R81" s="2" cm="1">
        <f t="array" ref="R81">IF(VLOOKUP($R$25,mission!$D$46:$F$60,3,FALSE)&lt;=$F$5*60/$C$7,INDEX(mission!$E$46:$E$60,MATCH($R$25,mission!$D$46:$D$60,0)),0)</f>
        <v>5</v>
      </c>
      <c r="S81" s="2" cm="1">
        <f t="array" ref="S81">IF(VLOOKUP($S$25,mission!$D$46:$F$60,3,FALSE)&lt;=$F$5*60/$C$7,INDEX(mission!$E$46:$E$60,MATCH($S$25,mission!$D$46:$D$60,0)),0)</f>
        <v>0</v>
      </c>
      <c r="T81" s="2" cm="1">
        <f t="array" ref="T81">IF(VLOOKUP($T$25,mission!$D$46:$F$60,3,FALSE)&lt;=$F$5*60,INDEX(mission!$E$46:$E$60,MATCH($T$25,mission!$D$46:$D$60,0)),0)</f>
        <v>10</v>
      </c>
      <c r="U81" s="2" cm="1">
        <f t="array" ref="U81">IF(VLOOKUP($U$25,mission!$D$46:$F$60,3,FALSE)&lt;=$F$5*60,INDEX(mission!$E$46:$E$60,MATCH($U$25,mission!$D$46:$D$60,0)),0)</f>
        <v>0</v>
      </c>
      <c r="V81" s="2" cm="1">
        <f t="array" ref="V81">IF(VLOOKUP($V$25,mission!$D$46:$F$60,3,FALSE)&lt;=$F$5*60,INDEX(mission!$E$46:$E$60,MATCH($V$25,mission!$D$46:$D$60,0)),0)</f>
        <v>0</v>
      </c>
      <c r="W81" s="2" cm="1">
        <f t="array" ref="W81">IF(VLOOKUP($W$25,mission!$D$46:$F$60,3,FALSE)&lt;=$F$5*60,INDEX(mission!$E$46:$E$60,MATCH($W$25,mission!$D$46:$D$60,0)),0)</f>
        <v>0</v>
      </c>
    </row>
    <row r="82" s="1" customFormat="1" ht="18" customHeight="1" spans="2:23">
      <c r="B82" s="2">
        <v>57</v>
      </c>
      <c r="C82" s="2">
        <f t="shared" si="8"/>
        <v>57000</v>
      </c>
      <c r="D82" s="2">
        <f t="shared" si="13"/>
        <v>88</v>
      </c>
      <c r="E82" s="2">
        <f t="shared" si="10"/>
        <v>5016</v>
      </c>
      <c r="F82" s="2">
        <f>ROUND(E82*VLOOKUP($B$10,总产出!$T$4:$U$14,2,FALSE),0)</f>
        <v>502</v>
      </c>
      <c r="G82" s="2">
        <f t="shared" si="9"/>
        <v>25</v>
      </c>
      <c r="H82" s="2">
        <f t="shared" si="11"/>
        <v>1425</v>
      </c>
      <c r="I82" s="2" cm="1">
        <f t="array" ref="I82">IF(VLOOKUP($I$25,mission!$D$46:$F$60,3,FALSE)&lt;=$F$5*60/$C$7,INDEX(mission!$E$46:$E$60,MATCH($I$25,mission!$D$46:$D$60,0)),0)</f>
        <v>5</v>
      </c>
      <c r="J82" s="2" cm="1">
        <f t="array" ref="J82">IF(VLOOKUP($J$25,mission!$D$46:$F$60,3,FALSE)&lt;=$F$5*60/$C$7,INDEX(mission!$E$46:$E$60,MATCH($J$25,mission!$D$46:$D$60,0)),0)</f>
        <v>0</v>
      </c>
      <c r="K82" s="2" cm="1">
        <f t="array" ref="K82">IF(VLOOKUP($K$25,mission!$D$46:$F$60,3,FALSE)&lt;=$F$5*60/$C$7,INDEX(mission!$E$46:$E$60,MATCH($K$25,mission!$D$46:$D$60,0)),0)</f>
        <v>0</v>
      </c>
      <c r="L82" s="2" cm="1">
        <f t="array" ref="L82">IF(VLOOKUP($L$25,mission!$D$46:$F$60,3,FALSE)&lt;=$C$8,INDEX(mission!$E$46:$E$60,MATCH($L$25,mission!$D$46:$D$60,0)),0)</f>
        <v>5</v>
      </c>
      <c r="M82" s="2" cm="1">
        <f t="array" ref="M82">IF(VLOOKUP($M$25,mission!$D$46:$F$60,3,FALSE)&lt;=$C$8,INDEX(mission!$E$46:$E$60,MATCH($M$25,mission!$D$46:$D$60,0)),0)</f>
        <v>0</v>
      </c>
      <c r="N82" s="2" cm="1">
        <f t="array" ref="N82">IF(VLOOKUP($N$25,mission!$D$46:$F$60,3,FALSE)&lt;=$C$8,INDEX(mission!$E$46:$E$60,MATCH($N$25,mission!$D$46:$D$60,0)),0)</f>
        <v>0</v>
      </c>
      <c r="O82" s="2" cm="1">
        <f t="array" ref="O82">IF(VLOOKUP($O$25,mission!$D$46:$F$60,3,FALSE)&lt;=$C$8*$C$4,INDEX(mission!$E$46:$E$60,MATCH($O$25,mission!$D$46:$D$60,0)),0)</f>
        <v>0</v>
      </c>
      <c r="P82" s="2" cm="1">
        <f t="array" ref="P82">IF(VLOOKUP($P$25,mission!$D$46:$F$60,3,FALSE)&lt;=$C$8*$C$4,INDEX(mission!$E$46:$E$60,MATCH($P$25,mission!$D$46:$D$60,0)),0)</f>
        <v>0</v>
      </c>
      <c r="Q82" s="2" cm="1">
        <f t="array" ref="Q82">IF(VLOOKUP($Q$25,mission!$D$46:$F$60,3,FALSE)&lt;=$C$8*$C$4,INDEX(mission!$E$46:$E$60,MATCH($Q$25,mission!$D$46:$D$60,0)),0)</f>
        <v>0</v>
      </c>
      <c r="R82" s="2" cm="1">
        <f t="array" ref="R82">IF(VLOOKUP($R$25,mission!$D$46:$F$60,3,FALSE)&lt;=$F$5*60/$C$7,INDEX(mission!$E$46:$E$60,MATCH($R$25,mission!$D$46:$D$60,0)),0)</f>
        <v>5</v>
      </c>
      <c r="S82" s="2" cm="1">
        <f t="array" ref="S82">IF(VLOOKUP($S$25,mission!$D$46:$F$60,3,FALSE)&lt;=$F$5*60/$C$7,INDEX(mission!$E$46:$E$60,MATCH($S$25,mission!$D$46:$D$60,0)),0)</f>
        <v>0</v>
      </c>
      <c r="T82" s="2" cm="1">
        <f t="array" ref="T82">IF(VLOOKUP($T$25,mission!$D$46:$F$60,3,FALSE)&lt;=$F$5*60,INDEX(mission!$E$46:$E$60,MATCH($T$25,mission!$D$46:$D$60,0)),0)</f>
        <v>10</v>
      </c>
      <c r="U82" s="2" cm="1">
        <f t="array" ref="U82">IF(VLOOKUP($U$25,mission!$D$46:$F$60,3,FALSE)&lt;=$F$5*60,INDEX(mission!$E$46:$E$60,MATCH($U$25,mission!$D$46:$D$60,0)),0)</f>
        <v>0</v>
      </c>
      <c r="V82" s="2" cm="1">
        <f t="array" ref="V82">IF(VLOOKUP($V$25,mission!$D$46:$F$60,3,FALSE)&lt;=$F$5*60,INDEX(mission!$E$46:$E$60,MATCH($V$25,mission!$D$46:$D$60,0)),0)</f>
        <v>0</v>
      </c>
      <c r="W82" s="2" cm="1">
        <f t="array" ref="W82">IF(VLOOKUP($W$25,mission!$D$46:$F$60,3,FALSE)&lt;=$F$5*60,INDEX(mission!$E$46:$E$60,MATCH($W$25,mission!$D$46:$D$60,0)),0)</f>
        <v>0</v>
      </c>
    </row>
    <row r="83" s="1" customFormat="1" ht="18" customHeight="1" spans="2:23">
      <c r="B83" s="2">
        <v>58</v>
      </c>
      <c r="C83" s="2">
        <f t="shared" si="8"/>
        <v>58000</v>
      </c>
      <c r="D83" s="2">
        <f t="shared" si="13"/>
        <v>88</v>
      </c>
      <c r="E83" s="2">
        <f t="shared" si="10"/>
        <v>5104</v>
      </c>
      <c r="F83" s="2">
        <f>ROUND(E83*VLOOKUP($B$10,总产出!$T$4:$U$14,2,FALSE),0)</f>
        <v>510</v>
      </c>
      <c r="G83" s="2">
        <f t="shared" si="9"/>
        <v>25</v>
      </c>
      <c r="H83" s="2">
        <f t="shared" si="11"/>
        <v>1450</v>
      </c>
      <c r="I83" s="2" cm="1">
        <f t="array" ref="I83">IF(VLOOKUP($I$25,mission!$D$46:$F$60,3,FALSE)&lt;=$F$5*60/$C$7,INDEX(mission!$E$46:$E$60,MATCH($I$25,mission!$D$46:$D$60,0)),0)</f>
        <v>5</v>
      </c>
      <c r="J83" s="2" cm="1">
        <f t="array" ref="J83">IF(VLOOKUP($J$25,mission!$D$46:$F$60,3,FALSE)&lt;=$F$5*60/$C$7,INDEX(mission!$E$46:$E$60,MATCH($J$25,mission!$D$46:$D$60,0)),0)</f>
        <v>0</v>
      </c>
      <c r="K83" s="2" cm="1">
        <f t="array" ref="K83">IF(VLOOKUP($K$25,mission!$D$46:$F$60,3,FALSE)&lt;=$F$5*60/$C$7,INDEX(mission!$E$46:$E$60,MATCH($K$25,mission!$D$46:$D$60,0)),0)</f>
        <v>0</v>
      </c>
      <c r="L83" s="2" cm="1">
        <f t="array" ref="L83">IF(VLOOKUP($L$25,mission!$D$46:$F$60,3,FALSE)&lt;=$C$8,INDEX(mission!$E$46:$E$60,MATCH($L$25,mission!$D$46:$D$60,0)),0)</f>
        <v>5</v>
      </c>
      <c r="M83" s="2" cm="1">
        <f t="array" ref="M83">IF(VLOOKUP($M$25,mission!$D$46:$F$60,3,FALSE)&lt;=$C$8,INDEX(mission!$E$46:$E$60,MATCH($M$25,mission!$D$46:$D$60,0)),0)</f>
        <v>0</v>
      </c>
      <c r="N83" s="2" cm="1">
        <f t="array" ref="N83">IF(VLOOKUP($N$25,mission!$D$46:$F$60,3,FALSE)&lt;=$C$8,INDEX(mission!$E$46:$E$60,MATCH($N$25,mission!$D$46:$D$60,0)),0)</f>
        <v>0</v>
      </c>
      <c r="O83" s="2" cm="1">
        <f t="array" ref="O83">IF(VLOOKUP($O$25,mission!$D$46:$F$60,3,FALSE)&lt;=$C$8*$C$4,INDEX(mission!$E$46:$E$60,MATCH($O$25,mission!$D$46:$D$60,0)),0)</f>
        <v>0</v>
      </c>
      <c r="P83" s="2" cm="1">
        <f t="array" ref="P83">IF(VLOOKUP($P$25,mission!$D$46:$F$60,3,FALSE)&lt;=$C$8*$C$4,INDEX(mission!$E$46:$E$60,MATCH($P$25,mission!$D$46:$D$60,0)),0)</f>
        <v>0</v>
      </c>
      <c r="Q83" s="2" cm="1">
        <f t="array" ref="Q83">IF(VLOOKUP($Q$25,mission!$D$46:$F$60,3,FALSE)&lt;=$C$8*$C$4,INDEX(mission!$E$46:$E$60,MATCH($Q$25,mission!$D$46:$D$60,0)),0)</f>
        <v>0</v>
      </c>
      <c r="R83" s="2" cm="1">
        <f t="array" ref="R83">IF(VLOOKUP($R$25,mission!$D$46:$F$60,3,FALSE)&lt;=$F$5*60/$C$7,INDEX(mission!$E$46:$E$60,MATCH($R$25,mission!$D$46:$D$60,0)),0)</f>
        <v>5</v>
      </c>
      <c r="S83" s="2" cm="1">
        <f t="array" ref="S83">IF(VLOOKUP($S$25,mission!$D$46:$F$60,3,FALSE)&lt;=$F$5*60/$C$7,INDEX(mission!$E$46:$E$60,MATCH($S$25,mission!$D$46:$D$60,0)),0)</f>
        <v>0</v>
      </c>
      <c r="T83" s="2" cm="1">
        <f t="array" ref="T83">IF(VLOOKUP($T$25,mission!$D$46:$F$60,3,FALSE)&lt;=$F$5*60,INDEX(mission!$E$46:$E$60,MATCH($T$25,mission!$D$46:$D$60,0)),0)</f>
        <v>10</v>
      </c>
      <c r="U83" s="2" cm="1">
        <f t="array" ref="U83">IF(VLOOKUP($U$25,mission!$D$46:$F$60,3,FALSE)&lt;=$F$5*60,INDEX(mission!$E$46:$E$60,MATCH($U$25,mission!$D$46:$D$60,0)),0)</f>
        <v>0</v>
      </c>
      <c r="V83" s="2" cm="1">
        <f t="array" ref="V83">IF(VLOOKUP($V$25,mission!$D$46:$F$60,3,FALSE)&lt;=$F$5*60,INDEX(mission!$E$46:$E$60,MATCH($V$25,mission!$D$46:$D$60,0)),0)</f>
        <v>0</v>
      </c>
      <c r="W83" s="2" cm="1">
        <f t="array" ref="W83">IF(VLOOKUP($W$25,mission!$D$46:$F$60,3,FALSE)&lt;=$F$5*60,INDEX(mission!$E$46:$E$60,MATCH($W$25,mission!$D$46:$D$60,0)),0)</f>
        <v>0</v>
      </c>
    </row>
    <row r="84" s="1" customFormat="1" ht="18" customHeight="1" spans="2:23">
      <c r="B84" s="2">
        <v>59</v>
      </c>
      <c r="C84" s="2">
        <f t="shared" si="8"/>
        <v>59000</v>
      </c>
      <c r="D84" s="2">
        <f t="shared" si="13"/>
        <v>88</v>
      </c>
      <c r="E84" s="2">
        <f t="shared" si="10"/>
        <v>5192</v>
      </c>
      <c r="F84" s="2">
        <f>ROUND(E84*VLOOKUP($B$10,总产出!$T$4:$U$14,2,FALSE),0)</f>
        <v>519</v>
      </c>
      <c r="G84" s="2">
        <f t="shared" si="9"/>
        <v>25</v>
      </c>
      <c r="H84" s="2">
        <f t="shared" si="11"/>
        <v>1475</v>
      </c>
      <c r="I84" s="2" cm="1">
        <f t="array" ref="I84">IF(VLOOKUP($I$25,mission!$D$46:$F$60,3,FALSE)&lt;=$F$5*60/$C$7,INDEX(mission!$E$46:$E$60,MATCH($I$25,mission!$D$46:$D$60,0)),0)</f>
        <v>5</v>
      </c>
      <c r="J84" s="2" cm="1">
        <f t="array" ref="J84">IF(VLOOKUP($J$25,mission!$D$46:$F$60,3,FALSE)&lt;=$F$5*60/$C$7,INDEX(mission!$E$46:$E$60,MATCH($J$25,mission!$D$46:$D$60,0)),0)</f>
        <v>0</v>
      </c>
      <c r="K84" s="2" cm="1">
        <f t="array" ref="K84">IF(VLOOKUP($K$25,mission!$D$46:$F$60,3,FALSE)&lt;=$F$5*60/$C$7,INDEX(mission!$E$46:$E$60,MATCH($K$25,mission!$D$46:$D$60,0)),0)</f>
        <v>0</v>
      </c>
      <c r="L84" s="2" cm="1">
        <f t="array" ref="L84">IF(VLOOKUP($L$25,mission!$D$46:$F$60,3,FALSE)&lt;=$C$8,INDEX(mission!$E$46:$E$60,MATCH($L$25,mission!$D$46:$D$60,0)),0)</f>
        <v>5</v>
      </c>
      <c r="M84" s="2" cm="1">
        <f t="array" ref="M84">IF(VLOOKUP($M$25,mission!$D$46:$F$60,3,FALSE)&lt;=$C$8,INDEX(mission!$E$46:$E$60,MATCH($M$25,mission!$D$46:$D$60,0)),0)</f>
        <v>0</v>
      </c>
      <c r="N84" s="2" cm="1">
        <f t="array" ref="N84">IF(VLOOKUP($N$25,mission!$D$46:$F$60,3,FALSE)&lt;=$C$8,INDEX(mission!$E$46:$E$60,MATCH($N$25,mission!$D$46:$D$60,0)),0)</f>
        <v>0</v>
      </c>
      <c r="O84" s="2" cm="1">
        <f t="array" ref="O84">IF(VLOOKUP($O$25,mission!$D$46:$F$60,3,FALSE)&lt;=$C$8*$C$4,INDEX(mission!$E$46:$E$60,MATCH($O$25,mission!$D$46:$D$60,0)),0)</f>
        <v>0</v>
      </c>
      <c r="P84" s="2" cm="1">
        <f t="array" ref="P84">IF(VLOOKUP($P$25,mission!$D$46:$F$60,3,FALSE)&lt;=$C$8*$C$4,INDEX(mission!$E$46:$E$60,MATCH($P$25,mission!$D$46:$D$60,0)),0)</f>
        <v>0</v>
      </c>
      <c r="Q84" s="2" cm="1">
        <f t="array" ref="Q84">IF(VLOOKUP($Q$25,mission!$D$46:$F$60,3,FALSE)&lt;=$C$8*$C$4,INDEX(mission!$E$46:$E$60,MATCH($Q$25,mission!$D$46:$D$60,0)),0)</f>
        <v>0</v>
      </c>
      <c r="R84" s="2" cm="1">
        <f t="array" ref="R84">IF(VLOOKUP($R$25,mission!$D$46:$F$60,3,FALSE)&lt;=$F$5*60/$C$7,INDEX(mission!$E$46:$E$60,MATCH($R$25,mission!$D$46:$D$60,0)),0)</f>
        <v>5</v>
      </c>
      <c r="S84" s="2" cm="1">
        <f t="array" ref="S84">IF(VLOOKUP($S$25,mission!$D$46:$F$60,3,FALSE)&lt;=$F$5*60/$C$7,INDEX(mission!$E$46:$E$60,MATCH($S$25,mission!$D$46:$D$60,0)),0)</f>
        <v>0</v>
      </c>
      <c r="T84" s="2" cm="1">
        <f t="array" ref="T84">IF(VLOOKUP($T$25,mission!$D$46:$F$60,3,FALSE)&lt;=$F$5*60,INDEX(mission!$E$46:$E$60,MATCH($T$25,mission!$D$46:$D$60,0)),0)</f>
        <v>10</v>
      </c>
      <c r="U84" s="2" cm="1">
        <f t="array" ref="U84">IF(VLOOKUP($U$25,mission!$D$46:$F$60,3,FALSE)&lt;=$F$5*60,INDEX(mission!$E$46:$E$60,MATCH($U$25,mission!$D$46:$D$60,0)),0)</f>
        <v>0</v>
      </c>
      <c r="V84" s="2" cm="1">
        <f t="array" ref="V84">IF(VLOOKUP($V$25,mission!$D$46:$F$60,3,FALSE)&lt;=$F$5*60,INDEX(mission!$E$46:$E$60,MATCH($V$25,mission!$D$46:$D$60,0)),0)</f>
        <v>0</v>
      </c>
      <c r="W84" s="2" cm="1">
        <f t="array" ref="W84">IF(VLOOKUP($W$25,mission!$D$46:$F$60,3,FALSE)&lt;=$F$5*60,INDEX(mission!$E$46:$E$60,MATCH($W$25,mission!$D$46:$D$60,0)),0)</f>
        <v>0</v>
      </c>
    </row>
    <row r="85" s="1" customFormat="1" ht="18" customHeight="1" spans="2:23">
      <c r="B85" s="2">
        <v>60</v>
      </c>
      <c r="C85" s="2">
        <f t="shared" si="8"/>
        <v>60000</v>
      </c>
      <c r="D85" s="2">
        <f t="shared" si="13"/>
        <v>88</v>
      </c>
      <c r="E85" s="2">
        <f t="shared" si="10"/>
        <v>5280</v>
      </c>
      <c r="F85" s="2">
        <f>ROUND(E85*VLOOKUP($B$10,总产出!$T$4:$U$14,2,FALSE),0)</f>
        <v>528</v>
      </c>
      <c r="G85" s="2">
        <f t="shared" si="9"/>
        <v>25</v>
      </c>
      <c r="H85" s="2">
        <f t="shared" si="11"/>
        <v>1500</v>
      </c>
      <c r="I85" s="2" cm="1">
        <f t="array" ref="I85">IF(VLOOKUP($I$25,mission!$D$46:$F$60,3,FALSE)&lt;=$F$5*60/$C$7,INDEX(mission!$E$46:$E$60,MATCH($I$25,mission!$D$46:$D$60,0)),0)</f>
        <v>5</v>
      </c>
      <c r="J85" s="2" cm="1">
        <f t="array" ref="J85">IF(VLOOKUP($J$25,mission!$D$46:$F$60,3,FALSE)&lt;=$F$5*60/$C$7,INDEX(mission!$E$46:$E$60,MATCH($J$25,mission!$D$46:$D$60,0)),0)</f>
        <v>0</v>
      </c>
      <c r="K85" s="2" cm="1">
        <f t="array" ref="K85">IF(VLOOKUP($K$25,mission!$D$46:$F$60,3,FALSE)&lt;=$F$5*60/$C$7,INDEX(mission!$E$46:$E$60,MATCH($K$25,mission!$D$46:$D$60,0)),0)</f>
        <v>0</v>
      </c>
      <c r="L85" s="2" cm="1">
        <f t="array" ref="L85">IF(VLOOKUP($L$25,mission!$D$46:$F$60,3,FALSE)&lt;=$C$8,INDEX(mission!$E$46:$E$60,MATCH($L$25,mission!$D$46:$D$60,0)),0)</f>
        <v>5</v>
      </c>
      <c r="M85" s="2" cm="1">
        <f t="array" ref="M85">IF(VLOOKUP($M$25,mission!$D$46:$F$60,3,FALSE)&lt;=$C$8,INDEX(mission!$E$46:$E$60,MATCH($M$25,mission!$D$46:$D$60,0)),0)</f>
        <v>0</v>
      </c>
      <c r="N85" s="2" cm="1">
        <f t="array" ref="N85">IF(VLOOKUP($N$25,mission!$D$46:$F$60,3,FALSE)&lt;=$C$8,INDEX(mission!$E$46:$E$60,MATCH($N$25,mission!$D$46:$D$60,0)),0)</f>
        <v>0</v>
      </c>
      <c r="O85" s="2" cm="1">
        <f t="array" ref="O85">IF(VLOOKUP($O$25,mission!$D$46:$F$60,3,FALSE)&lt;=$C$8*$C$4,INDEX(mission!$E$46:$E$60,MATCH($O$25,mission!$D$46:$D$60,0)),0)</f>
        <v>0</v>
      </c>
      <c r="P85" s="2" cm="1">
        <f t="array" ref="P85">IF(VLOOKUP($P$25,mission!$D$46:$F$60,3,FALSE)&lt;=$C$8*$C$4,INDEX(mission!$E$46:$E$60,MATCH($P$25,mission!$D$46:$D$60,0)),0)</f>
        <v>0</v>
      </c>
      <c r="Q85" s="2" cm="1">
        <f t="array" ref="Q85">IF(VLOOKUP($Q$25,mission!$D$46:$F$60,3,FALSE)&lt;=$C$8*$C$4,INDEX(mission!$E$46:$E$60,MATCH($Q$25,mission!$D$46:$D$60,0)),0)</f>
        <v>0</v>
      </c>
      <c r="R85" s="2" cm="1">
        <f t="array" ref="R85">IF(VLOOKUP($R$25,mission!$D$46:$F$60,3,FALSE)&lt;=$F$5*60/$C$7,INDEX(mission!$E$46:$E$60,MATCH($R$25,mission!$D$46:$D$60,0)),0)</f>
        <v>5</v>
      </c>
      <c r="S85" s="2" cm="1">
        <f t="array" ref="S85">IF(VLOOKUP($S$25,mission!$D$46:$F$60,3,FALSE)&lt;=$F$5*60/$C$7,INDEX(mission!$E$46:$E$60,MATCH($S$25,mission!$D$46:$D$60,0)),0)</f>
        <v>0</v>
      </c>
      <c r="T85" s="2" cm="1">
        <f t="array" ref="T85">IF(VLOOKUP($T$25,mission!$D$46:$F$60,3,FALSE)&lt;=$F$5*60,INDEX(mission!$E$46:$E$60,MATCH($T$25,mission!$D$46:$D$60,0)),0)</f>
        <v>10</v>
      </c>
      <c r="U85" s="2" cm="1">
        <f t="array" ref="U85">IF(VLOOKUP($U$25,mission!$D$46:$F$60,3,FALSE)&lt;=$F$5*60,INDEX(mission!$E$46:$E$60,MATCH($U$25,mission!$D$46:$D$60,0)),0)</f>
        <v>0</v>
      </c>
      <c r="V85" s="2" cm="1">
        <f t="array" ref="V85">IF(VLOOKUP($V$25,mission!$D$46:$F$60,3,FALSE)&lt;=$F$5*60,INDEX(mission!$E$46:$E$60,MATCH($V$25,mission!$D$46:$D$60,0)),0)</f>
        <v>0</v>
      </c>
      <c r="W85" s="2" cm="1">
        <f t="array" ref="W85">IF(VLOOKUP($W$25,mission!$D$46:$F$60,3,FALSE)&lt;=$F$5*60,INDEX(mission!$E$46:$E$60,MATCH($W$25,mission!$D$46:$D$60,0)),0)</f>
        <v>0</v>
      </c>
    </row>
    <row r="86" s="1" customFormat="1" ht="18" customHeight="1" spans="2:23">
      <c r="B86" s="2">
        <v>61</v>
      </c>
      <c r="C86" s="2">
        <f t="shared" si="8"/>
        <v>61000</v>
      </c>
      <c r="D86" s="2">
        <f t="shared" si="13"/>
        <v>88</v>
      </c>
      <c r="E86" s="2">
        <f t="shared" si="10"/>
        <v>5368</v>
      </c>
      <c r="F86" s="2">
        <f>ROUND(E86*VLOOKUP($B$10,总产出!$T$4:$U$14,2,FALSE),0)</f>
        <v>537</v>
      </c>
      <c r="G86" s="2">
        <f t="shared" si="9"/>
        <v>25</v>
      </c>
      <c r="H86" s="2">
        <f t="shared" si="11"/>
        <v>1525</v>
      </c>
      <c r="I86" s="2" cm="1">
        <f t="array" ref="I86">IF(VLOOKUP($I$25,mission!$D$46:$F$60,3,FALSE)&lt;=$F$5*60/$C$7,INDEX(mission!$E$46:$E$60,MATCH($I$25,mission!$D$46:$D$60,0)),0)</f>
        <v>5</v>
      </c>
      <c r="J86" s="2" cm="1">
        <f t="array" ref="J86">IF(VLOOKUP($J$25,mission!$D$46:$F$60,3,FALSE)&lt;=$F$5*60/$C$7,INDEX(mission!$E$46:$E$60,MATCH($J$25,mission!$D$46:$D$60,0)),0)</f>
        <v>0</v>
      </c>
      <c r="K86" s="2" cm="1">
        <f t="array" ref="K86">IF(VLOOKUP($K$25,mission!$D$46:$F$60,3,FALSE)&lt;=$F$5*60/$C$7,INDEX(mission!$E$46:$E$60,MATCH($K$25,mission!$D$46:$D$60,0)),0)</f>
        <v>0</v>
      </c>
      <c r="L86" s="2" cm="1">
        <f t="array" ref="L86">IF(VLOOKUP($L$25,mission!$D$46:$F$60,3,FALSE)&lt;=$C$8,INDEX(mission!$E$46:$E$60,MATCH($L$25,mission!$D$46:$D$60,0)),0)</f>
        <v>5</v>
      </c>
      <c r="M86" s="2" cm="1">
        <f t="array" ref="M86">IF(VLOOKUP($M$25,mission!$D$46:$F$60,3,FALSE)&lt;=$C$8,INDEX(mission!$E$46:$E$60,MATCH($M$25,mission!$D$46:$D$60,0)),0)</f>
        <v>0</v>
      </c>
      <c r="N86" s="2" cm="1">
        <f t="array" ref="N86">IF(VLOOKUP($N$25,mission!$D$46:$F$60,3,FALSE)&lt;=$C$8,INDEX(mission!$E$46:$E$60,MATCH($N$25,mission!$D$46:$D$60,0)),0)</f>
        <v>0</v>
      </c>
      <c r="O86" s="2" cm="1">
        <f t="array" ref="O86">IF(VLOOKUP($O$25,mission!$D$46:$F$60,3,FALSE)&lt;=$C$8*$C$4,INDEX(mission!$E$46:$E$60,MATCH($O$25,mission!$D$46:$D$60,0)),0)</f>
        <v>0</v>
      </c>
      <c r="P86" s="2" cm="1">
        <f t="array" ref="P86">IF(VLOOKUP($P$25,mission!$D$46:$F$60,3,FALSE)&lt;=$C$8*$C$4,INDEX(mission!$E$46:$E$60,MATCH($P$25,mission!$D$46:$D$60,0)),0)</f>
        <v>0</v>
      </c>
      <c r="Q86" s="2" cm="1">
        <f t="array" ref="Q86">IF(VLOOKUP($Q$25,mission!$D$46:$F$60,3,FALSE)&lt;=$C$8*$C$4,INDEX(mission!$E$46:$E$60,MATCH($Q$25,mission!$D$46:$D$60,0)),0)</f>
        <v>0</v>
      </c>
      <c r="R86" s="2" cm="1">
        <f t="array" ref="R86">IF(VLOOKUP($R$25,mission!$D$46:$F$60,3,FALSE)&lt;=$F$5*60/$C$7,INDEX(mission!$E$46:$E$60,MATCH($R$25,mission!$D$46:$D$60,0)),0)</f>
        <v>5</v>
      </c>
      <c r="S86" s="2" cm="1">
        <f t="array" ref="S86">IF(VLOOKUP($S$25,mission!$D$46:$F$60,3,FALSE)&lt;=$F$5*60/$C$7,INDEX(mission!$E$46:$E$60,MATCH($S$25,mission!$D$46:$D$60,0)),0)</f>
        <v>0</v>
      </c>
      <c r="T86" s="2" cm="1">
        <f t="array" ref="T86">IF(VLOOKUP($T$25,mission!$D$46:$F$60,3,FALSE)&lt;=$F$5*60,INDEX(mission!$E$46:$E$60,MATCH($T$25,mission!$D$46:$D$60,0)),0)</f>
        <v>10</v>
      </c>
      <c r="U86" s="2" cm="1">
        <f t="array" ref="U86">IF(VLOOKUP($U$25,mission!$D$46:$F$60,3,FALSE)&lt;=$F$5*60,INDEX(mission!$E$46:$E$60,MATCH($U$25,mission!$D$46:$D$60,0)),0)</f>
        <v>0</v>
      </c>
      <c r="V86" s="2" cm="1">
        <f t="array" ref="V86">IF(VLOOKUP($V$25,mission!$D$46:$F$60,3,FALSE)&lt;=$F$5*60,INDEX(mission!$E$46:$E$60,MATCH($V$25,mission!$D$46:$D$60,0)),0)</f>
        <v>0</v>
      </c>
      <c r="W86" s="2" cm="1">
        <f t="array" ref="W86">IF(VLOOKUP($W$25,mission!$D$46:$F$60,3,FALSE)&lt;=$F$5*60,INDEX(mission!$E$46:$E$60,MATCH($W$25,mission!$D$46:$D$60,0)),0)</f>
        <v>0</v>
      </c>
    </row>
    <row r="87" s="1" customFormat="1" ht="18" customHeight="1" spans="2:23">
      <c r="B87" s="2">
        <v>62</v>
      </c>
      <c r="C87" s="2">
        <f t="shared" si="8"/>
        <v>62000</v>
      </c>
      <c r="D87" s="2">
        <f t="shared" ref="D87:D96" si="14">ROUND($C$8*$C$5+$C$8*$C$4*(1-$L$5),0)</f>
        <v>88</v>
      </c>
      <c r="E87" s="2">
        <f t="shared" si="10"/>
        <v>5456</v>
      </c>
      <c r="F87" s="2">
        <f>ROUND(E87*VLOOKUP($B$10,总产出!$T$4:$U$14,2,FALSE),0)</f>
        <v>546</v>
      </c>
      <c r="G87" s="2">
        <f t="shared" si="9"/>
        <v>25</v>
      </c>
      <c r="H87" s="2">
        <f t="shared" si="11"/>
        <v>1550</v>
      </c>
      <c r="I87" s="2" cm="1">
        <f t="array" ref="I87">IF(VLOOKUP($I$25,mission!$D$46:$F$60,3,FALSE)&lt;=$F$5*60/$C$7,INDEX(mission!$E$46:$E$60,MATCH($I$25,mission!$D$46:$D$60,0)),0)</f>
        <v>5</v>
      </c>
      <c r="J87" s="2" cm="1">
        <f t="array" ref="J87">IF(VLOOKUP($J$25,mission!$D$46:$F$60,3,FALSE)&lt;=$F$5*60/$C$7,INDEX(mission!$E$46:$E$60,MATCH($J$25,mission!$D$46:$D$60,0)),0)</f>
        <v>0</v>
      </c>
      <c r="K87" s="2" cm="1">
        <f t="array" ref="K87">IF(VLOOKUP($K$25,mission!$D$46:$F$60,3,FALSE)&lt;=$F$5*60/$C$7,INDEX(mission!$E$46:$E$60,MATCH($K$25,mission!$D$46:$D$60,0)),0)</f>
        <v>0</v>
      </c>
      <c r="L87" s="2" cm="1">
        <f t="array" ref="L87">IF(VLOOKUP($L$25,mission!$D$46:$F$60,3,FALSE)&lt;=$C$8,INDEX(mission!$E$46:$E$60,MATCH($L$25,mission!$D$46:$D$60,0)),0)</f>
        <v>5</v>
      </c>
      <c r="M87" s="2" cm="1">
        <f t="array" ref="M87">IF(VLOOKUP($M$25,mission!$D$46:$F$60,3,FALSE)&lt;=$C$8,INDEX(mission!$E$46:$E$60,MATCH($M$25,mission!$D$46:$D$60,0)),0)</f>
        <v>0</v>
      </c>
      <c r="N87" s="2" cm="1">
        <f t="array" ref="N87">IF(VLOOKUP($N$25,mission!$D$46:$F$60,3,FALSE)&lt;=$C$8,INDEX(mission!$E$46:$E$60,MATCH($N$25,mission!$D$46:$D$60,0)),0)</f>
        <v>0</v>
      </c>
      <c r="O87" s="2" cm="1">
        <f t="array" ref="O87">IF(VLOOKUP($O$25,mission!$D$46:$F$60,3,FALSE)&lt;=$C$8*$C$4,INDEX(mission!$E$46:$E$60,MATCH($O$25,mission!$D$46:$D$60,0)),0)</f>
        <v>0</v>
      </c>
      <c r="P87" s="2" cm="1">
        <f t="array" ref="P87">IF(VLOOKUP($P$25,mission!$D$46:$F$60,3,FALSE)&lt;=$C$8*$C$4,INDEX(mission!$E$46:$E$60,MATCH($P$25,mission!$D$46:$D$60,0)),0)</f>
        <v>0</v>
      </c>
      <c r="Q87" s="2" cm="1">
        <f t="array" ref="Q87">IF(VLOOKUP($Q$25,mission!$D$46:$F$60,3,FALSE)&lt;=$C$8*$C$4,INDEX(mission!$E$46:$E$60,MATCH($Q$25,mission!$D$46:$D$60,0)),0)</f>
        <v>0</v>
      </c>
      <c r="R87" s="2" cm="1">
        <f t="array" ref="R87">IF(VLOOKUP($R$25,mission!$D$46:$F$60,3,FALSE)&lt;=$F$5*60/$C$7,INDEX(mission!$E$46:$E$60,MATCH($R$25,mission!$D$46:$D$60,0)),0)</f>
        <v>5</v>
      </c>
      <c r="S87" s="2" cm="1">
        <f t="array" ref="S87">IF(VLOOKUP($S$25,mission!$D$46:$F$60,3,FALSE)&lt;=$F$5*60/$C$7,INDEX(mission!$E$46:$E$60,MATCH($S$25,mission!$D$46:$D$60,0)),0)</f>
        <v>0</v>
      </c>
      <c r="T87" s="2" cm="1">
        <f t="array" ref="T87">IF(VLOOKUP($T$25,mission!$D$46:$F$60,3,FALSE)&lt;=$F$5*60,INDEX(mission!$E$46:$E$60,MATCH($T$25,mission!$D$46:$D$60,0)),0)</f>
        <v>10</v>
      </c>
      <c r="U87" s="2" cm="1">
        <f t="array" ref="U87">IF(VLOOKUP($U$25,mission!$D$46:$F$60,3,FALSE)&lt;=$F$5*60,INDEX(mission!$E$46:$E$60,MATCH($U$25,mission!$D$46:$D$60,0)),0)</f>
        <v>0</v>
      </c>
      <c r="V87" s="2" cm="1">
        <f t="array" ref="V87">IF(VLOOKUP($V$25,mission!$D$46:$F$60,3,FALSE)&lt;=$F$5*60,INDEX(mission!$E$46:$E$60,MATCH($V$25,mission!$D$46:$D$60,0)),0)</f>
        <v>0</v>
      </c>
      <c r="W87" s="2" cm="1">
        <f t="array" ref="W87">IF(VLOOKUP($W$25,mission!$D$46:$F$60,3,FALSE)&lt;=$F$5*60,INDEX(mission!$E$46:$E$60,MATCH($W$25,mission!$D$46:$D$60,0)),0)</f>
        <v>0</v>
      </c>
    </row>
    <row r="88" s="1" customFormat="1" ht="18" customHeight="1" spans="2:23">
      <c r="B88" s="2">
        <v>63</v>
      </c>
      <c r="C88" s="2">
        <f t="shared" si="8"/>
        <v>63000</v>
      </c>
      <c r="D88" s="2">
        <f t="shared" si="14"/>
        <v>88</v>
      </c>
      <c r="E88" s="2">
        <f t="shared" si="10"/>
        <v>5544</v>
      </c>
      <c r="F88" s="2">
        <f>ROUND(E88*VLOOKUP($B$10,总产出!$T$4:$U$14,2,FALSE),0)</f>
        <v>554</v>
      </c>
      <c r="G88" s="2">
        <f t="shared" si="9"/>
        <v>25</v>
      </c>
      <c r="H88" s="2">
        <f t="shared" si="11"/>
        <v>1575</v>
      </c>
      <c r="I88" s="2" cm="1">
        <f t="array" ref="I88">IF(VLOOKUP($I$25,mission!$D$46:$F$60,3,FALSE)&lt;=$F$5*60/$C$7,INDEX(mission!$E$46:$E$60,MATCH($I$25,mission!$D$46:$D$60,0)),0)</f>
        <v>5</v>
      </c>
      <c r="J88" s="2" cm="1">
        <f t="array" ref="J88">IF(VLOOKUP($J$25,mission!$D$46:$F$60,3,FALSE)&lt;=$F$5*60/$C$7,INDEX(mission!$E$46:$E$60,MATCH($J$25,mission!$D$46:$D$60,0)),0)</f>
        <v>0</v>
      </c>
      <c r="K88" s="2" cm="1">
        <f t="array" ref="K88">IF(VLOOKUP($K$25,mission!$D$46:$F$60,3,FALSE)&lt;=$F$5*60/$C$7,INDEX(mission!$E$46:$E$60,MATCH($K$25,mission!$D$46:$D$60,0)),0)</f>
        <v>0</v>
      </c>
      <c r="L88" s="2" cm="1">
        <f t="array" ref="L88">IF(VLOOKUP($L$25,mission!$D$46:$F$60,3,FALSE)&lt;=$C$8,INDEX(mission!$E$46:$E$60,MATCH($L$25,mission!$D$46:$D$60,0)),0)</f>
        <v>5</v>
      </c>
      <c r="M88" s="2" cm="1">
        <f t="array" ref="M88">IF(VLOOKUP($M$25,mission!$D$46:$F$60,3,FALSE)&lt;=$C$8,INDEX(mission!$E$46:$E$60,MATCH($M$25,mission!$D$46:$D$60,0)),0)</f>
        <v>0</v>
      </c>
      <c r="N88" s="2" cm="1">
        <f t="array" ref="N88">IF(VLOOKUP($N$25,mission!$D$46:$F$60,3,FALSE)&lt;=$C$8,INDEX(mission!$E$46:$E$60,MATCH($N$25,mission!$D$46:$D$60,0)),0)</f>
        <v>0</v>
      </c>
      <c r="O88" s="2" cm="1">
        <f t="array" ref="O88">IF(VLOOKUP($O$25,mission!$D$46:$F$60,3,FALSE)&lt;=$C$8*$C$4,INDEX(mission!$E$46:$E$60,MATCH($O$25,mission!$D$46:$D$60,0)),0)</f>
        <v>0</v>
      </c>
      <c r="P88" s="2" cm="1">
        <f t="array" ref="P88">IF(VLOOKUP($P$25,mission!$D$46:$F$60,3,FALSE)&lt;=$C$8*$C$4,INDEX(mission!$E$46:$E$60,MATCH($P$25,mission!$D$46:$D$60,0)),0)</f>
        <v>0</v>
      </c>
      <c r="Q88" s="2" cm="1">
        <f t="array" ref="Q88">IF(VLOOKUP($Q$25,mission!$D$46:$F$60,3,FALSE)&lt;=$C$8*$C$4,INDEX(mission!$E$46:$E$60,MATCH($Q$25,mission!$D$46:$D$60,0)),0)</f>
        <v>0</v>
      </c>
      <c r="R88" s="2" cm="1">
        <f t="array" ref="R88">IF(VLOOKUP($R$25,mission!$D$46:$F$60,3,FALSE)&lt;=$F$5*60/$C$7,INDEX(mission!$E$46:$E$60,MATCH($R$25,mission!$D$46:$D$60,0)),0)</f>
        <v>5</v>
      </c>
      <c r="S88" s="2" cm="1">
        <f t="array" ref="S88">IF(VLOOKUP($S$25,mission!$D$46:$F$60,3,FALSE)&lt;=$F$5*60/$C$7,INDEX(mission!$E$46:$E$60,MATCH($S$25,mission!$D$46:$D$60,0)),0)</f>
        <v>0</v>
      </c>
      <c r="T88" s="2" cm="1">
        <f t="array" ref="T88">IF(VLOOKUP($T$25,mission!$D$46:$F$60,3,FALSE)&lt;=$F$5*60,INDEX(mission!$E$46:$E$60,MATCH($T$25,mission!$D$46:$D$60,0)),0)</f>
        <v>10</v>
      </c>
      <c r="U88" s="2" cm="1">
        <f t="array" ref="U88">IF(VLOOKUP($U$25,mission!$D$46:$F$60,3,FALSE)&lt;=$F$5*60,INDEX(mission!$E$46:$E$60,MATCH($U$25,mission!$D$46:$D$60,0)),0)</f>
        <v>0</v>
      </c>
      <c r="V88" s="2" cm="1">
        <f t="array" ref="V88">IF(VLOOKUP($V$25,mission!$D$46:$F$60,3,FALSE)&lt;=$F$5*60,INDEX(mission!$E$46:$E$60,MATCH($V$25,mission!$D$46:$D$60,0)),0)</f>
        <v>0</v>
      </c>
      <c r="W88" s="2" cm="1">
        <f t="array" ref="W88">IF(VLOOKUP($W$25,mission!$D$46:$F$60,3,FALSE)&lt;=$F$5*60,INDEX(mission!$E$46:$E$60,MATCH($W$25,mission!$D$46:$D$60,0)),0)</f>
        <v>0</v>
      </c>
    </row>
    <row r="89" s="1" customFormat="1" ht="18" customHeight="1" spans="2:23">
      <c r="B89" s="2">
        <v>64</v>
      </c>
      <c r="C89" s="2">
        <f t="shared" si="8"/>
        <v>64000</v>
      </c>
      <c r="D89" s="2">
        <f t="shared" si="14"/>
        <v>88</v>
      </c>
      <c r="E89" s="2">
        <f t="shared" si="10"/>
        <v>5632</v>
      </c>
      <c r="F89" s="2">
        <f>ROUND(E89*VLOOKUP($B$10,总产出!$T$4:$U$14,2,FALSE),0)</f>
        <v>563</v>
      </c>
      <c r="G89" s="2">
        <f t="shared" si="9"/>
        <v>25</v>
      </c>
      <c r="H89" s="2">
        <f t="shared" si="11"/>
        <v>1600</v>
      </c>
      <c r="I89" s="2" cm="1">
        <f t="array" ref="I89">IF(VLOOKUP($I$25,mission!$D$46:$F$60,3,FALSE)&lt;=$F$5*60/$C$7,INDEX(mission!$E$46:$E$60,MATCH($I$25,mission!$D$46:$D$60,0)),0)</f>
        <v>5</v>
      </c>
      <c r="J89" s="2" cm="1">
        <f t="array" ref="J89">IF(VLOOKUP($J$25,mission!$D$46:$F$60,3,FALSE)&lt;=$F$5*60/$C$7,INDEX(mission!$E$46:$E$60,MATCH($J$25,mission!$D$46:$D$60,0)),0)</f>
        <v>0</v>
      </c>
      <c r="K89" s="2" cm="1">
        <f t="array" ref="K89">IF(VLOOKUP($K$25,mission!$D$46:$F$60,3,FALSE)&lt;=$F$5*60/$C$7,INDEX(mission!$E$46:$E$60,MATCH($K$25,mission!$D$46:$D$60,0)),0)</f>
        <v>0</v>
      </c>
      <c r="L89" s="2" cm="1">
        <f t="array" ref="L89">IF(VLOOKUP($L$25,mission!$D$46:$F$60,3,FALSE)&lt;=$C$8,INDEX(mission!$E$46:$E$60,MATCH($L$25,mission!$D$46:$D$60,0)),0)</f>
        <v>5</v>
      </c>
      <c r="M89" s="2" cm="1">
        <f t="array" ref="M89">IF(VLOOKUP($M$25,mission!$D$46:$F$60,3,FALSE)&lt;=$C$8,INDEX(mission!$E$46:$E$60,MATCH($M$25,mission!$D$46:$D$60,0)),0)</f>
        <v>0</v>
      </c>
      <c r="N89" s="2" cm="1">
        <f t="array" ref="N89">IF(VLOOKUP($N$25,mission!$D$46:$F$60,3,FALSE)&lt;=$C$8,INDEX(mission!$E$46:$E$60,MATCH($N$25,mission!$D$46:$D$60,0)),0)</f>
        <v>0</v>
      </c>
      <c r="O89" s="2" cm="1">
        <f t="array" ref="O89">IF(VLOOKUP($O$25,mission!$D$46:$F$60,3,FALSE)&lt;=$C$8*$C$4,INDEX(mission!$E$46:$E$60,MATCH($O$25,mission!$D$46:$D$60,0)),0)</f>
        <v>0</v>
      </c>
      <c r="P89" s="2" cm="1">
        <f t="array" ref="P89">IF(VLOOKUP($P$25,mission!$D$46:$F$60,3,FALSE)&lt;=$C$8*$C$4,INDEX(mission!$E$46:$E$60,MATCH($P$25,mission!$D$46:$D$60,0)),0)</f>
        <v>0</v>
      </c>
      <c r="Q89" s="2" cm="1">
        <f t="array" ref="Q89">IF(VLOOKUP($Q$25,mission!$D$46:$F$60,3,FALSE)&lt;=$C$8*$C$4,INDEX(mission!$E$46:$E$60,MATCH($Q$25,mission!$D$46:$D$60,0)),0)</f>
        <v>0</v>
      </c>
      <c r="R89" s="2" cm="1">
        <f t="array" ref="R89">IF(VLOOKUP($R$25,mission!$D$46:$F$60,3,FALSE)&lt;=$F$5*60/$C$7,INDEX(mission!$E$46:$E$60,MATCH($R$25,mission!$D$46:$D$60,0)),0)</f>
        <v>5</v>
      </c>
      <c r="S89" s="2" cm="1">
        <f t="array" ref="S89">IF(VLOOKUP($S$25,mission!$D$46:$F$60,3,FALSE)&lt;=$F$5*60/$C$7,INDEX(mission!$E$46:$E$60,MATCH($S$25,mission!$D$46:$D$60,0)),0)</f>
        <v>0</v>
      </c>
      <c r="T89" s="2" cm="1">
        <f t="array" ref="T89">IF(VLOOKUP($T$25,mission!$D$46:$F$60,3,FALSE)&lt;=$F$5*60,INDEX(mission!$E$46:$E$60,MATCH($T$25,mission!$D$46:$D$60,0)),0)</f>
        <v>10</v>
      </c>
      <c r="U89" s="2" cm="1">
        <f t="array" ref="U89">IF(VLOOKUP($U$25,mission!$D$46:$F$60,3,FALSE)&lt;=$F$5*60,INDEX(mission!$E$46:$E$60,MATCH($U$25,mission!$D$46:$D$60,0)),0)</f>
        <v>0</v>
      </c>
      <c r="V89" s="2" cm="1">
        <f t="array" ref="V89">IF(VLOOKUP($V$25,mission!$D$46:$F$60,3,FALSE)&lt;=$F$5*60,INDEX(mission!$E$46:$E$60,MATCH($V$25,mission!$D$46:$D$60,0)),0)</f>
        <v>0</v>
      </c>
      <c r="W89" s="2" cm="1">
        <f t="array" ref="W89">IF(VLOOKUP($W$25,mission!$D$46:$F$60,3,FALSE)&lt;=$F$5*60,INDEX(mission!$E$46:$E$60,MATCH($W$25,mission!$D$46:$D$60,0)),0)</f>
        <v>0</v>
      </c>
    </row>
    <row r="90" s="1" customFormat="1" ht="18" customHeight="1" spans="2:23">
      <c r="B90" s="2">
        <v>65</v>
      </c>
      <c r="C90" s="2">
        <f t="shared" si="8"/>
        <v>65000</v>
      </c>
      <c r="D90" s="2">
        <f t="shared" si="14"/>
        <v>88</v>
      </c>
      <c r="E90" s="2">
        <f t="shared" si="10"/>
        <v>5720</v>
      </c>
      <c r="F90" s="2">
        <f>ROUND(E90*VLOOKUP($B$10,总产出!$T$4:$U$14,2,FALSE),0)</f>
        <v>572</v>
      </c>
      <c r="G90" s="2">
        <f t="shared" si="9"/>
        <v>25</v>
      </c>
      <c r="H90" s="2">
        <f t="shared" si="11"/>
        <v>1625</v>
      </c>
      <c r="I90" s="2" cm="1">
        <f t="array" ref="I90">IF(VLOOKUP($I$25,mission!$D$46:$F$60,3,FALSE)&lt;=$F$5*60/$C$7,INDEX(mission!$E$46:$E$60,MATCH($I$25,mission!$D$46:$D$60,0)),0)</f>
        <v>5</v>
      </c>
      <c r="J90" s="2" cm="1">
        <f t="array" ref="J90">IF(VLOOKUP($J$25,mission!$D$46:$F$60,3,FALSE)&lt;=$F$5*60/$C$7,INDEX(mission!$E$46:$E$60,MATCH($J$25,mission!$D$46:$D$60,0)),0)</f>
        <v>0</v>
      </c>
      <c r="K90" s="2" cm="1">
        <f t="array" ref="K90">IF(VLOOKUP($K$25,mission!$D$46:$F$60,3,FALSE)&lt;=$F$5*60/$C$7,INDEX(mission!$E$46:$E$60,MATCH($K$25,mission!$D$46:$D$60,0)),0)</f>
        <v>0</v>
      </c>
      <c r="L90" s="2" cm="1">
        <f t="array" ref="L90">IF(VLOOKUP($L$25,mission!$D$46:$F$60,3,FALSE)&lt;=$C$8,INDEX(mission!$E$46:$E$60,MATCH($L$25,mission!$D$46:$D$60,0)),0)</f>
        <v>5</v>
      </c>
      <c r="M90" s="2" cm="1">
        <f t="array" ref="M90">IF(VLOOKUP($M$25,mission!$D$46:$F$60,3,FALSE)&lt;=$C$8,INDEX(mission!$E$46:$E$60,MATCH($M$25,mission!$D$46:$D$60,0)),0)</f>
        <v>0</v>
      </c>
      <c r="N90" s="2" cm="1">
        <f t="array" ref="N90">IF(VLOOKUP($N$25,mission!$D$46:$F$60,3,FALSE)&lt;=$C$8,INDEX(mission!$E$46:$E$60,MATCH($N$25,mission!$D$46:$D$60,0)),0)</f>
        <v>0</v>
      </c>
      <c r="O90" s="2" cm="1">
        <f t="array" ref="O90">IF(VLOOKUP($O$25,mission!$D$46:$F$60,3,FALSE)&lt;=$C$8*$C$4,INDEX(mission!$E$46:$E$60,MATCH($O$25,mission!$D$46:$D$60,0)),0)</f>
        <v>0</v>
      </c>
      <c r="P90" s="2" cm="1">
        <f t="array" ref="P90">IF(VLOOKUP($P$25,mission!$D$46:$F$60,3,FALSE)&lt;=$C$8*$C$4,INDEX(mission!$E$46:$E$60,MATCH($P$25,mission!$D$46:$D$60,0)),0)</f>
        <v>0</v>
      </c>
      <c r="Q90" s="2" cm="1">
        <f t="array" ref="Q90">IF(VLOOKUP($Q$25,mission!$D$46:$F$60,3,FALSE)&lt;=$C$8*$C$4,INDEX(mission!$E$46:$E$60,MATCH($Q$25,mission!$D$46:$D$60,0)),0)</f>
        <v>0</v>
      </c>
      <c r="R90" s="2" cm="1">
        <f t="array" ref="R90">IF(VLOOKUP($R$25,mission!$D$46:$F$60,3,FALSE)&lt;=$F$5*60/$C$7,INDEX(mission!$E$46:$E$60,MATCH($R$25,mission!$D$46:$D$60,0)),0)</f>
        <v>5</v>
      </c>
      <c r="S90" s="2" cm="1">
        <f t="array" ref="S90">IF(VLOOKUP($S$25,mission!$D$46:$F$60,3,FALSE)&lt;=$F$5*60/$C$7,INDEX(mission!$E$46:$E$60,MATCH($S$25,mission!$D$46:$D$60,0)),0)</f>
        <v>0</v>
      </c>
      <c r="T90" s="2" cm="1">
        <f t="array" ref="T90">IF(VLOOKUP($T$25,mission!$D$46:$F$60,3,FALSE)&lt;=$F$5*60,INDEX(mission!$E$46:$E$60,MATCH($T$25,mission!$D$46:$D$60,0)),0)</f>
        <v>10</v>
      </c>
      <c r="U90" s="2" cm="1">
        <f t="array" ref="U90">IF(VLOOKUP($U$25,mission!$D$46:$F$60,3,FALSE)&lt;=$F$5*60,INDEX(mission!$E$46:$E$60,MATCH($U$25,mission!$D$46:$D$60,0)),0)</f>
        <v>0</v>
      </c>
      <c r="V90" s="2" cm="1">
        <f t="array" ref="V90">IF(VLOOKUP($V$25,mission!$D$46:$F$60,3,FALSE)&lt;=$F$5*60,INDEX(mission!$E$46:$E$60,MATCH($V$25,mission!$D$46:$D$60,0)),0)</f>
        <v>0</v>
      </c>
      <c r="W90" s="2" cm="1">
        <f t="array" ref="W90">IF(VLOOKUP($W$25,mission!$D$46:$F$60,3,FALSE)&lt;=$F$5*60,INDEX(mission!$E$46:$E$60,MATCH($W$25,mission!$D$46:$D$60,0)),0)</f>
        <v>0</v>
      </c>
    </row>
    <row r="91" s="1" customFormat="1" ht="18" customHeight="1" spans="2:23">
      <c r="B91" s="2">
        <v>66</v>
      </c>
      <c r="C91" s="2">
        <f t="shared" ref="C91:C125" si="15">$C$8*B91</f>
        <v>66000</v>
      </c>
      <c r="D91" s="2">
        <f t="shared" si="14"/>
        <v>88</v>
      </c>
      <c r="E91" s="2">
        <f t="shared" si="10"/>
        <v>5808</v>
      </c>
      <c r="F91" s="2">
        <f>ROUND(E91*VLOOKUP($B$10,总产出!$T$4:$U$14,2,FALSE),0)</f>
        <v>581</v>
      </c>
      <c r="G91" s="2">
        <f t="shared" ref="G91:G125" si="16">SUM(I91:W91)</f>
        <v>25</v>
      </c>
      <c r="H91" s="2">
        <f t="shared" si="11"/>
        <v>1650</v>
      </c>
      <c r="I91" s="2" cm="1">
        <f t="array" ref="I91">IF(VLOOKUP($I$25,mission!$D$46:$F$60,3,FALSE)&lt;=$F$5*60/$C$7,INDEX(mission!$E$46:$E$60,MATCH($I$25,mission!$D$46:$D$60,0)),0)</f>
        <v>5</v>
      </c>
      <c r="J91" s="2" cm="1">
        <f t="array" ref="J91">IF(VLOOKUP($J$25,mission!$D$46:$F$60,3,FALSE)&lt;=$F$5*60/$C$7,INDEX(mission!$E$46:$E$60,MATCH($J$25,mission!$D$46:$D$60,0)),0)</f>
        <v>0</v>
      </c>
      <c r="K91" s="2" cm="1">
        <f t="array" ref="K91">IF(VLOOKUP($K$25,mission!$D$46:$F$60,3,FALSE)&lt;=$F$5*60/$C$7,INDEX(mission!$E$46:$E$60,MATCH($K$25,mission!$D$46:$D$60,0)),0)</f>
        <v>0</v>
      </c>
      <c r="L91" s="2" cm="1">
        <f t="array" ref="L91">IF(VLOOKUP($L$25,mission!$D$46:$F$60,3,FALSE)&lt;=$C$8,INDEX(mission!$E$46:$E$60,MATCH($L$25,mission!$D$46:$D$60,0)),0)</f>
        <v>5</v>
      </c>
      <c r="M91" s="2" cm="1">
        <f t="array" ref="M91">IF(VLOOKUP($M$25,mission!$D$46:$F$60,3,FALSE)&lt;=$C$8,INDEX(mission!$E$46:$E$60,MATCH($M$25,mission!$D$46:$D$60,0)),0)</f>
        <v>0</v>
      </c>
      <c r="N91" s="2" cm="1">
        <f t="array" ref="N91">IF(VLOOKUP($N$25,mission!$D$46:$F$60,3,FALSE)&lt;=$C$8,INDEX(mission!$E$46:$E$60,MATCH($N$25,mission!$D$46:$D$60,0)),0)</f>
        <v>0</v>
      </c>
      <c r="O91" s="2" cm="1">
        <f t="array" ref="O91">IF(VLOOKUP($O$25,mission!$D$46:$F$60,3,FALSE)&lt;=$C$8*$C$4,INDEX(mission!$E$46:$E$60,MATCH($O$25,mission!$D$46:$D$60,0)),0)</f>
        <v>0</v>
      </c>
      <c r="P91" s="2" cm="1">
        <f t="array" ref="P91">IF(VLOOKUP($P$25,mission!$D$46:$F$60,3,FALSE)&lt;=$C$8*$C$4,INDEX(mission!$E$46:$E$60,MATCH($P$25,mission!$D$46:$D$60,0)),0)</f>
        <v>0</v>
      </c>
      <c r="Q91" s="2" cm="1">
        <f t="array" ref="Q91">IF(VLOOKUP($Q$25,mission!$D$46:$F$60,3,FALSE)&lt;=$C$8*$C$4,INDEX(mission!$E$46:$E$60,MATCH($Q$25,mission!$D$46:$D$60,0)),0)</f>
        <v>0</v>
      </c>
      <c r="R91" s="2" cm="1">
        <f t="array" ref="R91">IF(VLOOKUP($R$25,mission!$D$46:$F$60,3,FALSE)&lt;=$F$5*60/$C$7,INDEX(mission!$E$46:$E$60,MATCH($R$25,mission!$D$46:$D$60,0)),0)</f>
        <v>5</v>
      </c>
      <c r="S91" s="2" cm="1">
        <f t="array" ref="S91">IF(VLOOKUP($S$25,mission!$D$46:$F$60,3,FALSE)&lt;=$F$5*60/$C$7,INDEX(mission!$E$46:$E$60,MATCH($S$25,mission!$D$46:$D$60,0)),0)</f>
        <v>0</v>
      </c>
      <c r="T91" s="2" cm="1">
        <f t="array" ref="T91">IF(VLOOKUP($T$25,mission!$D$46:$F$60,3,FALSE)&lt;=$F$5*60,INDEX(mission!$E$46:$E$60,MATCH($T$25,mission!$D$46:$D$60,0)),0)</f>
        <v>10</v>
      </c>
      <c r="U91" s="2" cm="1">
        <f t="array" ref="U91">IF(VLOOKUP($U$25,mission!$D$46:$F$60,3,FALSE)&lt;=$F$5*60,INDEX(mission!$E$46:$E$60,MATCH($U$25,mission!$D$46:$D$60,0)),0)</f>
        <v>0</v>
      </c>
      <c r="V91" s="2" cm="1">
        <f t="array" ref="V91">IF(VLOOKUP($V$25,mission!$D$46:$F$60,3,FALSE)&lt;=$F$5*60,INDEX(mission!$E$46:$E$60,MATCH($V$25,mission!$D$46:$D$60,0)),0)</f>
        <v>0</v>
      </c>
      <c r="W91" s="2" cm="1">
        <f t="array" ref="W91">IF(VLOOKUP($W$25,mission!$D$46:$F$60,3,FALSE)&lt;=$F$5*60,INDEX(mission!$E$46:$E$60,MATCH($W$25,mission!$D$46:$D$60,0)),0)</f>
        <v>0</v>
      </c>
    </row>
    <row r="92" s="1" customFormat="1" ht="18" customHeight="1" spans="2:23">
      <c r="B92" s="2">
        <v>67</v>
      </c>
      <c r="C92" s="2">
        <f t="shared" si="15"/>
        <v>67000</v>
      </c>
      <c r="D92" s="2">
        <f t="shared" si="14"/>
        <v>88</v>
      </c>
      <c r="E92" s="2">
        <f t="shared" ref="E92:E125" si="17">D92*B92</f>
        <v>5896</v>
      </c>
      <c r="F92" s="2">
        <f>ROUND(E92*VLOOKUP($B$10,总产出!$T$4:$U$14,2,FALSE),0)</f>
        <v>590</v>
      </c>
      <c r="G92" s="2">
        <f t="shared" si="16"/>
        <v>25</v>
      </c>
      <c r="H92" s="2">
        <f t="shared" ref="H92:H125" si="18">G92+H91</f>
        <v>1675</v>
      </c>
      <c r="I92" s="2" cm="1">
        <f t="array" ref="I92">IF(VLOOKUP($I$25,mission!$D$46:$F$60,3,FALSE)&lt;=$F$5*60/$C$7,INDEX(mission!$E$46:$E$60,MATCH($I$25,mission!$D$46:$D$60,0)),0)</f>
        <v>5</v>
      </c>
      <c r="J92" s="2" cm="1">
        <f t="array" ref="J92">IF(VLOOKUP($J$25,mission!$D$46:$F$60,3,FALSE)&lt;=$F$5*60/$C$7,INDEX(mission!$E$46:$E$60,MATCH($J$25,mission!$D$46:$D$60,0)),0)</f>
        <v>0</v>
      </c>
      <c r="K92" s="2" cm="1">
        <f t="array" ref="K92">IF(VLOOKUP($K$25,mission!$D$46:$F$60,3,FALSE)&lt;=$F$5*60/$C$7,INDEX(mission!$E$46:$E$60,MATCH($K$25,mission!$D$46:$D$60,0)),0)</f>
        <v>0</v>
      </c>
      <c r="L92" s="2" cm="1">
        <f t="array" ref="L92">IF(VLOOKUP($L$25,mission!$D$46:$F$60,3,FALSE)&lt;=$C$8,INDEX(mission!$E$46:$E$60,MATCH($L$25,mission!$D$46:$D$60,0)),0)</f>
        <v>5</v>
      </c>
      <c r="M92" s="2" cm="1">
        <f t="array" ref="M92">IF(VLOOKUP($M$25,mission!$D$46:$F$60,3,FALSE)&lt;=$C$8,INDEX(mission!$E$46:$E$60,MATCH($M$25,mission!$D$46:$D$60,0)),0)</f>
        <v>0</v>
      </c>
      <c r="N92" s="2" cm="1">
        <f t="array" ref="N92">IF(VLOOKUP($N$25,mission!$D$46:$F$60,3,FALSE)&lt;=$C$8,INDEX(mission!$E$46:$E$60,MATCH($N$25,mission!$D$46:$D$60,0)),0)</f>
        <v>0</v>
      </c>
      <c r="O92" s="2" cm="1">
        <f t="array" ref="O92">IF(VLOOKUP($O$25,mission!$D$46:$F$60,3,FALSE)&lt;=$C$8*$C$4,INDEX(mission!$E$46:$E$60,MATCH($O$25,mission!$D$46:$D$60,0)),0)</f>
        <v>0</v>
      </c>
      <c r="P92" s="2" cm="1">
        <f t="array" ref="P92">IF(VLOOKUP($P$25,mission!$D$46:$F$60,3,FALSE)&lt;=$C$8*$C$4,INDEX(mission!$E$46:$E$60,MATCH($P$25,mission!$D$46:$D$60,0)),0)</f>
        <v>0</v>
      </c>
      <c r="Q92" s="2" cm="1">
        <f t="array" ref="Q92">IF(VLOOKUP($Q$25,mission!$D$46:$F$60,3,FALSE)&lt;=$C$8*$C$4,INDEX(mission!$E$46:$E$60,MATCH($Q$25,mission!$D$46:$D$60,0)),0)</f>
        <v>0</v>
      </c>
      <c r="R92" s="2" cm="1">
        <f t="array" ref="R92">IF(VLOOKUP($R$25,mission!$D$46:$F$60,3,FALSE)&lt;=$F$5*60/$C$7,INDEX(mission!$E$46:$E$60,MATCH($R$25,mission!$D$46:$D$60,0)),0)</f>
        <v>5</v>
      </c>
      <c r="S92" s="2" cm="1">
        <f t="array" ref="S92">IF(VLOOKUP($S$25,mission!$D$46:$F$60,3,FALSE)&lt;=$F$5*60/$C$7,INDEX(mission!$E$46:$E$60,MATCH($S$25,mission!$D$46:$D$60,0)),0)</f>
        <v>0</v>
      </c>
      <c r="T92" s="2" cm="1">
        <f t="array" ref="T92">IF(VLOOKUP($T$25,mission!$D$46:$F$60,3,FALSE)&lt;=$F$5*60,INDEX(mission!$E$46:$E$60,MATCH($T$25,mission!$D$46:$D$60,0)),0)</f>
        <v>10</v>
      </c>
      <c r="U92" s="2" cm="1">
        <f t="array" ref="U92">IF(VLOOKUP($U$25,mission!$D$46:$F$60,3,FALSE)&lt;=$F$5*60,INDEX(mission!$E$46:$E$60,MATCH($U$25,mission!$D$46:$D$60,0)),0)</f>
        <v>0</v>
      </c>
      <c r="V92" s="2" cm="1">
        <f t="array" ref="V92">IF(VLOOKUP($V$25,mission!$D$46:$F$60,3,FALSE)&lt;=$F$5*60,INDEX(mission!$E$46:$E$60,MATCH($V$25,mission!$D$46:$D$60,0)),0)</f>
        <v>0</v>
      </c>
      <c r="W92" s="2" cm="1">
        <f t="array" ref="W92">IF(VLOOKUP($W$25,mission!$D$46:$F$60,3,FALSE)&lt;=$F$5*60,INDEX(mission!$E$46:$E$60,MATCH($W$25,mission!$D$46:$D$60,0)),0)</f>
        <v>0</v>
      </c>
    </row>
    <row r="93" s="1" customFormat="1" ht="18" customHeight="1" spans="2:23">
      <c r="B93" s="2">
        <v>68</v>
      </c>
      <c r="C93" s="2">
        <f t="shared" si="15"/>
        <v>68000</v>
      </c>
      <c r="D93" s="2">
        <f t="shared" si="14"/>
        <v>88</v>
      </c>
      <c r="E93" s="2">
        <f t="shared" si="17"/>
        <v>5984</v>
      </c>
      <c r="F93" s="2">
        <f>ROUND(E93*VLOOKUP($B$10,总产出!$T$4:$U$14,2,FALSE),0)</f>
        <v>598</v>
      </c>
      <c r="G93" s="2">
        <f t="shared" si="16"/>
        <v>25</v>
      </c>
      <c r="H93" s="2">
        <f t="shared" si="18"/>
        <v>1700</v>
      </c>
      <c r="I93" s="2" cm="1">
        <f t="array" ref="I93">IF(VLOOKUP($I$25,mission!$D$46:$F$60,3,FALSE)&lt;=$F$5*60/$C$7,INDEX(mission!$E$46:$E$60,MATCH($I$25,mission!$D$46:$D$60,0)),0)</f>
        <v>5</v>
      </c>
      <c r="J93" s="2" cm="1">
        <f t="array" ref="J93">IF(VLOOKUP($J$25,mission!$D$46:$F$60,3,FALSE)&lt;=$F$5*60/$C$7,INDEX(mission!$E$46:$E$60,MATCH($J$25,mission!$D$46:$D$60,0)),0)</f>
        <v>0</v>
      </c>
      <c r="K93" s="2" cm="1">
        <f t="array" ref="K93">IF(VLOOKUP($K$25,mission!$D$46:$F$60,3,FALSE)&lt;=$F$5*60/$C$7,INDEX(mission!$E$46:$E$60,MATCH($K$25,mission!$D$46:$D$60,0)),0)</f>
        <v>0</v>
      </c>
      <c r="L93" s="2" cm="1">
        <f t="array" ref="L93">IF(VLOOKUP($L$25,mission!$D$46:$F$60,3,FALSE)&lt;=$C$8,INDEX(mission!$E$46:$E$60,MATCH($L$25,mission!$D$46:$D$60,0)),0)</f>
        <v>5</v>
      </c>
      <c r="M93" s="2" cm="1">
        <f t="array" ref="M93">IF(VLOOKUP($M$25,mission!$D$46:$F$60,3,FALSE)&lt;=$C$8,INDEX(mission!$E$46:$E$60,MATCH($M$25,mission!$D$46:$D$60,0)),0)</f>
        <v>0</v>
      </c>
      <c r="N93" s="2" cm="1">
        <f t="array" ref="N93">IF(VLOOKUP($N$25,mission!$D$46:$F$60,3,FALSE)&lt;=$C$8,INDEX(mission!$E$46:$E$60,MATCH($N$25,mission!$D$46:$D$60,0)),0)</f>
        <v>0</v>
      </c>
      <c r="O93" s="2" cm="1">
        <f t="array" ref="O93">IF(VLOOKUP($O$25,mission!$D$46:$F$60,3,FALSE)&lt;=$C$8*$C$4,INDEX(mission!$E$46:$E$60,MATCH($O$25,mission!$D$46:$D$60,0)),0)</f>
        <v>0</v>
      </c>
      <c r="P93" s="2" cm="1">
        <f t="array" ref="P93">IF(VLOOKUP($P$25,mission!$D$46:$F$60,3,FALSE)&lt;=$C$8*$C$4,INDEX(mission!$E$46:$E$60,MATCH($P$25,mission!$D$46:$D$60,0)),0)</f>
        <v>0</v>
      </c>
      <c r="Q93" s="2" cm="1">
        <f t="array" ref="Q93">IF(VLOOKUP($Q$25,mission!$D$46:$F$60,3,FALSE)&lt;=$C$8*$C$4,INDEX(mission!$E$46:$E$60,MATCH($Q$25,mission!$D$46:$D$60,0)),0)</f>
        <v>0</v>
      </c>
      <c r="R93" s="2" cm="1">
        <f t="array" ref="R93">IF(VLOOKUP($R$25,mission!$D$46:$F$60,3,FALSE)&lt;=$F$5*60/$C$7,INDEX(mission!$E$46:$E$60,MATCH($R$25,mission!$D$46:$D$60,0)),0)</f>
        <v>5</v>
      </c>
      <c r="S93" s="2" cm="1">
        <f t="array" ref="S93">IF(VLOOKUP($S$25,mission!$D$46:$F$60,3,FALSE)&lt;=$F$5*60/$C$7,INDEX(mission!$E$46:$E$60,MATCH($S$25,mission!$D$46:$D$60,0)),0)</f>
        <v>0</v>
      </c>
      <c r="T93" s="2" cm="1">
        <f t="array" ref="T93">IF(VLOOKUP($T$25,mission!$D$46:$F$60,3,FALSE)&lt;=$F$5*60,INDEX(mission!$E$46:$E$60,MATCH($T$25,mission!$D$46:$D$60,0)),0)</f>
        <v>10</v>
      </c>
      <c r="U93" s="2" cm="1">
        <f t="array" ref="U93">IF(VLOOKUP($U$25,mission!$D$46:$F$60,3,FALSE)&lt;=$F$5*60,INDEX(mission!$E$46:$E$60,MATCH($U$25,mission!$D$46:$D$60,0)),0)</f>
        <v>0</v>
      </c>
      <c r="V93" s="2" cm="1">
        <f t="array" ref="V93">IF(VLOOKUP($V$25,mission!$D$46:$F$60,3,FALSE)&lt;=$F$5*60,INDEX(mission!$E$46:$E$60,MATCH($V$25,mission!$D$46:$D$60,0)),0)</f>
        <v>0</v>
      </c>
      <c r="W93" s="2" cm="1">
        <f t="array" ref="W93">IF(VLOOKUP($W$25,mission!$D$46:$F$60,3,FALSE)&lt;=$F$5*60,INDEX(mission!$E$46:$E$60,MATCH($W$25,mission!$D$46:$D$60,0)),0)</f>
        <v>0</v>
      </c>
    </row>
    <row r="94" s="1" customFormat="1" ht="18" customHeight="1" spans="2:23">
      <c r="B94" s="2">
        <v>69</v>
      </c>
      <c r="C94" s="2">
        <f t="shared" si="15"/>
        <v>69000</v>
      </c>
      <c r="D94" s="2">
        <f t="shared" si="14"/>
        <v>88</v>
      </c>
      <c r="E94" s="2">
        <f t="shared" si="17"/>
        <v>6072</v>
      </c>
      <c r="F94" s="2">
        <f>ROUND(E94*VLOOKUP($B$10,总产出!$T$4:$U$14,2,FALSE),0)</f>
        <v>607</v>
      </c>
      <c r="G94" s="2">
        <f t="shared" si="16"/>
        <v>25</v>
      </c>
      <c r="H94" s="2">
        <f t="shared" si="18"/>
        <v>1725</v>
      </c>
      <c r="I94" s="2" cm="1">
        <f t="array" ref="I94">IF(VLOOKUP($I$25,mission!$D$46:$F$60,3,FALSE)&lt;=$F$5*60/$C$7,INDEX(mission!$E$46:$E$60,MATCH($I$25,mission!$D$46:$D$60,0)),0)</f>
        <v>5</v>
      </c>
      <c r="J94" s="2" cm="1">
        <f t="array" ref="J94">IF(VLOOKUP($J$25,mission!$D$46:$F$60,3,FALSE)&lt;=$F$5*60/$C$7,INDEX(mission!$E$46:$E$60,MATCH($J$25,mission!$D$46:$D$60,0)),0)</f>
        <v>0</v>
      </c>
      <c r="K94" s="2" cm="1">
        <f t="array" ref="K94">IF(VLOOKUP($K$25,mission!$D$46:$F$60,3,FALSE)&lt;=$F$5*60/$C$7,INDEX(mission!$E$46:$E$60,MATCH($K$25,mission!$D$46:$D$60,0)),0)</f>
        <v>0</v>
      </c>
      <c r="L94" s="2" cm="1">
        <f t="array" ref="L94">IF(VLOOKUP($L$25,mission!$D$46:$F$60,3,FALSE)&lt;=$C$8,INDEX(mission!$E$46:$E$60,MATCH($L$25,mission!$D$46:$D$60,0)),0)</f>
        <v>5</v>
      </c>
      <c r="M94" s="2" cm="1">
        <f t="array" ref="M94">IF(VLOOKUP($M$25,mission!$D$46:$F$60,3,FALSE)&lt;=$C$8,INDEX(mission!$E$46:$E$60,MATCH($M$25,mission!$D$46:$D$60,0)),0)</f>
        <v>0</v>
      </c>
      <c r="N94" s="2" cm="1">
        <f t="array" ref="N94">IF(VLOOKUP($N$25,mission!$D$46:$F$60,3,FALSE)&lt;=$C$8,INDEX(mission!$E$46:$E$60,MATCH($N$25,mission!$D$46:$D$60,0)),0)</f>
        <v>0</v>
      </c>
      <c r="O94" s="2" cm="1">
        <f t="array" ref="O94">IF(VLOOKUP($O$25,mission!$D$46:$F$60,3,FALSE)&lt;=$C$8*$C$4,INDEX(mission!$E$46:$E$60,MATCH($O$25,mission!$D$46:$D$60,0)),0)</f>
        <v>0</v>
      </c>
      <c r="P94" s="2" cm="1">
        <f t="array" ref="P94">IF(VLOOKUP($P$25,mission!$D$46:$F$60,3,FALSE)&lt;=$C$8*$C$4,INDEX(mission!$E$46:$E$60,MATCH($P$25,mission!$D$46:$D$60,0)),0)</f>
        <v>0</v>
      </c>
      <c r="Q94" s="2" cm="1">
        <f t="array" ref="Q94">IF(VLOOKUP($Q$25,mission!$D$46:$F$60,3,FALSE)&lt;=$C$8*$C$4,INDEX(mission!$E$46:$E$60,MATCH($Q$25,mission!$D$46:$D$60,0)),0)</f>
        <v>0</v>
      </c>
      <c r="R94" s="2" cm="1">
        <f t="array" ref="R94">IF(VLOOKUP($R$25,mission!$D$46:$F$60,3,FALSE)&lt;=$F$5*60/$C$7,INDEX(mission!$E$46:$E$60,MATCH($R$25,mission!$D$46:$D$60,0)),0)</f>
        <v>5</v>
      </c>
      <c r="S94" s="2" cm="1">
        <f t="array" ref="S94">IF(VLOOKUP($S$25,mission!$D$46:$F$60,3,FALSE)&lt;=$F$5*60/$C$7,INDEX(mission!$E$46:$E$60,MATCH($S$25,mission!$D$46:$D$60,0)),0)</f>
        <v>0</v>
      </c>
      <c r="T94" s="2" cm="1">
        <f t="array" ref="T94">IF(VLOOKUP($T$25,mission!$D$46:$F$60,3,FALSE)&lt;=$F$5*60,INDEX(mission!$E$46:$E$60,MATCH($T$25,mission!$D$46:$D$60,0)),0)</f>
        <v>10</v>
      </c>
      <c r="U94" s="2" cm="1">
        <f t="array" ref="U94">IF(VLOOKUP($U$25,mission!$D$46:$F$60,3,FALSE)&lt;=$F$5*60,INDEX(mission!$E$46:$E$60,MATCH($U$25,mission!$D$46:$D$60,0)),0)</f>
        <v>0</v>
      </c>
      <c r="V94" s="2" cm="1">
        <f t="array" ref="V94">IF(VLOOKUP($V$25,mission!$D$46:$F$60,3,FALSE)&lt;=$F$5*60,INDEX(mission!$E$46:$E$60,MATCH($V$25,mission!$D$46:$D$60,0)),0)</f>
        <v>0</v>
      </c>
      <c r="W94" s="2" cm="1">
        <f t="array" ref="W94">IF(VLOOKUP($W$25,mission!$D$46:$F$60,3,FALSE)&lt;=$F$5*60,INDEX(mission!$E$46:$E$60,MATCH($W$25,mission!$D$46:$D$60,0)),0)</f>
        <v>0</v>
      </c>
    </row>
    <row r="95" s="1" customFormat="1" ht="18" customHeight="1" spans="2:23">
      <c r="B95" s="2">
        <v>70</v>
      </c>
      <c r="C95" s="2">
        <f t="shared" si="15"/>
        <v>70000</v>
      </c>
      <c r="D95" s="2">
        <f t="shared" si="14"/>
        <v>88</v>
      </c>
      <c r="E95" s="2">
        <f t="shared" si="17"/>
        <v>6160</v>
      </c>
      <c r="F95" s="2">
        <f>ROUND(E95*VLOOKUP($B$10,总产出!$T$4:$U$14,2,FALSE),0)</f>
        <v>616</v>
      </c>
      <c r="G95" s="2">
        <f t="shared" si="16"/>
        <v>25</v>
      </c>
      <c r="H95" s="2">
        <f t="shared" si="18"/>
        <v>1750</v>
      </c>
      <c r="I95" s="2" cm="1">
        <f t="array" ref="I95">IF(VLOOKUP($I$25,mission!$D$46:$F$60,3,FALSE)&lt;=$F$5*60/$C$7,INDEX(mission!$E$46:$E$60,MATCH($I$25,mission!$D$46:$D$60,0)),0)</f>
        <v>5</v>
      </c>
      <c r="J95" s="2" cm="1">
        <f t="array" ref="J95">IF(VLOOKUP($J$25,mission!$D$46:$F$60,3,FALSE)&lt;=$F$5*60/$C$7,INDEX(mission!$E$46:$E$60,MATCH($J$25,mission!$D$46:$D$60,0)),0)</f>
        <v>0</v>
      </c>
      <c r="K95" s="2" cm="1">
        <f t="array" ref="K95">IF(VLOOKUP($K$25,mission!$D$46:$F$60,3,FALSE)&lt;=$F$5*60/$C$7,INDEX(mission!$E$46:$E$60,MATCH($K$25,mission!$D$46:$D$60,0)),0)</f>
        <v>0</v>
      </c>
      <c r="L95" s="2" cm="1">
        <f t="array" ref="L95">IF(VLOOKUP($L$25,mission!$D$46:$F$60,3,FALSE)&lt;=$C$8,INDEX(mission!$E$46:$E$60,MATCH($L$25,mission!$D$46:$D$60,0)),0)</f>
        <v>5</v>
      </c>
      <c r="M95" s="2" cm="1">
        <f t="array" ref="M95">IF(VLOOKUP($M$25,mission!$D$46:$F$60,3,FALSE)&lt;=$C$8,INDEX(mission!$E$46:$E$60,MATCH($M$25,mission!$D$46:$D$60,0)),0)</f>
        <v>0</v>
      </c>
      <c r="N95" s="2" cm="1">
        <f t="array" ref="N95">IF(VLOOKUP($N$25,mission!$D$46:$F$60,3,FALSE)&lt;=$C$8,INDEX(mission!$E$46:$E$60,MATCH($N$25,mission!$D$46:$D$60,0)),0)</f>
        <v>0</v>
      </c>
      <c r="O95" s="2" cm="1">
        <f t="array" ref="O95">IF(VLOOKUP($O$25,mission!$D$46:$F$60,3,FALSE)&lt;=$C$8*$C$4,INDEX(mission!$E$46:$E$60,MATCH($O$25,mission!$D$46:$D$60,0)),0)</f>
        <v>0</v>
      </c>
      <c r="P95" s="2" cm="1">
        <f t="array" ref="P95">IF(VLOOKUP($P$25,mission!$D$46:$F$60,3,FALSE)&lt;=$C$8*$C$4,INDEX(mission!$E$46:$E$60,MATCH($P$25,mission!$D$46:$D$60,0)),0)</f>
        <v>0</v>
      </c>
      <c r="Q95" s="2" cm="1">
        <f t="array" ref="Q95">IF(VLOOKUP($Q$25,mission!$D$46:$F$60,3,FALSE)&lt;=$C$8*$C$4,INDEX(mission!$E$46:$E$60,MATCH($Q$25,mission!$D$46:$D$60,0)),0)</f>
        <v>0</v>
      </c>
      <c r="R95" s="2" cm="1">
        <f t="array" ref="R95">IF(VLOOKUP($R$25,mission!$D$46:$F$60,3,FALSE)&lt;=$F$5*60/$C$7,INDEX(mission!$E$46:$E$60,MATCH($R$25,mission!$D$46:$D$60,0)),0)</f>
        <v>5</v>
      </c>
      <c r="S95" s="2" cm="1">
        <f t="array" ref="S95">IF(VLOOKUP($S$25,mission!$D$46:$F$60,3,FALSE)&lt;=$F$5*60/$C$7,INDEX(mission!$E$46:$E$60,MATCH($S$25,mission!$D$46:$D$60,0)),0)</f>
        <v>0</v>
      </c>
      <c r="T95" s="2" cm="1">
        <f t="array" ref="T95">IF(VLOOKUP($T$25,mission!$D$46:$F$60,3,FALSE)&lt;=$F$5*60,INDEX(mission!$E$46:$E$60,MATCH($T$25,mission!$D$46:$D$60,0)),0)</f>
        <v>10</v>
      </c>
      <c r="U95" s="2" cm="1">
        <f t="array" ref="U95">IF(VLOOKUP($U$25,mission!$D$46:$F$60,3,FALSE)&lt;=$F$5*60,INDEX(mission!$E$46:$E$60,MATCH($U$25,mission!$D$46:$D$60,0)),0)</f>
        <v>0</v>
      </c>
      <c r="V95" s="2" cm="1">
        <f t="array" ref="V95">IF(VLOOKUP($V$25,mission!$D$46:$F$60,3,FALSE)&lt;=$F$5*60,INDEX(mission!$E$46:$E$60,MATCH($V$25,mission!$D$46:$D$60,0)),0)</f>
        <v>0</v>
      </c>
      <c r="W95" s="2" cm="1">
        <f t="array" ref="W95">IF(VLOOKUP($W$25,mission!$D$46:$F$60,3,FALSE)&lt;=$F$5*60,INDEX(mission!$E$46:$E$60,MATCH($W$25,mission!$D$46:$D$60,0)),0)</f>
        <v>0</v>
      </c>
    </row>
    <row r="96" s="1" customFormat="1" ht="18" customHeight="1" spans="2:23">
      <c r="B96" s="2">
        <v>71</v>
      </c>
      <c r="C96" s="2">
        <f t="shared" si="15"/>
        <v>71000</v>
      </c>
      <c r="D96" s="2">
        <f t="shared" si="14"/>
        <v>88</v>
      </c>
      <c r="E96" s="2">
        <f t="shared" si="17"/>
        <v>6248</v>
      </c>
      <c r="F96" s="2">
        <f>ROUND(E96*VLOOKUP($B$10,总产出!$T$4:$U$14,2,FALSE),0)</f>
        <v>625</v>
      </c>
      <c r="G96" s="2">
        <f t="shared" si="16"/>
        <v>25</v>
      </c>
      <c r="H96" s="2">
        <f t="shared" si="18"/>
        <v>1775</v>
      </c>
      <c r="I96" s="2" cm="1">
        <f t="array" ref="I96">IF(VLOOKUP($I$25,mission!$D$46:$F$60,3,FALSE)&lt;=$F$5*60/$C$7,INDEX(mission!$E$46:$E$60,MATCH($I$25,mission!$D$46:$D$60,0)),0)</f>
        <v>5</v>
      </c>
      <c r="J96" s="2" cm="1">
        <f t="array" ref="J96">IF(VLOOKUP($J$25,mission!$D$46:$F$60,3,FALSE)&lt;=$F$5*60/$C$7,INDEX(mission!$E$46:$E$60,MATCH($J$25,mission!$D$46:$D$60,0)),0)</f>
        <v>0</v>
      </c>
      <c r="K96" s="2" cm="1">
        <f t="array" ref="K96">IF(VLOOKUP($K$25,mission!$D$46:$F$60,3,FALSE)&lt;=$F$5*60/$C$7,INDEX(mission!$E$46:$E$60,MATCH($K$25,mission!$D$46:$D$60,0)),0)</f>
        <v>0</v>
      </c>
      <c r="L96" s="2" cm="1">
        <f t="array" ref="L96">IF(VLOOKUP($L$25,mission!$D$46:$F$60,3,FALSE)&lt;=$C$8,INDEX(mission!$E$46:$E$60,MATCH($L$25,mission!$D$46:$D$60,0)),0)</f>
        <v>5</v>
      </c>
      <c r="M96" s="2" cm="1">
        <f t="array" ref="M96">IF(VLOOKUP($M$25,mission!$D$46:$F$60,3,FALSE)&lt;=$C$8,INDEX(mission!$E$46:$E$60,MATCH($M$25,mission!$D$46:$D$60,0)),0)</f>
        <v>0</v>
      </c>
      <c r="N96" s="2" cm="1">
        <f t="array" ref="N96">IF(VLOOKUP($N$25,mission!$D$46:$F$60,3,FALSE)&lt;=$C$8,INDEX(mission!$E$46:$E$60,MATCH($N$25,mission!$D$46:$D$60,0)),0)</f>
        <v>0</v>
      </c>
      <c r="O96" s="2" cm="1">
        <f t="array" ref="O96">IF(VLOOKUP($O$25,mission!$D$46:$F$60,3,FALSE)&lt;=$C$8*$C$4,INDEX(mission!$E$46:$E$60,MATCH($O$25,mission!$D$46:$D$60,0)),0)</f>
        <v>0</v>
      </c>
      <c r="P96" s="2" cm="1">
        <f t="array" ref="P96">IF(VLOOKUP($P$25,mission!$D$46:$F$60,3,FALSE)&lt;=$C$8*$C$4,INDEX(mission!$E$46:$E$60,MATCH($P$25,mission!$D$46:$D$60,0)),0)</f>
        <v>0</v>
      </c>
      <c r="Q96" s="2" cm="1">
        <f t="array" ref="Q96">IF(VLOOKUP($Q$25,mission!$D$46:$F$60,3,FALSE)&lt;=$C$8*$C$4,INDEX(mission!$E$46:$E$60,MATCH($Q$25,mission!$D$46:$D$60,0)),0)</f>
        <v>0</v>
      </c>
      <c r="R96" s="2" cm="1">
        <f t="array" ref="R96">IF(VLOOKUP($R$25,mission!$D$46:$F$60,3,FALSE)&lt;=$F$5*60/$C$7,INDEX(mission!$E$46:$E$60,MATCH($R$25,mission!$D$46:$D$60,0)),0)</f>
        <v>5</v>
      </c>
      <c r="S96" s="2" cm="1">
        <f t="array" ref="S96">IF(VLOOKUP($S$25,mission!$D$46:$F$60,3,FALSE)&lt;=$F$5*60/$C$7,INDEX(mission!$E$46:$E$60,MATCH($S$25,mission!$D$46:$D$60,0)),0)</f>
        <v>0</v>
      </c>
      <c r="T96" s="2" cm="1">
        <f t="array" ref="T96">IF(VLOOKUP($T$25,mission!$D$46:$F$60,3,FALSE)&lt;=$F$5*60,INDEX(mission!$E$46:$E$60,MATCH($T$25,mission!$D$46:$D$60,0)),0)</f>
        <v>10</v>
      </c>
      <c r="U96" s="2" cm="1">
        <f t="array" ref="U96">IF(VLOOKUP($U$25,mission!$D$46:$F$60,3,FALSE)&lt;=$F$5*60,INDEX(mission!$E$46:$E$60,MATCH($U$25,mission!$D$46:$D$60,0)),0)</f>
        <v>0</v>
      </c>
      <c r="V96" s="2" cm="1">
        <f t="array" ref="V96">IF(VLOOKUP($V$25,mission!$D$46:$F$60,3,FALSE)&lt;=$F$5*60,INDEX(mission!$E$46:$E$60,MATCH($V$25,mission!$D$46:$D$60,0)),0)</f>
        <v>0</v>
      </c>
      <c r="W96" s="2" cm="1">
        <f t="array" ref="W96">IF(VLOOKUP($W$25,mission!$D$46:$F$60,3,FALSE)&lt;=$F$5*60,INDEX(mission!$E$46:$E$60,MATCH($W$25,mission!$D$46:$D$60,0)),0)</f>
        <v>0</v>
      </c>
    </row>
    <row r="97" s="1" customFormat="1" ht="18" customHeight="1" spans="2:23">
      <c r="B97" s="2">
        <v>72</v>
      </c>
      <c r="C97" s="2">
        <f t="shared" si="15"/>
        <v>72000</v>
      </c>
      <c r="D97" s="2">
        <f t="shared" ref="D97:D106" si="19">ROUND($C$8*$C$5+$C$8*$C$4*(1-$L$5),0)</f>
        <v>88</v>
      </c>
      <c r="E97" s="2">
        <f t="shared" si="17"/>
        <v>6336</v>
      </c>
      <c r="F97" s="2">
        <f>ROUND(E97*VLOOKUP($B$10,总产出!$T$4:$U$14,2,FALSE),0)</f>
        <v>634</v>
      </c>
      <c r="G97" s="2">
        <f t="shared" si="16"/>
        <v>25</v>
      </c>
      <c r="H97" s="2">
        <f t="shared" si="18"/>
        <v>1800</v>
      </c>
      <c r="I97" s="2" cm="1">
        <f t="array" ref="I97">IF(VLOOKUP($I$25,mission!$D$46:$F$60,3,FALSE)&lt;=$F$5*60/$C$7,INDEX(mission!$E$46:$E$60,MATCH($I$25,mission!$D$46:$D$60,0)),0)</f>
        <v>5</v>
      </c>
      <c r="J97" s="2" cm="1">
        <f t="array" ref="J97">IF(VLOOKUP($J$25,mission!$D$46:$F$60,3,FALSE)&lt;=$F$5*60/$C$7,INDEX(mission!$E$46:$E$60,MATCH($J$25,mission!$D$46:$D$60,0)),0)</f>
        <v>0</v>
      </c>
      <c r="K97" s="2" cm="1">
        <f t="array" ref="K97">IF(VLOOKUP($K$25,mission!$D$46:$F$60,3,FALSE)&lt;=$F$5*60/$C$7,INDEX(mission!$E$46:$E$60,MATCH($K$25,mission!$D$46:$D$60,0)),0)</f>
        <v>0</v>
      </c>
      <c r="L97" s="2" cm="1">
        <f t="array" ref="L97">IF(VLOOKUP($L$25,mission!$D$46:$F$60,3,FALSE)&lt;=$C$8,INDEX(mission!$E$46:$E$60,MATCH($L$25,mission!$D$46:$D$60,0)),0)</f>
        <v>5</v>
      </c>
      <c r="M97" s="2" cm="1">
        <f t="array" ref="M97">IF(VLOOKUP($M$25,mission!$D$46:$F$60,3,FALSE)&lt;=$C$8,INDEX(mission!$E$46:$E$60,MATCH($M$25,mission!$D$46:$D$60,0)),0)</f>
        <v>0</v>
      </c>
      <c r="N97" s="2" cm="1">
        <f t="array" ref="N97">IF(VLOOKUP($N$25,mission!$D$46:$F$60,3,FALSE)&lt;=$C$8,INDEX(mission!$E$46:$E$60,MATCH($N$25,mission!$D$46:$D$60,0)),0)</f>
        <v>0</v>
      </c>
      <c r="O97" s="2" cm="1">
        <f t="array" ref="O97">IF(VLOOKUP($O$25,mission!$D$46:$F$60,3,FALSE)&lt;=$C$8*$C$4,INDEX(mission!$E$46:$E$60,MATCH($O$25,mission!$D$46:$D$60,0)),0)</f>
        <v>0</v>
      </c>
      <c r="P97" s="2" cm="1">
        <f t="array" ref="P97">IF(VLOOKUP($P$25,mission!$D$46:$F$60,3,FALSE)&lt;=$C$8*$C$4,INDEX(mission!$E$46:$E$60,MATCH($P$25,mission!$D$46:$D$60,0)),0)</f>
        <v>0</v>
      </c>
      <c r="Q97" s="2" cm="1">
        <f t="array" ref="Q97">IF(VLOOKUP($Q$25,mission!$D$46:$F$60,3,FALSE)&lt;=$C$8*$C$4,INDEX(mission!$E$46:$E$60,MATCH($Q$25,mission!$D$46:$D$60,0)),0)</f>
        <v>0</v>
      </c>
      <c r="R97" s="2" cm="1">
        <f t="array" ref="R97">IF(VLOOKUP($R$25,mission!$D$46:$F$60,3,FALSE)&lt;=$F$5*60/$C$7,INDEX(mission!$E$46:$E$60,MATCH($R$25,mission!$D$46:$D$60,0)),0)</f>
        <v>5</v>
      </c>
      <c r="S97" s="2" cm="1">
        <f t="array" ref="S97">IF(VLOOKUP($S$25,mission!$D$46:$F$60,3,FALSE)&lt;=$F$5*60/$C$7,INDEX(mission!$E$46:$E$60,MATCH($S$25,mission!$D$46:$D$60,0)),0)</f>
        <v>0</v>
      </c>
      <c r="T97" s="2" cm="1">
        <f t="array" ref="T97">IF(VLOOKUP($T$25,mission!$D$46:$F$60,3,FALSE)&lt;=$F$5*60,INDEX(mission!$E$46:$E$60,MATCH($T$25,mission!$D$46:$D$60,0)),0)</f>
        <v>10</v>
      </c>
      <c r="U97" s="2" cm="1">
        <f t="array" ref="U97">IF(VLOOKUP($U$25,mission!$D$46:$F$60,3,FALSE)&lt;=$F$5*60,INDEX(mission!$E$46:$E$60,MATCH($U$25,mission!$D$46:$D$60,0)),0)</f>
        <v>0</v>
      </c>
      <c r="V97" s="2" cm="1">
        <f t="array" ref="V97">IF(VLOOKUP($V$25,mission!$D$46:$F$60,3,FALSE)&lt;=$F$5*60,INDEX(mission!$E$46:$E$60,MATCH($V$25,mission!$D$46:$D$60,0)),0)</f>
        <v>0</v>
      </c>
      <c r="W97" s="2" cm="1">
        <f t="array" ref="W97">IF(VLOOKUP($W$25,mission!$D$46:$F$60,3,FALSE)&lt;=$F$5*60,INDEX(mission!$E$46:$E$60,MATCH($W$25,mission!$D$46:$D$60,0)),0)</f>
        <v>0</v>
      </c>
    </row>
    <row r="98" s="1" customFormat="1" ht="18" customHeight="1" spans="2:23">
      <c r="B98" s="2">
        <v>73</v>
      </c>
      <c r="C98" s="2">
        <f t="shared" si="15"/>
        <v>73000</v>
      </c>
      <c r="D98" s="2">
        <f t="shared" si="19"/>
        <v>88</v>
      </c>
      <c r="E98" s="2">
        <f t="shared" si="17"/>
        <v>6424</v>
      </c>
      <c r="F98" s="2">
        <f>ROUND(E98*VLOOKUP($B$10,总产出!$T$4:$U$14,2,FALSE),0)</f>
        <v>642</v>
      </c>
      <c r="G98" s="2">
        <f t="shared" si="16"/>
        <v>25</v>
      </c>
      <c r="H98" s="2">
        <f t="shared" si="18"/>
        <v>1825</v>
      </c>
      <c r="I98" s="2" cm="1">
        <f t="array" ref="I98">IF(VLOOKUP($I$25,mission!$D$46:$F$60,3,FALSE)&lt;=$F$5*60/$C$7,INDEX(mission!$E$46:$E$60,MATCH($I$25,mission!$D$46:$D$60,0)),0)</f>
        <v>5</v>
      </c>
      <c r="J98" s="2" cm="1">
        <f t="array" ref="J98">IF(VLOOKUP($J$25,mission!$D$46:$F$60,3,FALSE)&lt;=$F$5*60/$C$7,INDEX(mission!$E$46:$E$60,MATCH($J$25,mission!$D$46:$D$60,0)),0)</f>
        <v>0</v>
      </c>
      <c r="K98" s="2" cm="1">
        <f t="array" ref="K98">IF(VLOOKUP($K$25,mission!$D$46:$F$60,3,FALSE)&lt;=$F$5*60/$C$7,INDEX(mission!$E$46:$E$60,MATCH($K$25,mission!$D$46:$D$60,0)),0)</f>
        <v>0</v>
      </c>
      <c r="L98" s="2" cm="1">
        <f t="array" ref="L98">IF(VLOOKUP($L$25,mission!$D$46:$F$60,3,FALSE)&lt;=$C$8,INDEX(mission!$E$46:$E$60,MATCH($L$25,mission!$D$46:$D$60,0)),0)</f>
        <v>5</v>
      </c>
      <c r="M98" s="2" cm="1">
        <f t="array" ref="M98">IF(VLOOKUP($M$25,mission!$D$46:$F$60,3,FALSE)&lt;=$C$8,INDEX(mission!$E$46:$E$60,MATCH($M$25,mission!$D$46:$D$60,0)),0)</f>
        <v>0</v>
      </c>
      <c r="N98" s="2" cm="1">
        <f t="array" ref="N98">IF(VLOOKUP($N$25,mission!$D$46:$F$60,3,FALSE)&lt;=$C$8,INDEX(mission!$E$46:$E$60,MATCH($N$25,mission!$D$46:$D$60,0)),0)</f>
        <v>0</v>
      </c>
      <c r="O98" s="2" cm="1">
        <f t="array" ref="O98">IF(VLOOKUP($O$25,mission!$D$46:$F$60,3,FALSE)&lt;=$C$8*$C$4,INDEX(mission!$E$46:$E$60,MATCH($O$25,mission!$D$46:$D$60,0)),0)</f>
        <v>0</v>
      </c>
      <c r="P98" s="2" cm="1">
        <f t="array" ref="P98">IF(VLOOKUP($P$25,mission!$D$46:$F$60,3,FALSE)&lt;=$C$8*$C$4,INDEX(mission!$E$46:$E$60,MATCH($P$25,mission!$D$46:$D$60,0)),0)</f>
        <v>0</v>
      </c>
      <c r="Q98" s="2" cm="1">
        <f t="array" ref="Q98">IF(VLOOKUP($Q$25,mission!$D$46:$F$60,3,FALSE)&lt;=$C$8*$C$4,INDEX(mission!$E$46:$E$60,MATCH($Q$25,mission!$D$46:$D$60,0)),0)</f>
        <v>0</v>
      </c>
      <c r="R98" s="2" cm="1">
        <f t="array" ref="R98">IF(VLOOKUP($R$25,mission!$D$46:$F$60,3,FALSE)&lt;=$F$5*60/$C$7,INDEX(mission!$E$46:$E$60,MATCH($R$25,mission!$D$46:$D$60,0)),0)</f>
        <v>5</v>
      </c>
      <c r="S98" s="2" cm="1">
        <f t="array" ref="S98">IF(VLOOKUP($S$25,mission!$D$46:$F$60,3,FALSE)&lt;=$F$5*60/$C$7,INDEX(mission!$E$46:$E$60,MATCH($S$25,mission!$D$46:$D$60,0)),0)</f>
        <v>0</v>
      </c>
      <c r="T98" s="2" cm="1">
        <f t="array" ref="T98">IF(VLOOKUP($T$25,mission!$D$46:$F$60,3,FALSE)&lt;=$F$5*60,INDEX(mission!$E$46:$E$60,MATCH($T$25,mission!$D$46:$D$60,0)),0)</f>
        <v>10</v>
      </c>
      <c r="U98" s="2" cm="1">
        <f t="array" ref="U98">IF(VLOOKUP($U$25,mission!$D$46:$F$60,3,FALSE)&lt;=$F$5*60,INDEX(mission!$E$46:$E$60,MATCH($U$25,mission!$D$46:$D$60,0)),0)</f>
        <v>0</v>
      </c>
      <c r="V98" s="2" cm="1">
        <f t="array" ref="V98">IF(VLOOKUP($V$25,mission!$D$46:$F$60,3,FALSE)&lt;=$F$5*60,INDEX(mission!$E$46:$E$60,MATCH($V$25,mission!$D$46:$D$60,0)),0)</f>
        <v>0</v>
      </c>
      <c r="W98" s="2" cm="1">
        <f t="array" ref="W98">IF(VLOOKUP($W$25,mission!$D$46:$F$60,3,FALSE)&lt;=$F$5*60,INDEX(mission!$E$46:$E$60,MATCH($W$25,mission!$D$46:$D$60,0)),0)</f>
        <v>0</v>
      </c>
    </row>
    <row r="99" s="1" customFormat="1" ht="18" customHeight="1" spans="2:23">
      <c r="B99" s="2">
        <v>74</v>
      </c>
      <c r="C99" s="2">
        <f t="shared" si="15"/>
        <v>74000</v>
      </c>
      <c r="D99" s="2">
        <f t="shared" si="19"/>
        <v>88</v>
      </c>
      <c r="E99" s="2">
        <f t="shared" si="17"/>
        <v>6512</v>
      </c>
      <c r="F99" s="2">
        <f>ROUND(E99*VLOOKUP($B$10,总产出!$T$4:$U$14,2,FALSE),0)</f>
        <v>651</v>
      </c>
      <c r="G99" s="2">
        <f t="shared" si="16"/>
        <v>25</v>
      </c>
      <c r="H99" s="2">
        <f t="shared" si="18"/>
        <v>1850</v>
      </c>
      <c r="I99" s="2" cm="1">
        <f t="array" ref="I99">IF(VLOOKUP($I$25,mission!$D$46:$F$60,3,FALSE)&lt;=$F$5*60/$C$7,INDEX(mission!$E$46:$E$60,MATCH($I$25,mission!$D$46:$D$60,0)),0)</f>
        <v>5</v>
      </c>
      <c r="J99" s="2" cm="1">
        <f t="array" ref="J99">IF(VLOOKUP($J$25,mission!$D$46:$F$60,3,FALSE)&lt;=$F$5*60/$C$7,INDEX(mission!$E$46:$E$60,MATCH($J$25,mission!$D$46:$D$60,0)),0)</f>
        <v>0</v>
      </c>
      <c r="K99" s="2" cm="1">
        <f t="array" ref="K99">IF(VLOOKUP($K$25,mission!$D$46:$F$60,3,FALSE)&lt;=$F$5*60/$C$7,INDEX(mission!$E$46:$E$60,MATCH($K$25,mission!$D$46:$D$60,0)),0)</f>
        <v>0</v>
      </c>
      <c r="L99" s="2" cm="1">
        <f t="array" ref="L99">IF(VLOOKUP($L$25,mission!$D$46:$F$60,3,FALSE)&lt;=$C$8,INDEX(mission!$E$46:$E$60,MATCH($L$25,mission!$D$46:$D$60,0)),0)</f>
        <v>5</v>
      </c>
      <c r="M99" s="2" cm="1">
        <f t="array" ref="M99">IF(VLOOKUP($M$25,mission!$D$46:$F$60,3,FALSE)&lt;=$C$8,INDEX(mission!$E$46:$E$60,MATCH($M$25,mission!$D$46:$D$60,0)),0)</f>
        <v>0</v>
      </c>
      <c r="N99" s="2" cm="1">
        <f t="array" ref="N99">IF(VLOOKUP($N$25,mission!$D$46:$F$60,3,FALSE)&lt;=$C$8,INDEX(mission!$E$46:$E$60,MATCH($N$25,mission!$D$46:$D$60,0)),0)</f>
        <v>0</v>
      </c>
      <c r="O99" s="2" cm="1">
        <f t="array" ref="O99">IF(VLOOKUP($O$25,mission!$D$46:$F$60,3,FALSE)&lt;=$C$8*$C$4,INDEX(mission!$E$46:$E$60,MATCH($O$25,mission!$D$46:$D$60,0)),0)</f>
        <v>0</v>
      </c>
      <c r="P99" s="2" cm="1">
        <f t="array" ref="P99">IF(VLOOKUP($P$25,mission!$D$46:$F$60,3,FALSE)&lt;=$C$8*$C$4,INDEX(mission!$E$46:$E$60,MATCH($P$25,mission!$D$46:$D$60,0)),0)</f>
        <v>0</v>
      </c>
      <c r="Q99" s="2" cm="1">
        <f t="array" ref="Q99">IF(VLOOKUP($Q$25,mission!$D$46:$F$60,3,FALSE)&lt;=$C$8*$C$4,INDEX(mission!$E$46:$E$60,MATCH($Q$25,mission!$D$46:$D$60,0)),0)</f>
        <v>0</v>
      </c>
      <c r="R99" s="2" cm="1">
        <f t="array" ref="R99">IF(VLOOKUP($R$25,mission!$D$46:$F$60,3,FALSE)&lt;=$F$5*60/$C$7,INDEX(mission!$E$46:$E$60,MATCH($R$25,mission!$D$46:$D$60,0)),0)</f>
        <v>5</v>
      </c>
      <c r="S99" s="2" cm="1">
        <f t="array" ref="S99">IF(VLOOKUP($S$25,mission!$D$46:$F$60,3,FALSE)&lt;=$F$5*60/$C$7,INDEX(mission!$E$46:$E$60,MATCH($S$25,mission!$D$46:$D$60,0)),0)</f>
        <v>0</v>
      </c>
      <c r="T99" s="2" cm="1">
        <f t="array" ref="T99">IF(VLOOKUP($T$25,mission!$D$46:$F$60,3,FALSE)&lt;=$F$5*60,INDEX(mission!$E$46:$E$60,MATCH($T$25,mission!$D$46:$D$60,0)),0)</f>
        <v>10</v>
      </c>
      <c r="U99" s="2" cm="1">
        <f t="array" ref="U99">IF(VLOOKUP($U$25,mission!$D$46:$F$60,3,FALSE)&lt;=$F$5*60,INDEX(mission!$E$46:$E$60,MATCH($U$25,mission!$D$46:$D$60,0)),0)</f>
        <v>0</v>
      </c>
      <c r="V99" s="2" cm="1">
        <f t="array" ref="V99">IF(VLOOKUP($V$25,mission!$D$46:$F$60,3,FALSE)&lt;=$F$5*60,INDEX(mission!$E$46:$E$60,MATCH($V$25,mission!$D$46:$D$60,0)),0)</f>
        <v>0</v>
      </c>
      <c r="W99" s="2" cm="1">
        <f t="array" ref="W99">IF(VLOOKUP($W$25,mission!$D$46:$F$60,3,FALSE)&lt;=$F$5*60,INDEX(mission!$E$46:$E$60,MATCH($W$25,mission!$D$46:$D$60,0)),0)</f>
        <v>0</v>
      </c>
    </row>
    <row r="100" s="1" customFormat="1" ht="18" customHeight="1" spans="2:23">
      <c r="B100" s="2">
        <v>75</v>
      </c>
      <c r="C100" s="2">
        <f t="shared" si="15"/>
        <v>75000</v>
      </c>
      <c r="D100" s="2">
        <f t="shared" si="19"/>
        <v>88</v>
      </c>
      <c r="E100" s="2">
        <f t="shared" si="17"/>
        <v>6600</v>
      </c>
      <c r="F100" s="2">
        <f>ROUND(E100*VLOOKUP($B$10,总产出!$T$4:$U$14,2,FALSE),0)</f>
        <v>660</v>
      </c>
      <c r="G100" s="2">
        <f t="shared" si="16"/>
        <v>25</v>
      </c>
      <c r="H100" s="2">
        <f t="shared" si="18"/>
        <v>1875</v>
      </c>
      <c r="I100" s="2" cm="1">
        <f t="array" ref="I100">IF(VLOOKUP($I$25,mission!$D$46:$F$60,3,FALSE)&lt;=$F$5*60/$C$7,INDEX(mission!$E$46:$E$60,MATCH($I$25,mission!$D$46:$D$60,0)),0)</f>
        <v>5</v>
      </c>
      <c r="J100" s="2" cm="1">
        <f t="array" ref="J100">IF(VLOOKUP($J$25,mission!$D$46:$F$60,3,FALSE)&lt;=$F$5*60/$C$7,INDEX(mission!$E$46:$E$60,MATCH($J$25,mission!$D$46:$D$60,0)),0)</f>
        <v>0</v>
      </c>
      <c r="K100" s="2" cm="1">
        <f t="array" ref="K100">IF(VLOOKUP($K$25,mission!$D$46:$F$60,3,FALSE)&lt;=$F$5*60/$C$7,INDEX(mission!$E$46:$E$60,MATCH($K$25,mission!$D$46:$D$60,0)),0)</f>
        <v>0</v>
      </c>
      <c r="L100" s="2" cm="1">
        <f t="array" ref="L100">IF(VLOOKUP($L$25,mission!$D$46:$F$60,3,FALSE)&lt;=$C$8,INDEX(mission!$E$46:$E$60,MATCH($L$25,mission!$D$46:$D$60,0)),0)</f>
        <v>5</v>
      </c>
      <c r="M100" s="2" cm="1">
        <f t="array" ref="M100">IF(VLOOKUP($M$25,mission!$D$46:$F$60,3,FALSE)&lt;=$C$8,INDEX(mission!$E$46:$E$60,MATCH($M$25,mission!$D$46:$D$60,0)),0)</f>
        <v>0</v>
      </c>
      <c r="N100" s="2" cm="1">
        <f t="array" ref="N100">IF(VLOOKUP($N$25,mission!$D$46:$F$60,3,FALSE)&lt;=$C$8,INDEX(mission!$E$46:$E$60,MATCH($N$25,mission!$D$46:$D$60,0)),0)</f>
        <v>0</v>
      </c>
      <c r="O100" s="2" cm="1">
        <f t="array" ref="O100">IF(VLOOKUP($O$25,mission!$D$46:$F$60,3,FALSE)&lt;=$C$8*$C$4,INDEX(mission!$E$46:$E$60,MATCH($O$25,mission!$D$46:$D$60,0)),0)</f>
        <v>0</v>
      </c>
      <c r="P100" s="2" cm="1">
        <f t="array" ref="P100">IF(VLOOKUP($P$25,mission!$D$46:$F$60,3,FALSE)&lt;=$C$8*$C$4,INDEX(mission!$E$46:$E$60,MATCH($P$25,mission!$D$46:$D$60,0)),0)</f>
        <v>0</v>
      </c>
      <c r="Q100" s="2" cm="1">
        <f t="array" ref="Q100">IF(VLOOKUP($Q$25,mission!$D$46:$F$60,3,FALSE)&lt;=$C$8*$C$4,INDEX(mission!$E$46:$E$60,MATCH($Q$25,mission!$D$46:$D$60,0)),0)</f>
        <v>0</v>
      </c>
      <c r="R100" s="2" cm="1">
        <f t="array" ref="R100">IF(VLOOKUP($R$25,mission!$D$46:$F$60,3,FALSE)&lt;=$F$5*60/$C$7,INDEX(mission!$E$46:$E$60,MATCH($R$25,mission!$D$46:$D$60,0)),0)</f>
        <v>5</v>
      </c>
      <c r="S100" s="2" cm="1">
        <f t="array" ref="S100">IF(VLOOKUP($S$25,mission!$D$46:$F$60,3,FALSE)&lt;=$F$5*60/$C$7,INDEX(mission!$E$46:$E$60,MATCH($S$25,mission!$D$46:$D$60,0)),0)</f>
        <v>0</v>
      </c>
      <c r="T100" s="2" cm="1">
        <f t="array" ref="T100">IF(VLOOKUP($T$25,mission!$D$46:$F$60,3,FALSE)&lt;=$F$5*60,INDEX(mission!$E$46:$E$60,MATCH($T$25,mission!$D$46:$D$60,0)),0)</f>
        <v>10</v>
      </c>
      <c r="U100" s="2" cm="1">
        <f t="array" ref="U100">IF(VLOOKUP($U$25,mission!$D$46:$F$60,3,FALSE)&lt;=$F$5*60,INDEX(mission!$E$46:$E$60,MATCH($U$25,mission!$D$46:$D$60,0)),0)</f>
        <v>0</v>
      </c>
      <c r="V100" s="2" cm="1">
        <f t="array" ref="V100">IF(VLOOKUP($V$25,mission!$D$46:$F$60,3,FALSE)&lt;=$F$5*60,INDEX(mission!$E$46:$E$60,MATCH($V$25,mission!$D$46:$D$60,0)),0)</f>
        <v>0</v>
      </c>
      <c r="W100" s="2" cm="1">
        <f t="array" ref="W100">IF(VLOOKUP($W$25,mission!$D$46:$F$60,3,FALSE)&lt;=$F$5*60,INDEX(mission!$E$46:$E$60,MATCH($W$25,mission!$D$46:$D$60,0)),0)</f>
        <v>0</v>
      </c>
    </row>
    <row r="101" s="1" customFormat="1" ht="18" customHeight="1" spans="2:23">
      <c r="B101" s="2">
        <v>76</v>
      </c>
      <c r="C101" s="2">
        <f t="shared" si="15"/>
        <v>76000</v>
      </c>
      <c r="D101" s="2">
        <f t="shared" si="19"/>
        <v>88</v>
      </c>
      <c r="E101" s="2">
        <f t="shared" si="17"/>
        <v>6688</v>
      </c>
      <c r="F101" s="2">
        <f>ROUND(E101*VLOOKUP($B$10,总产出!$T$4:$U$14,2,FALSE),0)</f>
        <v>669</v>
      </c>
      <c r="G101" s="2">
        <f t="shared" si="16"/>
        <v>25</v>
      </c>
      <c r="H101" s="2">
        <f t="shared" si="18"/>
        <v>1900</v>
      </c>
      <c r="I101" s="2" cm="1">
        <f t="array" ref="I101">IF(VLOOKUP($I$25,mission!$D$46:$F$60,3,FALSE)&lt;=$F$5*60/$C$7,INDEX(mission!$E$46:$E$60,MATCH($I$25,mission!$D$46:$D$60,0)),0)</f>
        <v>5</v>
      </c>
      <c r="J101" s="2" cm="1">
        <f t="array" ref="J101">IF(VLOOKUP($J$25,mission!$D$46:$F$60,3,FALSE)&lt;=$F$5*60/$C$7,INDEX(mission!$E$46:$E$60,MATCH($J$25,mission!$D$46:$D$60,0)),0)</f>
        <v>0</v>
      </c>
      <c r="K101" s="2" cm="1">
        <f t="array" ref="K101">IF(VLOOKUP($K$25,mission!$D$46:$F$60,3,FALSE)&lt;=$F$5*60/$C$7,INDEX(mission!$E$46:$E$60,MATCH($K$25,mission!$D$46:$D$60,0)),0)</f>
        <v>0</v>
      </c>
      <c r="L101" s="2" cm="1">
        <f t="array" ref="L101">IF(VLOOKUP($L$25,mission!$D$46:$F$60,3,FALSE)&lt;=$C$8,INDEX(mission!$E$46:$E$60,MATCH($L$25,mission!$D$46:$D$60,0)),0)</f>
        <v>5</v>
      </c>
      <c r="M101" s="2" cm="1">
        <f t="array" ref="M101">IF(VLOOKUP($M$25,mission!$D$46:$F$60,3,FALSE)&lt;=$C$8,INDEX(mission!$E$46:$E$60,MATCH($M$25,mission!$D$46:$D$60,0)),0)</f>
        <v>0</v>
      </c>
      <c r="N101" s="2" cm="1">
        <f t="array" ref="N101">IF(VLOOKUP($N$25,mission!$D$46:$F$60,3,FALSE)&lt;=$C$8,INDEX(mission!$E$46:$E$60,MATCH($N$25,mission!$D$46:$D$60,0)),0)</f>
        <v>0</v>
      </c>
      <c r="O101" s="2" cm="1">
        <f t="array" ref="O101">IF(VLOOKUP($O$25,mission!$D$46:$F$60,3,FALSE)&lt;=$C$8*$C$4,INDEX(mission!$E$46:$E$60,MATCH($O$25,mission!$D$46:$D$60,0)),0)</f>
        <v>0</v>
      </c>
      <c r="P101" s="2" cm="1">
        <f t="array" ref="P101">IF(VLOOKUP($P$25,mission!$D$46:$F$60,3,FALSE)&lt;=$C$8*$C$4,INDEX(mission!$E$46:$E$60,MATCH($P$25,mission!$D$46:$D$60,0)),0)</f>
        <v>0</v>
      </c>
      <c r="Q101" s="2" cm="1">
        <f t="array" ref="Q101">IF(VLOOKUP($Q$25,mission!$D$46:$F$60,3,FALSE)&lt;=$C$8*$C$4,INDEX(mission!$E$46:$E$60,MATCH($Q$25,mission!$D$46:$D$60,0)),0)</f>
        <v>0</v>
      </c>
      <c r="R101" s="2" cm="1">
        <f t="array" ref="R101">IF(VLOOKUP($R$25,mission!$D$46:$F$60,3,FALSE)&lt;=$F$5*60/$C$7,INDEX(mission!$E$46:$E$60,MATCH($R$25,mission!$D$46:$D$60,0)),0)</f>
        <v>5</v>
      </c>
      <c r="S101" s="2" cm="1">
        <f t="array" ref="S101">IF(VLOOKUP($S$25,mission!$D$46:$F$60,3,FALSE)&lt;=$F$5*60/$C$7,INDEX(mission!$E$46:$E$60,MATCH($S$25,mission!$D$46:$D$60,0)),0)</f>
        <v>0</v>
      </c>
      <c r="T101" s="2" cm="1">
        <f t="array" ref="T101">IF(VLOOKUP($T$25,mission!$D$46:$F$60,3,FALSE)&lt;=$F$5*60,INDEX(mission!$E$46:$E$60,MATCH($T$25,mission!$D$46:$D$60,0)),0)</f>
        <v>10</v>
      </c>
      <c r="U101" s="2" cm="1">
        <f t="array" ref="U101">IF(VLOOKUP($U$25,mission!$D$46:$F$60,3,FALSE)&lt;=$F$5*60,INDEX(mission!$E$46:$E$60,MATCH($U$25,mission!$D$46:$D$60,0)),0)</f>
        <v>0</v>
      </c>
      <c r="V101" s="2" cm="1">
        <f t="array" ref="V101">IF(VLOOKUP($V$25,mission!$D$46:$F$60,3,FALSE)&lt;=$F$5*60,INDEX(mission!$E$46:$E$60,MATCH($V$25,mission!$D$46:$D$60,0)),0)</f>
        <v>0</v>
      </c>
      <c r="W101" s="2" cm="1">
        <f t="array" ref="W101">IF(VLOOKUP($W$25,mission!$D$46:$F$60,3,FALSE)&lt;=$F$5*60,INDEX(mission!$E$46:$E$60,MATCH($W$25,mission!$D$46:$D$60,0)),0)</f>
        <v>0</v>
      </c>
    </row>
    <row r="102" s="1" customFormat="1" ht="18" customHeight="1" spans="2:23">
      <c r="B102" s="2">
        <v>77</v>
      </c>
      <c r="C102" s="2">
        <f t="shared" si="15"/>
        <v>77000</v>
      </c>
      <c r="D102" s="2">
        <f t="shared" si="19"/>
        <v>88</v>
      </c>
      <c r="E102" s="2">
        <f t="shared" si="17"/>
        <v>6776</v>
      </c>
      <c r="F102" s="2">
        <f>ROUND(E102*VLOOKUP($B$10,总产出!$T$4:$U$14,2,FALSE),0)</f>
        <v>678</v>
      </c>
      <c r="G102" s="2">
        <f t="shared" si="16"/>
        <v>25</v>
      </c>
      <c r="H102" s="2">
        <f t="shared" si="18"/>
        <v>1925</v>
      </c>
      <c r="I102" s="2" cm="1">
        <f t="array" ref="I102">IF(VLOOKUP($I$25,mission!$D$46:$F$60,3,FALSE)&lt;=$F$5*60/$C$7,INDEX(mission!$E$46:$E$60,MATCH($I$25,mission!$D$46:$D$60,0)),0)</f>
        <v>5</v>
      </c>
      <c r="J102" s="2" cm="1">
        <f t="array" ref="J102">IF(VLOOKUP($J$25,mission!$D$46:$F$60,3,FALSE)&lt;=$F$5*60/$C$7,INDEX(mission!$E$46:$E$60,MATCH($J$25,mission!$D$46:$D$60,0)),0)</f>
        <v>0</v>
      </c>
      <c r="K102" s="2" cm="1">
        <f t="array" ref="K102">IF(VLOOKUP($K$25,mission!$D$46:$F$60,3,FALSE)&lt;=$F$5*60/$C$7,INDEX(mission!$E$46:$E$60,MATCH($K$25,mission!$D$46:$D$60,0)),0)</f>
        <v>0</v>
      </c>
      <c r="L102" s="2" cm="1">
        <f t="array" ref="L102">IF(VLOOKUP($L$25,mission!$D$46:$F$60,3,FALSE)&lt;=$C$8,INDEX(mission!$E$46:$E$60,MATCH($L$25,mission!$D$46:$D$60,0)),0)</f>
        <v>5</v>
      </c>
      <c r="M102" s="2" cm="1">
        <f t="array" ref="M102">IF(VLOOKUP($M$25,mission!$D$46:$F$60,3,FALSE)&lt;=$C$8,INDEX(mission!$E$46:$E$60,MATCH($M$25,mission!$D$46:$D$60,0)),0)</f>
        <v>0</v>
      </c>
      <c r="N102" s="2" cm="1">
        <f t="array" ref="N102">IF(VLOOKUP($N$25,mission!$D$46:$F$60,3,FALSE)&lt;=$C$8,INDEX(mission!$E$46:$E$60,MATCH($N$25,mission!$D$46:$D$60,0)),0)</f>
        <v>0</v>
      </c>
      <c r="O102" s="2" cm="1">
        <f t="array" ref="O102">IF(VLOOKUP($O$25,mission!$D$46:$F$60,3,FALSE)&lt;=$C$8*$C$4,INDEX(mission!$E$46:$E$60,MATCH($O$25,mission!$D$46:$D$60,0)),0)</f>
        <v>0</v>
      </c>
      <c r="P102" s="2" cm="1">
        <f t="array" ref="P102">IF(VLOOKUP($P$25,mission!$D$46:$F$60,3,FALSE)&lt;=$C$8*$C$4,INDEX(mission!$E$46:$E$60,MATCH($P$25,mission!$D$46:$D$60,0)),0)</f>
        <v>0</v>
      </c>
      <c r="Q102" s="2" cm="1">
        <f t="array" ref="Q102">IF(VLOOKUP($Q$25,mission!$D$46:$F$60,3,FALSE)&lt;=$C$8*$C$4,INDEX(mission!$E$46:$E$60,MATCH($Q$25,mission!$D$46:$D$60,0)),0)</f>
        <v>0</v>
      </c>
      <c r="R102" s="2" cm="1">
        <f t="array" ref="R102">IF(VLOOKUP($R$25,mission!$D$46:$F$60,3,FALSE)&lt;=$F$5*60/$C$7,INDEX(mission!$E$46:$E$60,MATCH($R$25,mission!$D$46:$D$60,0)),0)</f>
        <v>5</v>
      </c>
      <c r="S102" s="2" cm="1">
        <f t="array" ref="S102">IF(VLOOKUP($S$25,mission!$D$46:$F$60,3,FALSE)&lt;=$F$5*60/$C$7,INDEX(mission!$E$46:$E$60,MATCH($S$25,mission!$D$46:$D$60,0)),0)</f>
        <v>0</v>
      </c>
      <c r="T102" s="2" cm="1">
        <f t="array" ref="T102">IF(VLOOKUP($T$25,mission!$D$46:$F$60,3,FALSE)&lt;=$F$5*60,INDEX(mission!$E$46:$E$60,MATCH($T$25,mission!$D$46:$D$60,0)),0)</f>
        <v>10</v>
      </c>
      <c r="U102" s="2" cm="1">
        <f t="array" ref="U102">IF(VLOOKUP($U$25,mission!$D$46:$F$60,3,FALSE)&lt;=$F$5*60,INDEX(mission!$E$46:$E$60,MATCH($U$25,mission!$D$46:$D$60,0)),0)</f>
        <v>0</v>
      </c>
      <c r="V102" s="2" cm="1">
        <f t="array" ref="V102">IF(VLOOKUP($V$25,mission!$D$46:$F$60,3,FALSE)&lt;=$F$5*60,INDEX(mission!$E$46:$E$60,MATCH($V$25,mission!$D$46:$D$60,0)),0)</f>
        <v>0</v>
      </c>
      <c r="W102" s="2" cm="1">
        <f t="array" ref="W102">IF(VLOOKUP($W$25,mission!$D$46:$F$60,3,FALSE)&lt;=$F$5*60,INDEX(mission!$E$46:$E$60,MATCH($W$25,mission!$D$46:$D$60,0)),0)</f>
        <v>0</v>
      </c>
    </row>
    <row r="103" s="1" customFormat="1" ht="18" customHeight="1" spans="2:23">
      <c r="B103" s="2">
        <v>78</v>
      </c>
      <c r="C103" s="2">
        <f t="shared" si="15"/>
        <v>78000</v>
      </c>
      <c r="D103" s="2">
        <f t="shared" si="19"/>
        <v>88</v>
      </c>
      <c r="E103" s="2">
        <f t="shared" si="17"/>
        <v>6864</v>
      </c>
      <c r="F103" s="2">
        <f>ROUND(E103*VLOOKUP($B$10,总产出!$T$4:$U$14,2,FALSE),0)</f>
        <v>686</v>
      </c>
      <c r="G103" s="2">
        <f t="shared" si="16"/>
        <v>25</v>
      </c>
      <c r="H103" s="2">
        <f t="shared" si="18"/>
        <v>1950</v>
      </c>
      <c r="I103" s="2" cm="1">
        <f t="array" ref="I103">IF(VLOOKUP($I$25,mission!$D$46:$F$60,3,FALSE)&lt;=$F$5*60/$C$7,INDEX(mission!$E$46:$E$60,MATCH($I$25,mission!$D$46:$D$60,0)),0)</f>
        <v>5</v>
      </c>
      <c r="J103" s="2" cm="1">
        <f t="array" ref="J103">IF(VLOOKUP($J$25,mission!$D$46:$F$60,3,FALSE)&lt;=$F$5*60/$C$7,INDEX(mission!$E$46:$E$60,MATCH($J$25,mission!$D$46:$D$60,0)),0)</f>
        <v>0</v>
      </c>
      <c r="K103" s="2" cm="1">
        <f t="array" ref="K103">IF(VLOOKUP($K$25,mission!$D$46:$F$60,3,FALSE)&lt;=$F$5*60/$C$7,INDEX(mission!$E$46:$E$60,MATCH($K$25,mission!$D$46:$D$60,0)),0)</f>
        <v>0</v>
      </c>
      <c r="L103" s="2" cm="1">
        <f t="array" ref="L103">IF(VLOOKUP($L$25,mission!$D$46:$F$60,3,FALSE)&lt;=$C$8,INDEX(mission!$E$46:$E$60,MATCH($L$25,mission!$D$46:$D$60,0)),0)</f>
        <v>5</v>
      </c>
      <c r="M103" s="2" cm="1">
        <f t="array" ref="M103">IF(VLOOKUP($M$25,mission!$D$46:$F$60,3,FALSE)&lt;=$C$8,INDEX(mission!$E$46:$E$60,MATCH($M$25,mission!$D$46:$D$60,0)),0)</f>
        <v>0</v>
      </c>
      <c r="N103" s="2" cm="1">
        <f t="array" ref="N103">IF(VLOOKUP($N$25,mission!$D$46:$F$60,3,FALSE)&lt;=$C$8,INDEX(mission!$E$46:$E$60,MATCH($N$25,mission!$D$46:$D$60,0)),0)</f>
        <v>0</v>
      </c>
      <c r="O103" s="2" cm="1">
        <f t="array" ref="O103">IF(VLOOKUP($O$25,mission!$D$46:$F$60,3,FALSE)&lt;=$C$8*$C$4,INDEX(mission!$E$46:$E$60,MATCH($O$25,mission!$D$46:$D$60,0)),0)</f>
        <v>0</v>
      </c>
      <c r="P103" s="2" cm="1">
        <f t="array" ref="P103">IF(VLOOKUP($P$25,mission!$D$46:$F$60,3,FALSE)&lt;=$C$8*$C$4,INDEX(mission!$E$46:$E$60,MATCH($P$25,mission!$D$46:$D$60,0)),0)</f>
        <v>0</v>
      </c>
      <c r="Q103" s="2" cm="1">
        <f t="array" ref="Q103">IF(VLOOKUP($Q$25,mission!$D$46:$F$60,3,FALSE)&lt;=$C$8*$C$4,INDEX(mission!$E$46:$E$60,MATCH($Q$25,mission!$D$46:$D$60,0)),0)</f>
        <v>0</v>
      </c>
      <c r="R103" s="2" cm="1">
        <f t="array" ref="R103">IF(VLOOKUP($R$25,mission!$D$46:$F$60,3,FALSE)&lt;=$F$5*60/$C$7,INDEX(mission!$E$46:$E$60,MATCH($R$25,mission!$D$46:$D$60,0)),0)</f>
        <v>5</v>
      </c>
      <c r="S103" s="2" cm="1">
        <f t="array" ref="S103">IF(VLOOKUP($S$25,mission!$D$46:$F$60,3,FALSE)&lt;=$F$5*60/$C$7,INDEX(mission!$E$46:$E$60,MATCH($S$25,mission!$D$46:$D$60,0)),0)</f>
        <v>0</v>
      </c>
      <c r="T103" s="2" cm="1">
        <f t="array" ref="T103">IF(VLOOKUP($T$25,mission!$D$46:$F$60,3,FALSE)&lt;=$F$5*60,INDEX(mission!$E$46:$E$60,MATCH($T$25,mission!$D$46:$D$60,0)),0)</f>
        <v>10</v>
      </c>
      <c r="U103" s="2" cm="1">
        <f t="array" ref="U103">IF(VLOOKUP($U$25,mission!$D$46:$F$60,3,FALSE)&lt;=$F$5*60,INDEX(mission!$E$46:$E$60,MATCH($U$25,mission!$D$46:$D$60,0)),0)</f>
        <v>0</v>
      </c>
      <c r="V103" s="2" cm="1">
        <f t="array" ref="V103">IF(VLOOKUP($V$25,mission!$D$46:$F$60,3,FALSE)&lt;=$F$5*60,INDEX(mission!$E$46:$E$60,MATCH($V$25,mission!$D$46:$D$60,0)),0)</f>
        <v>0</v>
      </c>
      <c r="W103" s="2" cm="1">
        <f t="array" ref="W103">IF(VLOOKUP($W$25,mission!$D$46:$F$60,3,FALSE)&lt;=$F$5*60,INDEX(mission!$E$46:$E$60,MATCH($W$25,mission!$D$46:$D$60,0)),0)</f>
        <v>0</v>
      </c>
    </row>
    <row r="104" s="1" customFormat="1" ht="18" customHeight="1" spans="2:23">
      <c r="B104" s="2">
        <v>79</v>
      </c>
      <c r="C104" s="2">
        <f t="shared" si="15"/>
        <v>79000</v>
      </c>
      <c r="D104" s="2">
        <f t="shared" si="19"/>
        <v>88</v>
      </c>
      <c r="E104" s="2">
        <f t="shared" si="17"/>
        <v>6952</v>
      </c>
      <c r="F104" s="2">
        <f>ROUND(E104*VLOOKUP($B$10,总产出!$T$4:$U$14,2,FALSE),0)</f>
        <v>695</v>
      </c>
      <c r="G104" s="2">
        <f t="shared" si="16"/>
        <v>25</v>
      </c>
      <c r="H104" s="2">
        <f t="shared" si="18"/>
        <v>1975</v>
      </c>
      <c r="I104" s="2" cm="1">
        <f t="array" ref="I104">IF(VLOOKUP($I$25,mission!$D$46:$F$60,3,FALSE)&lt;=$F$5*60/$C$7,INDEX(mission!$E$46:$E$60,MATCH($I$25,mission!$D$46:$D$60,0)),0)</f>
        <v>5</v>
      </c>
      <c r="J104" s="2" cm="1">
        <f t="array" ref="J104">IF(VLOOKUP($J$25,mission!$D$46:$F$60,3,FALSE)&lt;=$F$5*60/$C$7,INDEX(mission!$E$46:$E$60,MATCH($J$25,mission!$D$46:$D$60,0)),0)</f>
        <v>0</v>
      </c>
      <c r="K104" s="2" cm="1">
        <f t="array" ref="K104">IF(VLOOKUP($K$25,mission!$D$46:$F$60,3,FALSE)&lt;=$F$5*60/$C$7,INDEX(mission!$E$46:$E$60,MATCH($K$25,mission!$D$46:$D$60,0)),0)</f>
        <v>0</v>
      </c>
      <c r="L104" s="2" cm="1">
        <f t="array" ref="L104">IF(VLOOKUP($L$25,mission!$D$46:$F$60,3,FALSE)&lt;=$C$8,INDEX(mission!$E$46:$E$60,MATCH($L$25,mission!$D$46:$D$60,0)),0)</f>
        <v>5</v>
      </c>
      <c r="M104" s="2" cm="1">
        <f t="array" ref="M104">IF(VLOOKUP($M$25,mission!$D$46:$F$60,3,FALSE)&lt;=$C$8,INDEX(mission!$E$46:$E$60,MATCH($M$25,mission!$D$46:$D$60,0)),0)</f>
        <v>0</v>
      </c>
      <c r="N104" s="2" cm="1">
        <f t="array" ref="N104">IF(VLOOKUP($N$25,mission!$D$46:$F$60,3,FALSE)&lt;=$C$8,INDEX(mission!$E$46:$E$60,MATCH($N$25,mission!$D$46:$D$60,0)),0)</f>
        <v>0</v>
      </c>
      <c r="O104" s="2" cm="1">
        <f t="array" ref="O104">IF(VLOOKUP($O$25,mission!$D$46:$F$60,3,FALSE)&lt;=$C$8*$C$4,INDEX(mission!$E$46:$E$60,MATCH($O$25,mission!$D$46:$D$60,0)),0)</f>
        <v>0</v>
      </c>
      <c r="P104" s="2" cm="1">
        <f t="array" ref="P104">IF(VLOOKUP($P$25,mission!$D$46:$F$60,3,FALSE)&lt;=$C$8*$C$4,INDEX(mission!$E$46:$E$60,MATCH($P$25,mission!$D$46:$D$60,0)),0)</f>
        <v>0</v>
      </c>
      <c r="Q104" s="2" cm="1">
        <f t="array" ref="Q104">IF(VLOOKUP($Q$25,mission!$D$46:$F$60,3,FALSE)&lt;=$C$8*$C$4,INDEX(mission!$E$46:$E$60,MATCH($Q$25,mission!$D$46:$D$60,0)),0)</f>
        <v>0</v>
      </c>
      <c r="R104" s="2" cm="1">
        <f t="array" ref="R104">IF(VLOOKUP($R$25,mission!$D$46:$F$60,3,FALSE)&lt;=$F$5*60/$C$7,INDEX(mission!$E$46:$E$60,MATCH($R$25,mission!$D$46:$D$60,0)),0)</f>
        <v>5</v>
      </c>
      <c r="S104" s="2" cm="1">
        <f t="array" ref="S104">IF(VLOOKUP($S$25,mission!$D$46:$F$60,3,FALSE)&lt;=$F$5*60/$C$7,INDEX(mission!$E$46:$E$60,MATCH($S$25,mission!$D$46:$D$60,0)),0)</f>
        <v>0</v>
      </c>
      <c r="T104" s="2" cm="1">
        <f t="array" ref="T104">IF(VLOOKUP($T$25,mission!$D$46:$F$60,3,FALSE)&lt;=$F$5*60,INDEX(mission!$E$46:$E$60,MATCH($T$25,mission!$D$46:$D$60,0)),0)</f>
        <v>10</v>
      </c>
      <c r="U104" s="2" cm="1">
        <f t="array" ref="U104">IF(VLOOKUP($U$25,mission!$D$46:$F$60,3,FALSE)&lt;=$F$5*60,INDEX(mission!$E$46:$E$60,MATCH($U$25,mission!$D$46:$D$60,0)),0)</f>
        <v>0</v>
      </c>
      <c r="V104" s="2" cm="1">
        <f t="array" ref="V104">IF(VLOOKUP($V$25,mission!$D$46:$F$60,3,FALSE)&lt;=$F$5*60,INDEX(mission!$E$46:$E$60,MATCH($V$25,mission!$D$46:$D$60,0)),0)</f>
        <v>0</v>
      </c>
      <c r="W104" s="2" cm="1">
        <f t="array" ref="W104">IF(VLOOKUP($W$25,mission!$D$46:$F$60,3,FALSE)&lt;=$F$5*60,INDEX(mission!$E$46:$E$60,MATCH($W$25,mission!$D$46:$D$60,0)),0)</f>
        <v>0</v>
      </c>
    </row>
    <row r="105" s="1" customFormat="1" ht="18" customHeight="1" spans="2:23">
      <c r="B105" s="2">
        <v>80</v>
      </c>
      <c r="C105" s="2">
        <f t="shared" si="15"/>
        <v>80000</v>
      </c>
      <c r="D105" s="2">
        <f t="shared" si="19"/>
        <v>88</v>
      </c>
      <c r="E105" s="2">
        <f t="shared" si="17"/>
        <v>7040</v>
      </c>
      <c r="F105" s="2">
        <f>ROUND(E105*VLOOKUP($B$10,总产出!$T$4:$U$14,2,FALSE),0)</f>
        <v>704</v>
      </c>
      <c r="G105" s="2">
        <f t="shared" si="16"/>
        <v>25</v>
      </c>
      <c r="H105" s="2">
        <f t="shared" si="18"/>
        <v>2000</v>
      </c>
      <c r="I105" s="2" cm="1">
        <f t="array" ref="I105">IF(VLOOKUP($I$25,mission!$D$46:$F$60,3,FALSE)&lt;=$F$5*60/$C$7,INDEX(mission!$E$46:$E$60,MATCH($I$25,mission!$D$46:$D$60,0)),0)</f>
        <v>5</v>
      </c>
      <c r="J105" s="2" cm="1">
        <f t="array" ref="J105">IF(VLOOKUP($J$25,mission!$D$46:$F$60,3,FALSE)&lt;=$F$5*60/$C$7,INDEX(mission!$E$46:$E$60,MATCH($J$25,mission!$D$46:$D$60,0)),0)</f>
        <v>0</v>
      </c>
      <c r="K105" s="2" cm="1">
        <f t="array" ref="K105">IF(VLOOKUP($K$25,mission!$D$46:$F$60,3,FALSE)&lt;=$F$5*60/$C$7,INDEX(mission!$E$46:$E$60,MATCH($K$25,mission!$D$46:$D$60,0)),0)</f>
        <v>0</v>
      </c>
      <c r="L105" s="2" cm="1">
        <f t="array" ref="L105">IF(VLOOKUP($L$25,mission!$D$46:$F$60,3,FALSE)&lt;=$C$8,INDEX(mission!$E$46:$E$60,MATCH($L$25,mission!$D$46:$D$60,0)),0)</f>
        <v>5</v>
      </c>
      <c r="M105" s="2" cm="1">
        <f t="array" ref="M105">IF(VLOOKUP($M$25,mission!$D$46:$F$60,3,FALSE)&lt;=$C$8,INDEX(mission!$E$46:$E$60,MATCH($M$25,mission!$D$46:$D$60,0)),0)</f>
        <v>0</v>
      </c>
      <c r="N105" s="2" cm="1">
        <f t="array" ref="N105">IF(VLOOKUP($N$25,mission!$D$46:$F$60,3,FALSE)&lt;=$C$8,INDEX(mission!$E$46:$E$60,MATCH($N$25,mission!$D$46:$D$60,0)),0)</f>
        <v>0</v>
      </c>
      <c r="O105" s="2" cm="1">
        <f t="array" ref="O105">IF(VLOOKUP($O$25,mission!$D$46:$F$60,3,FALSE)&lt;=$C$8*$C$4,INDEX(mission!$E$46:$E$60,MATCH($O$25,mission!$D$46:$D$60,0)),0)</f>
        <v>0</v>
      </c>
      <c r="P105" s="2" cm="1">
        <f t="array" ref="P105">IF(VLOOKUP($P$25,mission!$D$46:$F$60,3,FALSE)&lt;=$C$8*$C$4,INDEX(mission!$E$46:$E$60,MATCH($P$25,mission!$D$46:$D$60,0)),0)</f>
        <v>0</v>
      </c>
      <c r="Q105" s="2" cm="1">
        <f t="array" ref="Q105">IF(VLOOKUP($Q$25,mission!$D$46:$F$60,3,FALSE)&lt;=$C$8*$C$4,INDEX(mission!$E$46:$E$60,MATCH($Q$25,mission!$D$46:$D$60,0)),0)</f>
        <v>0</v>
      </c>
      <c r="R105" s="2" cm="1">
        <f t="array" ref="R105">IF(VLOOKUP($R$25,mission!$D$46:$F$60,3,FALSE)&lt;=$F$5*60/$C$7,INDEX(mission!$E$46:$E$60,MATCH($R$25,mission!$D$46:$D$60,0)),0)</f>
        <v>5</v>
      </c>
      <c r="S105" s="2" cm="1">
        <f t="array" ref="S105">IF(VLOOKUP($S$25,mission!$D$46:$F$60,3,FALSE)&lt;=$F$5*60/$C$7,INDEX(mission!$E$46:$E$60,MATCH($S$25,mission!$D$46:$D$60,0)),0)</f>
        <v>0</v>
      </c>
      <c r="T105" s="2" cm="1">
        <f t="array" ref="T105">IF(VLOOKUP($T$25,mission!$D$46:$F$60,3,FALSE)&lt;=$F$5*60,INDEX(mission!$E$46:$E$60,MATCH($T$25,mission!$D$46:$D$60,0)),0)</f>
        <v>10</v>
      </c>
      <c r="U105" s="2" cm="1">
        <f t="array" ref="U105">IF(VLOOKUP($U$25,mission!$D$46:$F$60,3,FALSE)&lt;=$F$5*60,INDEX(mission!$E$46:$E$60,MATCH($U$25,mission!$D$46:$D$60,0)),0)</f>
        <v>0</v>
      </c>
      <c r="V105" s="2" cm="1">
        <f t="array" ref="V105">IF(VLOOKUP($V$25,mission!$D$46:$F$60,3,FALSE)&lt;=$F$5*60,INDEX(mission!$E$46:$E$60,MATCH($V$25,mission!$D$46:$D$60,0)),0)</f>
        <v>0</v>
      </c>
      <c r="W105" s="2" cm="1">
        <f t="array" ref="W105">IF(VLOOKUP($W$25,mission!$D$46:$F$60,3,FALSE)&lt;=$F$5*60,INDEX(mission!$E$46:$E$60,MATCH($W$25,mission!$D$46:$D$60,0)),0)</f>
        <v>0</v>
      </c>
    </row>
    <row r="106" s="1" customFormat="1" ht="18" customHeight="1" spans="2:23">
      <c r="B106" s="2">
        <v>81</v>
      </c>
      <c r="C106" s="2">
        <f t="shared" si="15"/>
        <v>81000</v>
      </c>
      <c r="D106" s="2">
        <f t="shared" si="19"/>
        <v>88</v>
      </c>
      <c r="E106" s="2">
        <f t="shared" si="17"/>
        <v>7128</v>
      </c>
      <c r="F106" s="2">
        <f>ROUND(E106*VLOOKUP($B$10,总产出!$T$4:$U$14,2,FALSE),0)</f>
        <v>713</v>
      </c>
      <c r="G106" s="2">
        <f t="shared" si="16"/>
        <v>25</v>
      </c>
      <c r="H106" s="2">
        <f t="shared" si="18"/>
        <v>2025</v>
      </c>
      <c r="I106" s="2" cm="1">
        <f t="array" ref="I106">IF(VLOOKUP($I$25,mission!$D$46:$F$60,3,FALSE)&lt;=$F$5*60/$C$7,INDEX(mission!$E$46:$E$60,MATCH($I$25,mission!$D$46:$D$60,0)),0)</f>
        <v>5</v>
      </c>
      <c r="J106" s="2" cm="1">
        <f t="array" ref="J106">IF(VLOOKUP($J$25,mission!$D$46:$F$60,3,FALSE)&lt;=$F$5*60/$C$7,INDEX(mission!$E$46:$E$60,MATCH($J$25,mission!$D$46:$D$60,0)),0)</f>
        <v>0</v>
      </c>
      <c r="K106" s="2" cm="1">
        <f t="array" ref="K106">IF(VLOOKUP($K$25,mission!$D$46:$F$60,3,FALSE)&lt;=$F$5*60/$C$7,INDEX(mission!$E$46:$E$60,MATCH($K$25,mission!$D$46:$D$60,0)),0)</f>
        <v>0</v>
      </c>
      <c r="L106" s="2" cm="1">
        <f t="array" ref="L106">IF(VLOOKUP($L$25,mission!$D$46:$F$60,3,FALSE)&lt;=$C$8,INDEX(mission!$E$46:$E$60,MATCH($L$25,mission!$D$46:$D$60,0)),0)</f>
        <v>5</v>
      </c>
      <c r="M106" s="2" cm="1">
        <f t="array" ref="M106">IF(VLOOKUP($M$25,mission!$D$46:$F$60,3,FALSE)&lt;=$C$8,INDEX(mission!$E$46:$E$60,MATCH($M$25,mission!$D$46:$D$60,0)),0)</f>
        <v>0</v>
      </c>
      <c r="N106" s="2" cm="1">
        <f t="array" ref="N106">IF(VLOOKUP($N$25,mission!$D$46:$F$60,3,FALSE)&lt;=$C$8,INDEX(mission!$E$46:$E$60,MATCH($N$25,mission!$D$46:$D$60,0)),0)</f>
        <v>0</v>
      </c>
      <c r="O106" s="2" cm="1">
        <f t="array" ref="O106">IF(VLOOKUP($O$25,mission!$D$46:$F$60,3,FALSE)&lt;=$C$8*$C$4,INDEX(mission!$E$46:$E$60,MATCH($O$25,mission!$D$46:$D$60,0)),0)</f>
        <v>0</v>
      </c>
      <c r="P106" s="2" cm="1">
        <f t="array" ref="P106">IF(VLOOKUP($P$25,mission!$D$46:$F$60,3,FALSE)&lt;=$C$8*$C$4,INDEX(mission!$E$46:$E$60,MATCH($P$25,mission!$D$46:$D$60,0)),0)</f>
        <v>0</v>
      </c>
      <c r="Q106" s="2" cm="1">
        <f t="array" ref="Q106">IF(VLOOKUP($Q$25,mission!$D$46:$F$60,3,FALSE)&lt;=$C$8*$C$4,INDEX(mission!$E$46:$E$60,MATCH($Q$25,mission!$D$46:$D$60,0)),0)</f>
        <v>0</v>
      </c>
      <c r="R106" s="2" cm="1">
        <f t="array" ref="R106">IF(VLOOKUP($R$25,mission!$D$46:$F$60,3,FALSE)&lt;=$F$5*60/$C$7,INDEX(mission!$E$46:$E$60,MATCH($R$25,mission!$D$46:$D$60,0)),0)</f>
        <v>5</v>
      </c>
      <c r="S106" s="2" cm="1">
        <f t="array" ref="S106">IF(VLOOKUP($S$25,mission!$D$46:$F$60,3,FALSE)&lt;=$F$5*60/$C$7,INDEX(mission!$E$46:$E$60,MATCH($S$25,mission!$D$46:$D$60,0)),0)</f>
        <v>0</v>
      </c>
      <c r="T106" s="2" cm="1">
        <f t="array" ref="T106">IF(VLOOKUP($T$25,mission!$D$46:$F$60,3,FALSE)&lt;=$F$5*60,INDEX(mission!$E$46:$E$60,MATCH($T$25,mission!$D$46:$D$60,0)),0)</f>
        <v>10</v>
      </c>
      <c r="U106" s="2" cm="1">
        <f t="array" ref="U106">IF(VLOOKUP($U$25,mission!$D$46:$F$60,3,FALSE)&lt;=$F$5*60,INDEX(mission!$E$46:$E$60,MATCH($U$25,mission!$D$46:$D$60,0)),0)</f>
        <v>0</v>
      </c>
      <c r="V106" s="2" cm="1">
        <f t="array" ref="V106">IF(VLOOKUP($V$25,mission!$D$46:$F$60,3,FALSE)&lt;=$F$5*60,INDEX(mission!$E$46:$E$60,MATCH($V$25,mission!$D$46:$D$60,0)),0)</f>
        <v>0</v>
      </c>
      <c r="W106" s="2" cm="1">
        <f t="array" ref="W106">IF(VLOOKUP($W$25,mission!$D$46:$F$60,3,FALSE)&lt;=$F$5*60,INDEX(mission!$E$46:$E$60,MATCH($W$25,mission!$D$46:$D$60,0)),0)</f>
        <v>0</v>
      </c>
    </row>
    <row r="107" s="1" customFormat="1" ht="18" customHeight="1" spans="2:23">
      <c r="B107" s="2">
        <v>82</v>
      </c>
      <c r="C107" s="2">
        <f t="shared" si="15"/>
        <v>82000</v>
      </c>
      <c r="D107" s="2">
        <f t="shared" ref="D107:D116" si="20">ROUND($C$8*$C$5+$C$8*$C$4*(1-$L$5),0)</f>
        <v>88</v>
      </c>
      <c r="E107" s="2">
        <f t="shared" si="17"/>
        <v>7216</v>
      </c>
      <c r="F107" s="2">
        <f>ROUND(E107*VLOOKUP($B$10,总产出!$T$4:$U$14,2,FALSE),0)</f>
        <v>722</v>
      </c>
      <c r="G107" s="2">
        <f t="shared" si="16"/>
        <v>25</v>
      </c>
      <c r="H107" s="2">
        <f t="shared" si="18"/>
        <v>2050</v>
      </c>
      <c r="I107" s="2" cm="1">
        <f t="array" ref="I107">IF(VLOOKUP($I$25,mission!$D$46:$F$60,3,FALSE)&lt;=$F$5*60/$C$7,INDEX(mission!$E$46:$E$60,MATCH($I$25,mission!$D$46:$D$60,0)),0)</f>
        <v>5</v>
      </c>
      <c r="J107" s="2" cm="1">
        <f t="array" ref="J107">IF(VLOOKUP($J$25,mission!$D$46:$F$60,3,FALSE)&lt;=$F$5*60/$C$7,INDEX(mission!$E$46:$E$60,MATCH($J$25,mission!$D$46:$D$60,0)),0)</f>
        <v>0</v>
      </c>
      <c r="K107" s="2" cm="1">
        <f t="array" ref="K107">IF(VLOOKUP($K$25,mission!$D$46:$F$60,3,FALSE)&lt;=$F$5*60/$C$7,INDEX(mission!$E$46:$E$60,MATCH($K$25,mission!$D$46:$D$60,0)),0)</f>
        <v>0</v>
      </c>
      <c r="L107" s="2" cm="1">
        <f t="array" ref="L107">IF(VLOOKUP($L$25,mission!$D$46:$F$60,3,FALSE)&lt;=$C$8,INDEX(mission!$E$46:$E$60,MATCH($L$25,mission!$D$46:$D$60,0)),0)</f>
        <v>5</v>
      </c>
      <c r="M107" s="2" cm="1">
        <f t="array" ref="M107">IF(VLOOKUP($M$25,mission!$D$46:$F$60,3,FALSE)&lt;=$C$8,INDEX(mission!$E$46:$E$60,MATCH($M$25,mission!$D$46:$D$60,0)),0)</f>
        <v>0</v>
      </c>
      <c r="N107" s="2" cm="1">
        <f t="array" ref="N107">IF(VLOOKUP($N$25,mission!$D$46:$F$60,3,FALSE)&lt;=$C$8,INDEX(mission!$E$46:$E$60,MATCH($N$25,mission!$D$46:$D$60,0)),0)</f>
        <v>0</v>
      </c>
      <c r="O107" s="2" cm="1">
        <f t="array" ref="O107">IF(VLOOKUP($O$25,mission!$D$46:$F$60,3,FALSE)&lt;=$C$8*$C$4,INDEX(mission!$E$46:$E$60,MATCH($O$25,mission!$D$46:$D$60,0)),0)</f>
        <v>0</v>
      </c>
      <c r="P107" s="2" cm="1">
        <f t="array" ref="P107">IF(VLOOKUP($P$25,mission!$D$46:$F$60,3,FALSE)&lt;=$C$8*$C$4,INDEX(mission!$E$46:$E$60,MATCH($P$25,mission!$D$46:$D$60,0)),0)</f>
        <v>0</v>
      </c>
      <c r="Q107" s="2" cm="1">
        <f t="array" ref="Q107">IF(VLOOKUP($Q$25,mission!$D$46:$F$60,3,FALSE)&lt;=$C$8*$C$4,INDEX(mission!$E$46:$E$60,MATCH($Q$25,mission!$D$46:$D$60,0)),0)</f>
        <v>0</v>
      </c>
      <c r="R107" s="2" cm="1">
        <f t="array" ref="R107">IF(VLOOKUP($R$25,mission!$D$46:$F$60,3,FALSE)&lt;=$F$5*60/$C$7,INDEX(mission!$E$46:$E$60,MATCH($R$25,mission!$D$46:$D$60,0)),0)</f>
        <v>5</v>
      </c>
      <c r="S107" s="2" cm="1">
        <f t="array" ref="S107">IF(VLOOKUP($S$25,mission!$D$46:$F$60,3,FALSE)&lt;=$F$5*60/$C$7,INDEX(mission!$E$46:$E$60,MATCH($S$25,mission!$D$46:$D$60,0)),0)</f>
        <v>0</v>
      </c>
      <c r="T107" s="2" cm="1">
        <f t="array" ref="T107">IF(VLOOKUP($T$25,mission!$D$46:$F$60,3,FALSE)&lt;=$F$5*60,INDEX(mission!$E$46:$E$60,MATCH($T$25,mission!$D$46:$D$60,0)),0)</f>
        <v>10</v>
      </c>
      <c r="U107" s="2" cm="1">
        <f t="array" ref="U107">IF(VLOOKUP($U$25,mission!$D$46:$F$60,3,FALSE)&lt;=$F$5*60,INDEX(mission!$E$46:$E$60,MATCH($U$25,mission!$D$46:$D$60,0)),0)</f>
        <v>0</v>
      </c>
      <c r="V107" s="2" cm="1">
        <f t="array" ref="V107">IF(VLOOKUP($V$25,mission!$D$46:$F$60,3,FALSE)&lt;=$F$5*60,INDEX(mission!$E$46:$E$60,MATCH($V$25,mission!$D$46:$D$60,0)),0)</f>
        <v>0</v>
      </c>
      <c r="W107" s="2" cm="1">
        <f t="array" ref="W107">IF(VLOOKUP($W$25,mission!$D$46:$F$60,3,FALSE)&lt;=$F$5*60,INDEX(mission!$E$46:$E$60,MATCH($W$25,mission!$D$46:$D$60,0)),0)</f>
        <v>0</v>
      </c>
    </row>
    <row r="108" s="1" customFormat="1" ht="18" customHeight="1" spans="2:23">
      <c r="B108" s="2">
        <v>83</v>
      </c>
      <c r="C108" s="2">
        <f t="shared" si="15"/>
        <v>83000</v>
      </c>
      <c r="D108" s="2">
        <f t="shared" si="20"/>
        <v>88</v>
      </c>
      <c r="E108" s="2">
        <f t="shared" si="17"/>
        <v>7304</v>
      </c>
      <c r="F108" s="2">
        <f>ROUND(E108*VLOOKUP($B$10,总产出!$T$4:$U$14,2,FALSE),0)</f>
        <v>730</v>
      </c>
      <c r="G108" s="2">
        <f t="shared" si="16"/>
        <v>25</v>
      </c>
      <c r="H108" s="2">
        <f t="shared" si="18"/>
        <v>2075</v>
      </c>
      <c r="I108" s="2" cm="1">
        <f t="array" ref="I108">IF(VLOOKUP($I$25,mission!$D$46:$F$60,3,FALSE)&lt;=$F$5*60/$C$7,INDEX(mission!$E$46:$E$60,MATCH($I$25,mission!$D$46:$D$60,0)),0)</f>
        <v>5</v>
      </c>
      <c r="J108" s="2" cm="1">
        <f t="array" ref="J108">IF(VLOOKUP($J$25,mission!$D$46:$F$60,3,FALSE)&lt;=$F$5*60/$C$7,INDEX(mission!$E$46:$E$60,MATCH($J$25,mission!$D$46:$D$60,0)),0)</f>
        <v>0</v>
      </c>
      <c r="K108" s="2" cm="1">
        <f t="array" ref="K108">IF(VLOOKUP($K$25,mission!$D$46:$F$60,3,FALSE)&lt;=$F$5*60/$C$7,INDEX(mission!$E$46:$E$60,MATCH($K$25,mission!$D$46:$D$60,0)),0)</f>
        <v>0</v>
      </c>
      <c r="L108" s="2" cm="1">
        <f t="array" ref="L108">IF(VLOOKUP($L$25,mission!$D$46:$F$60,3,FALSE)&lt;=$C$8,INDEX(mission!$E$46:$E$60,MATCH($L$25,mission!$D$46:$D$60,0)),0)</f>
        <v>5</v>
      </c>
      <c r="M108" s="2" cm="1">
        <f t="array" ref="M108">IF(VLOOKUP($M$25,mission!$D$46:$F$60,3,FALSE)&lt;=$C$8,INDEX(mission!$E$46:$E$60,MATCH($M$25,mission!$D$46:$D$60,0)),0)</f>
        <v>0</v>
      </c>
      <c r="N108" s="2" cm="1">
        <f t="array" ref="N108">IF(VLOOKUP($N$25,mission!$D$46:$F$60,3,FALSE)&lt;=$C$8,INDEX(mission!$E$46:$E$60,MATCH($N$25,mission!$D$46:$D$60,0)),0)</f>
        <v>0</v>
      </c>
      <c r="O108" s="2" cm="1">
        <f t="array" ref="O108">IF(VLOOKUP($O$25,mission!$D$46:$F$60,3,FALSE)&lt;=$C$8*$C$4,INDEX(mission!$E$46:$E$60,MATCH($O$25,mission!$D$46:$D$60,0)),0)</f>
        <v>0</v>
      </c>
      <c r="P108" s="2" cm="1">
        <f t="array" ref="P108">IF(VLOOKUP($P$25,mission!$D$46:$F$60,3,FALSE)&lt;=$C$8*$C$4,INDEX(mission!$E$46:$E$60,MATCH($P$25,mission!$D$46:$D$60,0)),0)</f>
        <v>0</v>
      </c>
      <c r="Q108" s="2" cm="1">
        <f t="array" ref="Q108">IF(VLOOKUP($Q$25,mission!$D$46:$F$60,3,FALSE)&lt;=$C$8*$C$4,INDEX(mission!$E$46:$E$60,MATCH($Q$25,mission!$D$46:$D$60,0)),0)</f>
        <v>0</v>
      </c>
      <c r="R108" s="2" cm="1">
        <f t="array" ref="R108">IF(VLOOKUP($R$25,mission!$D$46:$F$60,3,FALSE)&lt;=$F$5*60/$C$7,INDEX(mission!$E$46:$E$60,MATCH($R$25,mission!$D$46:$D$60,0)),0)</f>
        <v>5</v>
      </c>
      <c r="S108" s="2" cm="1">
        <f t="array" ref="S108">IF(VLOOKUP($S$25,mission!$D$46:$F$60,3,FALSE)&lt;=$F$5*60/$C$7,INDEX(mission!$E$46:$E$60,MATCH($S$25,mission!$D$46:$D$60,0)),0)</f>
        <v>0</v>
      </c>
      <c r="T108" s="2" cm="1">
        <f t="array" ref="T108">IF(VLOOKUP($T$25,mission!$D$46:$F$60,3,FALSE)&lt;=$F$5*60,INDEX(mission!$E$46:$E$60,MATCH($T$25,mission!$D$46:$D$60,0)),0)</f>
        <v>10</v>
      </c>
      <c r="U108" s="2" cm="1">
        <f t="array" ref="U108">IF(VLOOKUP($U$25,mission!$D$46:$F$60,3,FALSE)&lt;=$F$5*60,INDEX(mission!$E$46:$E$60,MATCH($U$25,mission!$D$46:$D$60,0)),0)</f>
        <v>0</v>
      </c>
      <c r="V108" s="2" cm="1">
        <f t="array" ref="V108">IF(VLOOKUP($V$25,mission!$D$46:$F$60,3,FALSE)&lt;=$F$5*60,INDEX(mission!$E$46:$E$60,MATCH($V$25,mission!$D$46:$D$60,0)),0)</f>
        <v>0</v>
      </c>
      <c r="W108" s="2" cm="1">
        <f t="array" ref="W108">IF(VLOOKUP($W$25,mission!$D$46:$F$60,3,FALSE)&lt;=$F$5*60,INDEX(mission!$E$46:$E$60,MATCH($W$25,mission!$D$46:$D$60,0)),0)</f>
        <v>0</v>
      </c>
    </row>
    <row r="109" s="1" customFormat="1" ht="18" customHeight="1" spans="2:23">
      <c r="B109" s="2">
        <v>84</v>
      </c>
      <c r="C109" s="2">
        <f t="shared" si="15"/>
        <v>84000</v>
      </c>
      <c r="D109" s="2">
        <f t="shared" si="20"/>
        <v>88</v>
      </c>
      <c r="E109" s="2">
        <f t="shared" si="17"/>
        <v>7392</v>
      </c>
      <c r="F109" s="2">
        <f>ROUND(E109*VLOOKUP($B$10,总产出!$T$4:$U$14,2,FALSE),0)</f>
        <v>739</v>
      </c>
      <c r="G109" s="2">
        <f t="shared" si="16"/>
        <v>25</v>
      </c>
      <c r="H109" s="2">
        <f t="shared" si="18"/>
        <v>2100</v>
      </c>
      <c r="I109" s="2" cm="1">
        <f t="array" ref="I109">IF(VLOOKUP($I$25,mission!$D$46:$F$60,3,FALSE)&lt;=$F$5*60/$C$7,INDEX(mission!$E$46:$E$60,MATCH($I$25,mission!$D$46:$D$60,0)),0)</f>
        <v>5</v>
      </c>
      <c r="J109" s="2" cm="1">
        <f t="array" ref="J109">IF(VLOOKUP($J$25,mission!$D$46:$F$60,3,FALSE)&lt;=$F$5*60/$C$7,INDEX(mission!$E$46:$E$60,MATCH($J$25,mission!$D$46:$D$60,0)),0)</f>
        <v>0</v>
      </c>
      <c r="K109" s="2" cm="1">
        <f t="array" ref="K109">IF(VLOOKUP($K$25,mission!$D$46:$F$60,3,FALSE)&lt;=$F$5*60/$C$7,INDEX(mission!$E$46:$E$60,MATCH($K$25,mission!$D$46:$D$60,0)),0)</f>
        <v>0</v>
      </c>
      <c r="L109" s="2" cm="1">
        <f t="array" ref="L109">IF(VLOOKUP($L$25,mission!$D$46:$F$60,3,FALSE)&lt;=$C$8,INDEX(mission!$E$46:$E$60,MATCH($L$25,mission!$D$46:$D$60,0)),0)</f>
        <v>5</v>
      </c>
      <c r="M109" s="2" cm="1">
        <f t="array" ref="M109">IF(VLOOKUP($M$25,mission!$D$46:$F$60,3,FALSE)&lt;=$C$8,INDEX(mission!$E$46:$E$60,MATCH($M$25,mission!$D$46:$D$60,0)),0)</f>
        <v>0</v>
      </c>
      <c r="N109" s="2" cm="1">
        <f t="array" ref="N109">IF(VLOOKUP($N$25,mission!$D$46:$F$60,3,FALSE)&lt;=$C$8,INDEX(mission!$E$46:$E$60,MATCH($N$25,mission!$D$46:$D$60,0)),0)</f>
        <v>0</v>
      </c>
      <c r="O109" s="2" cm="1">
        <f t="array" ref="O109">IF(VLOOKUP($O$25,mission!$D$46:$F$60,3,FALSE)&lt;=$C$8*$C$4,INDEX(mission!$E$46:$E$60,MATCH($O$25,mission!$D$46:$D$60,0)),0)</f>
        <v>0</v>
      </c>
      <c r="P109" s="2" cm="1">
        <f t="array" ref="P109">IF(VLOOKUP($P$25,mission!$D$46:$F$60,3,FALSE)&lt;=$C$8*$C$4,INDEX(mission!$E$46:$E$60,MATCH($P$25,mission!$D$46:$D$60,0)),0)</f>
        <v>0</v>
      </c>
      <c r="Q109" s="2" cm="1">
        <f t="array" ref="Q109">IF(VLOOKUP($Q$25,mission!$D$46:$F$60,3,FALSE)&lt;=$C$8*$C$4,INDEX(mission!$E$46:$E$60,MATCH($Q$25,mission!$D$46:$D$60,0)),0)</f>
        <v>0</v>
      </c>
      <c r="R109" s="2" cm="1">
        <f t="array" ref="R109">IF(VLOOKUP($R$25,mission!$D$46:$F$60,3,FALSE)&lt;=$F$5*60/$C$7,INDEX(mission!$E$46:$E$60,MATCH($R$25,mission!$D$46:$D$60,0)),0)</f>
        <v>5</v>
      </c>
      <c r="S109" s="2" cm="1">
        <f t="array" ref="S109">IF(VLOOKUP($S$25,mission!$D$46:$F$60,3,FALSE)&lt;=$F$5*60/$C$7,INDEX(mission!$E$46:$E$60,MATCH($S$25,mission!$D$46:$D$60,0)),0)</f>
        <v>0</v>
      </c>
      <c r="T109" s="2" cm="1">
        <f t="array" ref="T109">IF(VLOOKUP($T$25,mission!$D$46:$F$60,3,FALSE)&lt;=$F$5*60,INDEX(mission!$E$46:$E$60,MATCH($T$25,mission!$D$46:$D$60,0)),0)</f>
        <v>10</v>
      </c>
      <c r="U109" s="2" cm="1">
        <f t="array" ref="U109">IF(VLOOKUP($U$25,mission!$D$46:$F$60,3,FALSE)&lt;=$F$5*60,INDEX(mission!$E$46:$E$60,MATCH($U$25,mission!$D$46:$D$60,0)),0)</f>
        <v>0</v>
      </c>
      <c r="V109" s="2" cm="1">
        <f t="array" ref="V109">IF(VLOOKUP($V$25,mission!$D$46:$F$60,3,FALSE)&lt;=$F$5*60,INDEX(mission!$E$46:$E$60,MATCH($V$25,mission!$D$46:$D$60,0)),0)</f>
        <v>0</v>
      </c>
      <c r="W109" s="2" cm="1">
        <f t="array" ref="W109">IF(VLOOKUP($W$25,mission!$D$46:$F$60,3,FALSE)&lt;=$F$5*60,INDEX(mission!$E$46:$E$60,MATCH($W$25,mission!$D$46:$D$60,0)),0)</f>
        <v>0</v>
      </c>
    </row>
    <row r="110" s="1" customFormat="1" ht="18" customHeight="1" spans="2:23">
      <c r="B110" s="2">
        <v>85</v>
      </c>
      <c r="C110" s="2">
        <f t="shared" si="15"/>
        <v>85000</v>
      </c>
      <c r="D110" s="2">
        <f t="shared" si="20"/>
        <v>88</v>
      </c>
      <c r="E110" s="2">
        <f t="shared" si="17"/>
        <v>7480</v>
      </c>
      <c r="F110" s="2">
        <f>ROUND(E110*VLOOKUP($B$10,总产出!$T$4:$U$14,2,FALSE),0)</f>
        <v>748</v>
      </c>
      <c r="G110" s="2">
        <f t="shared" si="16"/>
        <v>25</v>
      </c>
      <c r="H110" s="2">
        <f t="shared" si="18"/>
        <v>2125</v>
      </c>
      <c r="I110" s="2" cm="1">
        <f t="array" ref="I110">IF(VLOOKUP($I$25,mission!$D$46:$F$60,3,FALSE)&lt;=$F$5*60/$C$7,INDEX(mission!$E$46:$E$60,MATCH($I$25,mission!$D$46:$D$60,0)),0)</f>
        <v>5</v>
      </c>
      <c r="J110" s="2" cm="1">
        <f t="array" ref="J110">IF(VLOOKUP($J$25,mission!$D$46:$F$60,3,FALSE)&lt;=$F$5*60/$C$7,INDEX(mission!$E$46:$E$60,MATCH($J$25,mission!$D$46:$D$60,0)),0)</f>
        <v>0</v>
      </c>
      <c r="K110" s="2" cm="1">
        <f t="array" ref="K110">IF(VLOOKUP($K$25,mission!$D$46:$F$60,3,FALSE)&lt;=$F$5*60/$C$7,INDEX(mission!$E$46:$E$60,MATCH($K$25,mission!$D$46:$D$60,0)),0)</f>
        <v>0</v>
      </c>
      <c r="L110" s="2" cm="1">
        <f t="array" ref="L110">IF(VLOOKUP($L$25,mission!$D$46:$F$60,3,FALSE)&lt;=$C$8,INDEX(mission!$E$46:$E$60,MATCH($L$25,mission!$D$46:$D$60,0)),0)</f>
        <v>5</v>
      </c>
      <c r="M110" s="2" cm="1">
        <f t="array" ref="M110">IF(VLOOKUP($M$25,mission!$D$46:$F$60,3,FALSE)&lt;=$C$8,INDEX(mission!$E$46:$E$60,MATCH($M$25,mission!$D$46:$D$60,0)),0)</f>
        <v>0</v>
      </c>
      <c r="N110" s="2" cm="1">
        <f t="array" ref="N110">IF(VLOOKUP($N$25,mission!$D$46:$F$60,3,FALSE)&lt;=$C$8,INDEX(mission!$E$46:$E$60,MATCH($N$25,mission!$D$46:$D$60,0)),0)</f>
        <v>0</v>
      </c>
      <c r="O110" s="2" cm="1">
        <f t="array" ref="O110">IF(VLOOKUP($O$25,mission!$D$46:$F$60,3,FALSE)&lt;=$C$8*$C$4,INDEX(mission!$E$46:$E$60,MATCH($O$25,mission!$D$46:$D$60,0)),0)</f>
        <v>0</v>
      </c>
      <c r="P110" s="2" cm="1">
        <f t="array" ref="P110">IF(VLOOKUP($P$25,mission!$D$46:$F$60,3,FALSE)&lt;=$C$8*$C$4,INDEX(mission!$E$46:$E$60,MATCH($P$25,mission!$D$46:$D$60,0)),0)</f>
        <v>0</v>
      </c>
      <c r="Q110" s="2" cm="1">
        <f t="array" ref="Q110">IF(VLOOKUP($Q$25,mission!$D$46:$F$60,3,FALSE)&lt;=$C$8*$C$4,INDEX(mission!$E$46:$E$60,MATCH($Q$25,mission!$D$46:$D$60,0)),0)</f>
        <v>0</v>
      </c>
      <c r="R110" s="2" cm="1">
        <f t="array" ref="R110">IF(VLOOKUP($R$25,mission!$D$46:$F$60,3,FALSE)&lt;=$F$5*60/$C$7,INDEX(mission!$E$46:$E$60,MATCH($R$25,mission!$D$46:$D$60,0)),0)</f>
        <v>5</v>
      </c>
      <c r="S110" s="2" cm="1">
        <f t="array" ref="S110">IF(VLOOKUP($S$25,mission!$D$46:$F$60,3,FALSE)&lt;=$F$5*60/$C$7,INDEX(mission!$E$46:$E$60,MATCH($S$25,mission!$D$46:$D$60,0)),0)</f>
        <v>0</v>
      </c>
      <c r="T110" s="2" cm="1">
        <f t="array" ref="T110">IF(VLOOKUP($T$25,mission!$D$46:$F$60,3,FALSE)&lt;=$F$5*60,INDEX(mission!$E$46:$E$60,MATCH($T$25,mission!$D$46:$D$60,0)),0)</f>
        <v>10</v>
      </c>
      <c r="U110" s="2" cm="1">
        <f t="array" ref="U110">IF(VLOOKUP($U$25,mission!$D$46:$F$60,3,FALSE)&lt;=$F$5*60,INDEX(mission!$E$46:$E$60,MATCH($U$25,mission!$D$46:$D$60,0)),0)</f>
        <v>0</v>
      </c>
      <c r="V110" s="2" cm="1">
        <f t="array" ref="V110">IF(VLOOKUP($V$25,mission!$D$46:$F$60,3,FALSE)&lt;=$F$5*60,INDEX(mission!$E$46:$E$60,MATCH($V$25,mission!$D$46:$D$60,0)),0)</f>
        <v>0</v>
      </c>
      <c r="W110" s="2" cm="1">
        <f t="array" ref="W110">IF(VLOOKUP($W$25,mission!$D$46:$F$60,3,FALSE)&lt;=$F$5*60,INDEX(mission!$E$46:$E$60,MATCH($W$25,mission!$D$46:$D$60,0)),0)</f>
        <v>0</v>
      </c>
    </row>
    <row r="111" s="1" customFormat="1" ht="18" customHeight="1" spans="2:23">
      <c r="B111" s="2">
        <v>86</v>
      </c>
      <c r="C111" s="2">
        <f t="shared" si="15"/>
        <v>86000</v>
      </c>
      <c r="D111" s="2">
        <f t="shared" si="20"/>
        <v>88</v>
      </c>
      <c r="E111" s="2">
        <f t="shared" si="17"/>
        <v>7568</v>
      </c>
      <c r="F111" s="2">
        <f>ROUND(E111*VLOOKUP($B$10,总产出!$T$4:$U$14,2,FALSE),0)</f>
        <v>757</v>
      </c>
      <c r="G111" s="2">
        <f t="shared" si="16"/>
        <v>25</v>
      </c>
      <c r="H111" s="2">
        <f t="shared" si="18"/>
        <v>2150</v>
      </c>
      <c r="I111" s="2" cm="1">
        <f t="array" ref="I111">IF(VLOOKUP($I$25,mission!$D$46:$F$60,3,FALSE)&lt;=$F$5*60/$C$7,INDEX(mission!$E$46:$E$60,MATCH($I$25,mission!$D$46:$D$60,0)),0)</f>
        <v>5</v>
      </c>
      <c r="J111" s="2" cm="1">
        <f t="array" ref="J111">IF(VLOOKUP($J$25,mission!$D$46:$F$60,3,FALSE)&lt;=$F$5*60/$C$7,INDEX(mission!$E$46:$E$60,MATCH($J$25,mission!$D$46:$D$60,0)),0)</f>
        <v>0</v>
      </c>
      <c r="K111" s="2" cm="1">
        <f t="array" ref="K111">IF(VLOOKUP($K$25,mission!$D$46:$F$60,3,FALSE)&lt;=$F$5*60/$C$7,INDEX(mission!$E$46:$E$60,MATCH($K$25,mission!$D$46:$D$60,0)),0)</f>
        <v>0</v>
      </c>
      <c r="L111" s="2" cm="1">
        <f t="array" ref="L111">IF(VLOOKUP($L$25,mission!$D$46:$F$60,3,FALSE)&lt;=$C$8,INDEX(mission!$E$46:$E$60,MATCH($L$25,mission!$D$46:$D$60,0)),0)</f>
        <v>5</v>
      </c>
      <c r="M111" s="2" cm="1">
        <f t="array" ref="M111">IF(VLOOKUP($M$25,mission!$D$46:$F$60,3,FALSE)&lt;=$C$8,INDEX(mission!$E$46:$E$60,MATCH($M$25,mission!$D$46:$D$60,0)),0)</f>
        <v>0</v>
      </c>
      <c r="N111" s="2" cm="1">
        <f t="array" ref="N111">IF(VLOOKUP($N$25,mission!$D$46:$F$60,3,FALSE)&lt;=$C$8,INDEX(mission!$E$46:$E$60,MATCH($N$25,mission!$D$46:$D$60,0)),0)</f>
        <v>0</v>
      </c>
      <c r="O111" s="2" cm="1">
        <f t="array" ref="O111">IF(VLOOKUP($O$25,mission!$D$46:$F$60,3,FALSE)&lt;=$C$8*$C$4,INDEX(mission!$E$46:$E$60,MATCH($O$25,mission!$D$46:$D$60,0)),0)</f>
        <v>0</v>
      </c>
      <c r="P111" s="2" cm="1">
        <f t="array" ref="P111">IF(VLOOKUP($P$25,mission!$D$46:$F$60,3,FALSE)&lt;=$C$8*$C$4,INDEX(mission!$E$46:$E$60,MATCH($P$25,mission!$D$46:$D$60,0)),0)</f>
        <v>0</v>
      </c>
      <c r="Q111" s="2" cm="1">
        <f t="array" ref="Q111">IF(VLOOKUP($Q$25,mission!$D$46:$F$60,3,FALSE)&lt;=$C$8*$C$4,INDEX(mission!$E$46:$E$60,MATCH($Q$25,mission!$D$46:$D$60,0)),0)</f>
        <v>0</v>
      </c>
      <c r="R111" s="2" cm="1">
        <f t="array" ref="R111">IF(VLOOKUP($R$25,mission!$D$46:$F$60,3,FALSE)&lt;=$F$5*60/$C$7,INDEX(mission!$E$46:$E$60,MATCH($R$25,mission!$D$46:$D$60,0)),0)</f>
        <v>5</v>
      </c>
      <c r="S111" s="2" cm="1">
        <f t="array" ref="S111">IF(VLOOKUP($S$25,mission!$D$46:$F$60,3,FALSE)&lt;=$F$5*60/$C$7,INDEX(mission!$E$46:$E$60,MATCH($S$25,mission!$D$46:$D$60,0)),0)</f>
        <v>0</v>
      </c>
      <c r="T111" s="2" cm="1">
        <f t="array" ref="T111">IF(VLOOKUP($T$25,mission!$D$46:$F$60,3,FALSE)&lt;=$F$5*60,INDEX(mission!$E$46:$E$60,MATCH($T$25,mission!$D$46:$D$60,0)),0)</f>
        <v>10</v>
      </c>
      <c r="U111" s="2" cm="1">
        <f t="array" ref="U111">IF(VLOOKUP($U$25,mission!$D$46:$F$60,3,FALSE)&lt;=$F$5*60,INDEX(mission!$E$46:$E$60,MATCH($U$25,mission!$D$46:$D$60,0)),0)</f>
        <v>0</v>
      </c>
      <c r="V111" s="2" cm="1">
        <f t="array" ref="V111">IF(VLOOKUP($V$25,mission!$D$46:$F$60,3,FALSE)&lt;=$F$5*60,INDEX(mission!$E$46:$E$60,MATCH($V$25,mission!$D$46:$D$60,0)),0)</f>
        <v>0</v>
      </c>
      <c r="W111" s="2" cm="1">
        <f t="array" ref="W111">IF(VLOOKUP($W$25,mission!$D$46:$F$60,3,FALSE)&lt;=$F$5*60,INDEX(mission!$E$46:$E$60,MATCH($W$25,mission!$D$46:$D$60,0)),0)</f>
        <v>0</v>
      </c>
    </row>
    <row r="112" s="1" customFormat="1" ht="18" customHeight="1" spans="2:23">
      <c r="B112" s="2">
        <v>87</v>
      </c>
      <c r="C112" s="2">
        <f t="shared" si="15"/>
        <v>87000</v>
      </c>
      <c r="D112" s="2">
        <f t="shared" si="20"/>
        <v>88</v>
      </c>
      <c r="E112" s="2">
        <f t="shared" si="17"/>
        <v>7656</v>
      </c>
      <c r="F112" s="2">
        <f>ROUND(E112*VLOOKUP($B$10,总产出!$T$4:$U$14,2,FALSE),0)</f>
        <v>766</v>
      </c>
      <c r="G112" s="2">
        <f t="shared" si="16"/>
        <v>25</v>
      </c>
      <c r="H112" s="2">
        <f t="shared" si="18"/>
        <v>2175</v>
      </c>
      <c r="I112" s="2" cm="1">
        <f t="array" ref="I112">IF(VLOOKUP($I$25,mission!$D$46:$F$60,3,FALSE)&lt;=$F$5*60/$C$7,INDEX(mission!$E$46:$E$60,MATCH($I$25,mission!$D$46:$D$60,0)),0)</f>
        <v>5</v>
      </c>
      <c r="J112" s="2" cm="1">
        <f t="array" ref="J112">IF(VLOOKUP($J$25,mission!$D$46:$F$60,3,FALSE)&lt;=$F$5*60/$C$7,INDEX(mission!$E$46:$E$60,MATCH($J$25,mission!$D$46:$D$60,0)),0)</f>
        <v>0</v>
      </c>
      <c r="K112" s="2" cm="1">
        <f t="array" ref="K112">IF(VLOOKUP($K$25,mission!$D$46:$F$60,3,FALSE)&lt;=$F$5*60/$C$7,INDEX(mission!$E$46:$E$60,MATCH($K$25,mission!$D$46:$D$60,0)),0)</f>
        <v>0</v>
      </c>
      <c r="L112" s="2" cm="1">
        <f t="array" ref="L112">IF(VLOOKUP($L$25,mission!$D$46:$F$60,3,FALSE)&lt;=$C$8,INDEX(mission!$E$46:$E$60,MATCH($L$25,mission!$D$46:$D$60,0)),0)</f>
        <v>5</v>
      </c>
      <c r="M112" s="2" cm="1">
        <f t="array" ref="M112">IF(VLOOKUP($M$25,mission!$D$46:$F$60,3,FALSE)&lt;=$C$8,INDEX(mission!$E$46:$E$60,MATCH($M$25,mission!$D$46:$D$60,0)),0)</f>
        <v>0</v>
      </c>
      <c r="N112" s="2" cm="1">
        <f t="array" ref="N112">IF(VLOOKUP($N$25,mission!$D$46:$F$60,3,FALSE)&lt;=$C$8,INDEX(mission!$E$46:$E$60,MATCH($N$25,mission!$D$46:$D$60,0)),0)</f>
        <v>0</v>
      </c>
      <c r="O112" s="2" cm="1">
        <f t="array" ref="O112">IF(VLOOKUP($O$25,mission!$D$46:$F$60,3,FALSE)&lt;=$C$8*$C$4,INDEX(mission!$E$46:$E$60,MATCH($O$25,mission!$D$46:$D$60,0)),0)</f>
        <v>0</v>
      </c>
      <c r="P112" s="2" cm="1">
        <f t="array" ref="P112">IF(VLOOKUP($P$25,mission!$D$46:$F$60,3,FALSE)&lt;=$C$8*$C$4,INDEX(mission!$E$46:$E$60,MATCH($P$25,mission!$D$46:$D$60,0)),0)</f>
        <v>0</v>
      </c>
      <c r="Q112" s="2" cm="1">
        <f t="array" ref="Q112">IF(VLOOKUP($Q$25,mission!$D$46:$F$60,3,FALSE)&lt;=$C$8*$C$4,INDEX(mission!$E$46:$E$60,MATCH($Q$25,mission!$D$46:$D$60,0)),0)</f>
        <v>0</v>
      </c>
      <c r="R112" s="2" cm="1">
        <f t="array" ref="R112">IF(VLOOKUP($R$25,mission!$D$46:$F$60,3,FALSE)&lt;=$F$5*60/$C$7,INDEX(mission!$E$46:$E$60,MATCH($R$25,mission!$D$46:$D$60,0)),0)</f>
        <v>5</v>
      </c>
      <c r="S112" s="2" cm="1">
        <f t="array" ref="S112">IF(VLOOKUP($S$25,mission!$D$46:$F$60,3,FALSE)&lt;=$F$5*60/$C$7,INDEX(mission!$E$46:$E$60,MATCH($S$25,mission!$D$46:$D$60,0)),0)</f>
        <v>0</v>
      </c>
      <c r="T112" s="2" cm="1">
        <f t="array" ref="T112">IF(VLOOKUP($T$25,mission!$D$46:$F$60,3,FALSE)&lt;=$F$5*60,INDEX(mission!$E$46:$E$60,MATCH($T$25,mission!$D$46:$D$60,0)),0)</f>
        <v>10</v>
      </c>
      <c r="U112" s="2" cm="1">
        <f t="array" ref="U112">IF(VLOOKUP($U$25,mission!$D$46:$F$60,3,FALSE)&lt;=$F$5*60,INDEX(mission!$E$46:$E$60,MATCH($U$25,mission!$D$46:$D$60,0)),0)</f>
        <v>0</v>
      </c>
      <c r="V112" s="2" cm="1">
        <f t="array" ref="V112">IF(VLOOKUP($V$25,mission!$D$46:$F$60,3,FALSE)&lt;=$F$5*60,INDEX(mission!$E$46:$E$60,MATCH($V$25,mission!$D$46:$D$60,0)),0)</f>
        <v>0</v>
      </c>
      <c r="W112" s="2" cm="1">
        <f t="array" ref="W112">IF(VLOOKUP($W$25,mission!$D$46:$F$60,3,FALSE)&lt;=$F$5*60,INDEX(mission!$E$46:$E$60,MATCH($W$25,mission!$D$46:$D$60,0)),0)</f>
        <v>0</v>
      </c>
    </row>
    <row r="113" s="1" customFormat="1" ht="18" customHeight="1" spans="2:23">
      <c r="B113" s="2">
        <v>88</v>
      </c>
      <c r="C113" s="2">
        <f t="shared" si="15"/>
        <v>88000</v>
      </c>
      <c r="D113" s="2">
        <f t="shared" si="20"/>
        <v>88</v>
      </c>
      <c r="E113" s="2">
        <f t="shared" si="17"/>
        <v>7744</v>
      </c>
      <c r="F113" s="2">
        <f>ROUND(E113*VLOOKUP($B$10,总产出!$T$4:$U$14,2,FALSE),0)</f>
        <v>774</v>
      </c>
      <c r="G113" s="2">
        <f t="shared" si="16"/>
        <v>25</v>
      </c>
      <c r="H113" s="2">
        <f t="shared" si="18"/>
        <v>2200</v>
      </c>
      <c r="I113" s="2" cm="1">
        <f t="array" ref="I113">IF(VLOOKUP($I$25,mission!$D$46:$F$60,3,FALSE)&lt;=$F$5*60/$C$7,INDEX(mission!$E$46:$E$60,MATCH($I$25,mission!$D$46:$D$60,0)),0)</f>
        <v>5</v>
      </c>
      <c r="J113" s="2" cm="1">
        <f t="array" ref="J113">IF(VLOOKUP($J$25,mission!$D$46:$F$60,3,FALSE)&lt;=$F$5*60/$C$7,INDEX(mission!$E$46:$E$60,MATCH($J$25,mission!$D$46:$D$60,0)),0)</f>
        <v>0</v>
      </c>
      <c r="K113" s="2" cm="1">
        <f t="array" ref="K113">IF(VLOOKUP($K$25,mission!$D$46:$F$60,3,FALSE)&lt;=$F$5*60/$C$7,INDEX(mission!$E$46:$E$60,MATCH($K$25,mission!$D$46:$D$60,0)),0)</f>
        <v>0</v>
      </c>
      <c r="L113" s="2" cm="1">
        <f t="array" ref="L113">IF(VLOOKUP($L$25,mission!$D$46:$F$60,3,FALSE)&lt;=$C$8,INDEX(mission!$E$46:$E$60,MATCH($L$25,mission!$D$46:$D$60,0)),0)</f>
        <v>5</v>
      </c>
      <c r="M113" s="2" cm="1">
        <f t="array" ref="M113">IF(VLOOKUP($M$25,mission!$D$46:$F$60,3,FALSE)&lt;=$C$8,INDEX(mission!$E$46:$E$60,MATCH($M$25,mission!$D$46:$D$60,0)),0)</f>
        <v>0</v>
      </c>
      <c r="N113" s="2" cm="1">
        <f t="array" ref="N113">IF(VLOOKUP($N$25,mission!$D$46:$F$60,3,FALSE)&lt;=$C$8,INDEX(mission!$E$46:$E$60,MATCH($N$25,mission!$D$46:$D$60,0)),0)</f>
        <v>0</v>
      </c>
      <c r="O113" s="2" cm="1">
        <f t="array" ref="O113">IF(VLOOKUP($O$25,mission!$D$46:$F$60,3,FALSE)&lt;=$C$8*$C$4,INDEX(mission!$E$46:$E$60,MATCH($O$25,mission!$D$46:$D$60,0)),0)</f>
        <v>0</v>
      </c>
      <c r="P113" s="2" cm="1">
        <f t="array" ref="P113">IF(VLOOKUP($P$25,mission!$D$46:$F$60,3,FALSE)&lt;=$C$8*$C$4,INDEX(mission!$E$46:$E$60,MATCH($P$25,mission!$D$46:$D$60,0)),0)</f>
        <v>0</v>
      </c>
      <c r="Q113" s="2" cm="1">
        <f t="array" ref="Q113">IF(VLOOKUP($Q$25,mission!$D$46:$F$60,3,FALSE)&lt;=$C$8*$C$4,INDEX(mission!$E$46:$E$60,MATCH($Q$25,mission!$D$46:$D$60,0)),0)</f>
        <v>0</v>
      </c>
      <c r="R113" s="2" cm="1">
        <f t="array" ref="R113">IF(VLOOKUP($R$25,mission!$D$46:$F$60,3,FALSE)&lt;=$F$5*60/$C$7,INDEX(mission!$E$46:$E$60,MATCH($R$25,mission!$D$46:$D$60,0)),0)</f>
        <v>5</v>
      </c>
      <c r="S113" s="2" cm="1">
        <f t="array" ref="S113">IF(VLOOKUP($S$25,mission!$D$46:$F$60,3,FALSE)&lt;=$F$5*60/$C$7,INDEX(mission!$E$46:$E$60,MATCH($S$25,mission!$D$46:$D$60,0)),0)</f>
        <v>0</v>
      </c>
      <c r="T113" s="2" cm="1">
        <f t="array" ref="T113">IF(VLOOKUP($T$25,mission!$D$46:$F$60,3,FALSE)&lt;=$F$5*60,INDEX(mission!$E$46:$E$60,MATCH($T$25,mission!$D$46:$D$60,0)),0)</f>
        <v>10</v>
      </c>
      <c r="U113" s="2" cm="1">
        <f t="array" ref="U113">IF(VLOOKUP($U$25,mission!$D$46:$F$60,3,FALSE)&lt;=$F$5*60,INDEX(mission!$E$46:$E$60,MATCH($U$25,mission!$D$46:$D$60,0)),0)</f>
        <v>0</v>
      </c>
      <c r="V113" s="2" cm="1">
        <f t="array" ref="V113">IF(VLOOKUP($V$25,mission!$D$46:$F$60,3,FALSE)&lt;=$F$5*60,INDEX(mission!$E$46:$E$60,MATCH($V$25,mission!$D$46:$D$60,0)),0)</f>
        <v>0</v>
      </c>
      <c r="W113" s="2" cm="1">
        <f t="array" ref="W113">IF(VLOOKUP($W$25,mission!$D$46:$F$60,3,FALSE)&lt;=$F$5*60,INDEX(mission!$E$46:$E$60,MATCH($W$25,mission!$D$46:$D$60,0)),0)</f>
        <v>0</v>
      </c>
    </row>
    <row r="114" s="1" customFormat="1" ht="18" customHeight="1" spans="2:23">
      <c r="B114" s="2">
        <v>89</v>
      </c>
      <c r="C114" s="2">
        <f t="shared" si="15"/>
        <v>89000</v>
      </c>
      <c r="D114" s="2">
        <f t="shared" si="20"/>
        <v>88</v>
      </c>
      <c r="E114" s="2">
        <f t="shared" si="17"/>
        <v>7832</v>
      </c>
      <c r="F114" s="2">
        <f>ROUND(E114*VLOOKUP($B$10,总产出!$T$4:$U$14,2,FALSE),0)</f>
        <v>783</v>
      </c>
      <c r="G114" s="2">
        <f t="shared" si="16"/>
        <v>25</v>
      </c>
      <c r="H114" s="2">
        <f t="shared" si="18"/>
        <v>2225</v>
      </c>
      <c r="I114" s="2" cm="1">
        <f t="array" ref="I114">IF(VLOOKUP($I$25,mission!$D$46:$F$60,3,FALSE)&lt;=$F$5*60/$C$7,INDEX(mission!$E$46:$E$60,MATCH($I$25,mission!$D$46:$D$60,0)),0)</f>
        <v>5</v>
      </c>
      <c r="J114" s="2" cm="1">
        <f t="array" ref="J114">IF(VLOOKUP($J$25,mission!$D$46:$F$60,3,FALSE)&lt;=$F$5*60/$C$7,INDEX(mission!$E$46:$E$60,MATCH($J$25,mission!$D$46:$D$60,0)),0)</f>
        <v>0</v>
      </c>
      <c r="K114" s="2" cm="1">
        <f t="array" ref="K114">IF(VLOOKUP($K$25,mission!$D$46:$F$60,3,FALSE)&lt;=$F$5*60/$C$7,INDEX(mission!$E$46:$E$60,MATCH($K$25,mission!$D$46:$D$60,0)),0)</f>
        <v>0</v>
      </c>
      <c r="L114" s="2" cm="1">
        <f t="array" ref="L114">IF(VLOOKUP($L$25,mission!$D$46:$F$60,3,FALSE)&lt;=$C$8,INDEX(mission!$E$46:$E$60,MATCH($L$25,mission!$D$46:$D$60,0)),0)</f>
        <v>5</v>
      </c>
      <c r="M114" s="2" cm="1">
        <f t="array" ref="M114">IF(VLOOKUP($M$25,mission!$D$46:$F$60,3,FALSE)&lt;=$C$8,INDEX(mission!$E$46:$E$60,MATCH($M$25,mission!$D$46:$D$60,0)),0)</f>
        <v>0</v>
      </c>
      <c r="N114" s="2" cm="1">
        <f t="array" ref="N114">IF(VLOOKUP($N$25,mission!$D$46:$F$60,3,FALSE)&lt;=$C$8,INDEX(mission!$E$46:$E$60,MATCH($N$25,mission!$D$46:$D$60,0)),0)</f>
        <v>0</v>
      </c>
      <c r="O114" s="2" cm="1">
        <f t="array" ref="O114">IF(VLOOKUP($O$25,mission!$D$46:$F$60,3,FALSE)&lt;=$C$8*$C$4,INDEX(mission!$E$46:$E$60,MATCH($O$25,mission!$D$46:$D$60,0)),0)</f>
        <v>0</v>
      </c>
      <c r="P114" s="2" cm="1">
        <f t="array" ref="P114">IF(VLOOKUP($P$25,mission!$D$46:$F$60,3,FALSE)&lt;=$C$8*$C$4,INDEX(mission!$E$46:$E$60,MATCH($P$25,mission!$D$46:$D$60,0)),0)</f>
        <v>0</v>
      </c>
      <c r="Q114" s="2" cm="1">
        <f t="array" ref="Q114">IF(VLOOKUP($Q$25,mission!$D$46:$F$60,3,FALSE)&lt;=$C$8*$C$4,INDEX(mission!$E$46:$E$60,MATCH($Q$25,mission!$D$46:$D$60,0)),0)</f>
        <v>0</v>
      </c>
      <c r="R114" s="2" cm="1">
        <f t="array" ref="R114">IF(VLOOKUP($R$25,mission!$D$46:$F$60,3,FALSE)&lt;=$F$5*60/$C$7,INDEX(mission!$E$46:$E$60,MATCH($R$25,mission!$D$46:$D$60,0)),0)</f>
        <v>5</v>
      </c>
      <c r="S114" s="2" cm="1">
        <f t="array" ref="S114">IF(VLOOKUP($S$25,mission!$D$46:$F$60,3,FALSE)&lt;=$F$5*60/$C$7,INDEX(mission!$E$46:$E$60,MATCH($S$25,mission!$D$46:$D$60,0)),0)</f>
        <v>0</v>
      </c>
      <c r="T114" s="2" cm="1">
        <f t="array" ref="T114">IF(VLOOKUP($T$25,mission!$D$46:$F$60,3,FALSE)&lt;=$F$5*60,INDEX(mission!$E$46:$E$60,MATCH($T$25,mission!$D$46:$D$60,0)),0)</f>
        <v>10</v>
      </c>
      <c r="U114" s="2" cm="1">
        <f t="array" ref="U114">IF(VLOOKUP($U$25,mission!$D$46:$F$60,3,FALSE)&lt;=$F$5*60,INDEX(mission!$E$46:$E$60,MATCH($U$25,mission!$D$46:$D$60,0)),0)</f>
        <v>0</v>
      </c>
      <c r="V114" s="2" cm="1">
        <f t="array" ref="V114">IF(VLOOKUP($V$25,mission!$D$46:$F$60,3,FALSE)&lt;=$F$5*60,INDEX(mission!$E$46:$E$60,MATCH($V$25,mission!$D$46:$D$60,0)),0)</f>
        <v>0</v>
      </c>
      <c r="W114" s="2" cm="1">
        <f t="array" ref="W114">IF(VLOOKUP($W$25,mission!$D$46:$F$60,3,FALSE)&lt;=$F$5*60,INDEX(mission!$E$46:$E$60,MATCH($W$25,mission!$D$46:$D$60,0)),0)</f>
        <v>0</v>
      </c>
    </row>
    <row r="115" s="1" customFormat="1" ht="18" customHeight="1" spans="2:23">
      <c r="B115" s="2">
        <v>90</v>
      </c>
      <c r="C115" s="2">
        <f t="shared" si="15"/>
        <v>90000</v>
      </c>
      <c r="D115" s="2">
        <f t="shared" si="20"/>
        <v>88</v>
      </c>
      <c r="E115" s="2">
        <f t="shared" si="17"/>
        <v>7920</v>
      </c>
      <c r="F115" s="2">
        <f>ROUND(E115*VLOOKUP($B$10,总产出!$T$4:$U$14,2,FALSE),0)</f>
        <v>792</v>
      </c>
      <c r="G115" s="2">
        <f t="shared" si="16"/>
        <v>25</v>
      </c>
      <c r="H115" s="2">
        <f t="shared" si="18"/>
        <v>2250</v>
      </c>
      <c r="I115" s="2" cm="1">
        <f t="array" ref="I115">IF(VLOOKUP($I$25,mission!$D$46:$F$60,3,FALSE)&lt;=$F$5*60/$C$7,INDEX(mission!$E$46:$E$60,MATCH($I$25,mission!$D$46:$D$60,0)),0)</f>
        <v>5</v>
      </c>
      <c r="J115" s="2" cm="1">
        <f t="array" ref="J115">IF(VLOOKUP($J$25,mission!$D$46:$F$60,3,FALSE)&lt;=$F$5*60/$C$7,INDEX(mission!$E$46:$E$60,MATCH($J$25,mission!$D$46:$D$60,0)),0)</f>
        <v>0</v>
      </c>
      <c r="K115" s="2" cm="1">
        <f t="array" ref="K115">IF(VLOOKUP($K$25,mission!$D$46:$F$60,3,FALSE)&lt;=$F$5*60/$C$7,INDEX(mission!$E$46:$E$60,MATCH($K$25,mission!$D$46:$D$60,0)),0)</f>
        <v>0</v>
      </c>
      <c r="L115" s="2" cm="1">
        <f t="array" ref="L115">IF(VLOOKUP($L$25,mission!$D$46:$F$60,3,FALSE)&lt;=$C$8,INDEX(mission!$E$46:$E$60,MATCH($L$25,mission!$D$46:$D$60,0)),0)</f>
        <v>5</v>
      </c>
      <c r="M115" s="2" cm="1">
        <f t="array" ref="M115">IF(VLOOKUP($M$25,mission!$D$46:$F$60,3,FALSE)&lt;=$C$8,INDEX(mission!$E$46:$E$60,MATCH($M$25,mission!$D$46:$D$60,0)),0)</f>
        <v>0</v>
      </c>
      <c r="N115" s="2" cm="1">
        <f t="array" ref="N115">IF(VLOOKUP($N$25,mission!$D$46:$F$60,3,FALSE)&lt;=$C$8,INDEX(mission!$E$46:$E$60,MATCH($N$25,mission!$D$46:$D$60,0)),0)</f>
        <v>0</v>
      </c>
      <c r="O115" s="2" cm="1">
        <f t="array" ref="O115">IF(VLOOKUP($O$25,mission!$D$46:$F$60,3,FALSE)&lt;=$C$8*$C$4,INDEX(mission!$E$46:$E$60,MATCH($O$25,mission!$D$46:$D$60,0)),0)</f>
        <v>0</v>
      </c>
      <c r="P115" s="2" cm="1">
        <f t="array" ref="P115">IF(VLOOKUP($P$25,mission!$D$46:$F$60,3,FALSE)&lt;=$C$8*$C$4,INDEX(mission!$E$46:$E$60,MATCH($P$25,mission!$D$46:$D$60,0)),0)</f>
        <v>0</v>
      </c>
      <c r="Q115" s="2" cm="1">
        <f t="array" ref="Q115">IF(VLOOKUP($Q$25,mission!$D$46:$F$60,3,FALSE)&lt;=$C$8*$C$4,INDEX(mission!$E$46:$E$60,MATCH($Q$25,mission!$D$46:$D$60,0)),0)</f>
        <v>0</v>
      </c>
      <c r="R115" s="2" cm="1">
        <f t="array" ref="R115">IF(VLOOKUP($R$25,mission!$D$46:$F$60,3,FALSE)&lt;=$F$5*60/$C$7,INDEX(mission!$E$46:$E$60,MATCH($R$25,mission!$D$46:$D$60,0)),0)</f>
        <v>5</v>
      </c>
      <c r="S115" s="2" cm="1">
        <f t="array" ref="S115">IF(VLOOKUP($S$25,mission!$D$46:$F$60,3,FALSE)&lt;=$F$5*60/$C$7,INDEX(mission!$E$46:$E$60,MATCH($S$25,mission!$D$46:$D$60,0)),0)</f>
        <v>0</v>
      </c>
      <c r="T115" s="2" cm="1">
        <f t="array" ref="T115">IF(VLOOKUP($T$25,mission!$D$46:$F$60,3,FALSE)&lt;=$F$5*60,INDEX(mission!$E$46:$E$60,MATCH($T$25,mission!$D$46:$D$60,0)),0)</f>
        <v>10</v>
      </c>
      <c r="U115" s="2" cm="1">
        <f t="array" ref="U115">IF(VLOOKUP($U$25,mission!$D$46:$F$60,3,FALSE)&lt;=$F$5*60,INDEX(mission!$E$46:$E$60,MATCH($U$25,mission!$D$46:$D$60,0)),0)</f>
        <v>0</v>
      </c>
      <c r="V115" s="2" cm="1">
        <f t="array" ref="V115">IF(VLOOKUP($V$25,mission!$D$46:$F$60,3,FALSE)&lt;=$F$5*60,INDEX(mission!$E$46:$E$60,MATCH($V$25,mission!$D$46:$D$60,0)),0)</f>
        <v>0</v>
      </c>
      <c r="W115" s="2" cm="1">
        <f t="array" ref="W115">IF(VLOOKUP($W$25,mission!$D$46:$F$60,3,FALSE)&lt;=$F$5*60,INDEX(mission!$E$46:$E$60,MATCH($W$25,mission!$D$46:$D$60,0)),0)</f>
        <v>0</v>
      </c>
    </row>
    <row r="116" s="1" customFormat="1" ht="18" customHeight="1" spans="2:23">
      <c r="B116" s="2">
        <v>91</v>
      </c>
      <c r="C116" s="2">
        <f t="shared" si="15"/>
        <v>91000</v>
      </c>
      <c r="D116" s="2">
        <f t="shared" si="20"/>
        <v>88</v>
      </c>
      <c r="E116" s="2">
        <f t="shared" si="17"/>
        <v>8008</v>
      </c>
      <c r="F116" s="2">
        <f>ROUND(E116*VLOOKUP($B$10,总产出!$T$4:$U$14,2,FALSE),0)</f>
        <v>801</v>
      </c>
      <c r="G116" s="2">
        <f t="shared" si="16"/>
        <v>25</v>
      </c>
      <c r="H116" s="2">
        <f t="shared" si="18"/>
        <v>2275</v>
      </c>
      <c r="I116" s="2" cm="1">
        <f t="array" ref="I116">IF(VLOOKUP($I$25,mission!$D$46:$F$60,3,FALSE)&lt;=$F$5*60/$C$7,INDEX(mission!$E$46:$E$60,MATCH($I$25,mission!$D$46:$D$60,0)),0)</f>
        <v>5</v>
      </c>
      <c r="J116" s="2" cm="1">
        <f t="array" ref="J116">IF(VLOOKUP($J$25,mission!$D$46:$F$60,3,FALSE)&lt;=$F$5*60/$C$7,INDEX(mission!$E$46:$E$60,MATCH($J$25,mission!$D$46:$D$60,0)),0)</f>
        <v>0</v>
      </c>
      <c r="K116" s="2" cm="1">
        <f t="array" ref="K116">IF(VLOOKUP($K$25,mission!$D$46:$F$60,3,FALSE)&lt;=$F$5*60/$C$7,INDEX(mission!$E$46:$E$60,MATCH($K$25,mission!$D$46:$D$60,0)),0)</f>
        <v>0</v>
      </c>
      <c r="L116" s="2" cm="1">
        <f t="array" ref="L116">IF(VLOOKUP($L$25,mission!$D$46:$F$60,3,FALSE)&lt;=$C$8,INDEX(mission!$E$46:$E$60,MATCH($L$25,mission!$D$46:$D$60,0)),0)</f>
        <v>5</v>
      </c>
      <c r="M116" s="2" cm="1">
        <f t="array" ref="M116">IF(VLOOKUP($M$25,mission!$D$46:$F$60,3,FALSE)&lt;=$C$8,INDEX(mission!$E$46:$E$60,MATCH($M$25,mission!$D$46:$D$60,0)),0)</f>
        <v>0</v>
      </c>
      <c r="N116" s="2" cm="1">
        <f t="array" ref="N116">IF(VLOOKUP($N$25,mission!$D$46:$F$60,3,FALSE)&lt;=$C$8,INDEX(mission!$E$46:$E$60,MATCH($N$25,mission!$D$46:$D$60,0)),0)</f>
        <v>0</v>
      </c>
      <c r="O116" s="2" cm="1">
        <f t="array" ref="O116">IF(VLOOKUP($O$25,mission!$D$46:$F$60,3,FALSE)&lt;=$C$8*$C$4,INDEX(mission!$E$46:$E$60,MATCH($O$25,mission!$D$46:$D$60,0)),0)</f>
        <v>0</v>
      </c>
      <c r="P116" s="2" cm="1">
        <f t="array" ref="P116">IF(VLOOKUP($P$25,mission!$D$46:$F$60,3,FALSE)&lt;=$C$8*$C$4,INDEX(mission!$E$46:$E$60,MATCH($P$25,mission!$D$46:$D$60,0)),0)</f>
        <v>0</v>
      </c>
      <c r="Q116" s="2" cm="1">
        <f t="array" ref="Q116">IF(VLOOKUP($Q$25,mission!$D$46:$F$60,3,FALSE)&lt;=$C$8*$C$4,INDEX(mission!$E$46:$E$60,MATCH($Q$25,mission!$D$46:$D$60,0)),0)</f>
        <v>0</v>
      </c>
      <c r="R116" s="2" cm="1">
        <f t="array" ref="R116">IF(VLOOKUP($R$25,mission!$D$46:$F$60,3,FALSE)&lt;=$F$5*60/$C$7,INDEX(mission!$E$46:$E$60,MATCH($R$25,mission!$D$46:$D$60,0)),0)</f>
        <v>5</v>
      </c>
      <c r="S116" s="2" cm="1">
        <f t="array" ref="S116">IF(VLOOKUP($S$25,mission!$D$46:$F$60,3,FALSE)&lt;=$F$5*60/$C$7,INDEX(mission!$E$46:$E$60,MATCH($S$25,mission!$D$46:$D$60,0)),0)</f>
        <v>0</v>
      </c>
      <c r="T116" s="2" cm="1">
        <f t="array" ref="T116">IF(VLOOKUP($T$25,mission!$D$46:$F$60,3,FALSE)&lt;=$F$5*60,INDEX(mission!$E$46:$E$60,MATCH($T$25,mission!$D$46:$D$60,0)),0)</f>
        <v>10</v>
      </c>
      <c r="U116" s="2" cm="1">
        <f t="array" ref="U116">IF(VLOOKUP($U$25,mission!$D$46:$F$60,3,FALSE)&lt;=$F$5*60,INDEX(mission!$E$46:$E$60,MATCH($U$25,mission!$D$46:$D$60,0)),0)</f>
        <v>0</v>
      </c>
      <c r="V116" s="2" cm="1">
        <f t="array" ref="V116">IF(VLOOKUP($V$25,mission!$D$46:$F$60,3,FALSE)&lt;=$F$5*60,INDEX(mission!$E$46:$E$60,MATCH($V$25,mission!$D$46:$D$60,0)),0)</f>
        <v>0</v>
      </c>
      <c r="W116" s="2" cm="1">
        <f t="array" ref="W116">IF(VLOOKUP($W$25,mission!$D$46:$F$60,3,FALSE)&lt;=$F$5*60,INDEX(mission!$E$46:$E$60,MATCH($W$25,mission!$D$46:$D$60,0)),0)</f>
        <v>0</v>
      </c>
    </row>
    <row r="117" s="1" customFormat="1" ht="18" customHeight="1" spans="2:23">
      <c r="B117" s="2">
        <v>92</v>
      </c>
      <c r="C117" s="2">
        <f t="shared" si="15"/>
        <v>92000</v>
      </c>
      <c r="D117" s="2">
        <f t="shared" ref="D117:D125" si="21">ROUND($C$8*$C$5+$C$8*$C$4*(1-$L$5),0)</f>
        <v>88</v>
      </c>
      <c r="E117" s="2">
        <f t="shared" si="17"/>
        <v>8096</v>
      </c>
      <c r="F117" s="2">
        <f>ROUND(E117*VLOOKUP($B$10,总产出!$T$4:$U$14,2,FALSE),0)</f>
        <v>810</v>
      </c>
      <c r="G117" s="2">
        <f t="shared" si="16"/>
        <v>25</v>
      </c>
      <c r="H117" s="2">
        <f t="shared" si="18"/>
        <v>2300</v>
      </c>
      <c r="I117" s="2" cm="1">
        <f t="array" ref="I117">IF(VLOOKUP($I$25,mission!$D$46:$F$60,3,FALSE)&lt;=$F$5*60/$C$7,INDEX(mission!$E$46:$E$60,MATCH($I$25,mission!$D$46:$D$60,0)),0)</f>
        <v>5</v>
      </c>
      <c r="J117" s="2" cm="1">
        <f t="array" ref="J117">IF(VLOOKUP($J$25,mission!$D$46:$F$60,3,FALSE)&lt;=$F$5*60/$C$7,INDEX(mission!$E$46:$E$60,MATCH($J$25,mission!$D$46:$D$60,0)),0)</f>
        <v>0</v>
      </c>
      <c r="K117" s="2" cm="1">
        <f t="array" ref="K117">IF(VLOOKUP($K$25,mission!$D$46:$F$60,3,FALSE)&lt;=$F$5*60/$C$7,INDEX(mission!$E$46:$E$60,MATCH($K$25,mission!$D$46:$D$60,0)),0)</f>
        <v>0</v>
      </c>
      <c r="L117" s="2" cm="1">
        <f t="array" ref="L117">IF(VLOOKUP($L$25,mission!$D$46:$F$60,3,FALSE)&lt;=$C$8,INDEX(mission!$E$46:$E$60,MATCH($L$25,mission!$D$46:$D$60,0)),0)</f>
        <v>5</v>
      </c>
      <c r="M117" s="2" cm="1">
        <f t="array" ref="M117">IF(VLOOKUP($M$25,mission!$D$46:$F$60,3,FALSE)&lt;=$C$8,INDEX(mission!$E$46:$E$60,MATCH($M$25,mission!$D$46:$D$60,0)),0)</f>
        <v>0</v>
      </c>
      <c r="N117" s="2" cm="1">
        <f t="array" ref="N117">IF(VLOOKUP($N$25,mission!$D$46:$F$60,3,FALSE)&lt;=$C$8,INDEX(mission!$E$46:$E$60,MATCH($N$25,mission!$D$46:$D$60,0)),0)</f>
        <v>0</v>
      </c>
      <c r="O117" s="2" cm="1">
        <f t="array" ref="O117">IF(VLOOKUP($O$25,mission!$D$46:$F$60,3,FALSE)&lt;=$C$8*$C$4,INDEX(mission!$E$46:$E$60,MATCH($O$25,mission!$D$46:$D$60,0)),0)</f>
        <v>0</v>
      </c>
      <c r="P117" s="2" cm="1">
        <f t="array" ref="P117">IF(VLOOKUP($P$25,mission!$D$46:$F$60,3,FALSE)&lt;=$C$8*$C$4,INDEX(mission!$E$46:$E$60,MATCH($P$25,mission!$D$46:$D$60,0)),0)</f>
        <v>0</v>
      </c>
      <c r="Q117" s="2" cm="1">
        <f t="array" ref="Q117">IF(VLOOKUP($Q$25,mission!$D$46:$F$60,3,FALSE)&lt;=$C$8*$C$4,INDEX(mission!$E$46:$E$60,MATCH($Q$25,mission!$D$46:$D$60,0)),0)</f>
        <v>0</v>
      </c>
      <c r="R117" s="2" cm="1">
        <f t="array" ref="R117">IF(VLOOKUP($R$25,mission!$D$46:$F$60,3,FALSE)&lt;=$F$5*60/$C$7,INDEX(mission!$E$46:$E$60,MATCH($R$25,mission!$D$46:$D$60,0)),0)</f>
        <v>5</v>
      </c>
      <c r="S117" s="2" cm="1">
        <f t="array" ref="S117">IF(VLOOKUP($S$25,mission!$D$46:$F$60,3,FALSE)&lt;=$F$5*60/$C$7,INDEX(mission!$E$46:$E$60,MATCH($S$25,mission!$D$46:$D$60,0)),0)</f>
        <v>0</v>
      </c>
      <c r="T117" s="2" cm="1">
        <f t="array" ref="T117">IF(VLOOKUP($T$25,mission!$D$46:$F$60,3,FALSE)&lt;=$F$5*60,INDEX(mission!$E$46:$E$60,MATCH($T$25,mission!$D$46:$D$60,0)),0)</f>
        <v>10</v>
      </c>
      <c r="U117" s="2" cm="1">
        <f t="array" ref="U117">IF(VLOOKUP($U$25,mission!$D$46:$F$60,3,FALSE)&lt;=$F$5*60,INDEX(mission!$E$46:$E$60,MATCH($U$25,mission!$D$46:$D$60,0)),0)</f>
        <v>0</v>
      </c>
      <c r="V117" s="2" cm="1">
        <f t="array" ref="V117">IF(VLOOKUP($V$25,mission!$D$46:$F$60,3,FALSE)&lt;=$F$5*60,INDEX(mission!$E$46:$E$60,MATCH($V$25,mission!$D$46:$D$60,0)),0)</f>
        <v>0</v>
      </c>
      <c r="W117" s="2" cm="1">
        <f t="array" ref="W117">IF(VLOOKUP($W$25,mission!$D$46:$F$60,3,FALSE)&lt;=$F$5*60,INDEX(mission!$E$46:$E$60,MATCH($W$25,mission!$D$46:$D$60,0)),0)</f>
        <v>0</v>
      </c>
    </row>
    <row r="118" s="1" customFormat="1" ht="18" customHeight="1" spans="2:23">
      <c r="B118" s="2">
        <v>93</v>
      </c>
      <c r="C118" s="2">
        <f t="shared" si="15"/>
        <v>93000</v>
      </c>
      <c r="D118" s="2">
        <f t="shared" si="21"/>
        <v>88</v>
      </c>
      <c r="E118" s="2">
        <f t="shared" si="17"/>
        <v>8184</v>
      </c>
      <c r="F118" s="2">
        <f>ROUND(E118*VLOOKUP($B$10,总产出!$T$4:$U$14,2,FALSE),0)</f>
        <v>818</v>
      </c>
      <c r="G118" s="2">
        <f t="shared" si="16"/>
        <v>25</v>
      </c>
      <c r="H118" s="2">
        <f t="shared" si="18"/>
        <v>2325</v>
      </c>
      <c r="I118" s="2" cm="1">
        <f t="array" ref="I118">IF(VLOOKUP($I$25,mission!$D$46:$F$60,3,FALSE)&lt;=$F$5*60/$C$7,INDEX(mission!$E$46:$E$60,MATCH($I$25,mission!$D$46:$D$60,0)),0)</f>
        <v>5</v>
      </c>
      <c r="J118" s="2" cm="1">
        <f t="array" ref="J118">IF(VLOOKUP($J$25,mission!$D$46:$F$60,3,FALSE)&lt;=$F$5*60/$C$7,INDEX(mission!$E$46:$E$60,MATCH($J$25,mission!$D$46:$D$60,0)),0)</f>
        <v>0</v>
      </c>
      <c r="K118" s="2" cm="1">
        <f t="array" ref="K118">IF(VLOOKUP($K$25,mission!$D$46:$F$60,3,FALSE)&lt;=$F$5*60/$C$7,INDEX(mission!$E$46:$E$60,MATCH($K$25,mission!$D$46:$D$60,0)),0)</f>
        <v>0</v>
      </c>
      <c r="L118" s="2" cm="1">
        <f t="array" ref="L118">IF(VLOOKUP($L$25,mission!$D$46:$F$60,3,FALSE)&lt;=$C$8,INDEX(mission!$E$46:$E$60,MATCH($L$25,mission!$D$46:$D$60,0)),0)</f>
        <v>5</v>
      </c>
      <c r="M118" s="2" cm="1">
        <f t="array" ref="M118">IF(VLOOKUP($M$25,mission!$D$46:$F$60,3,FALSE)&lt;=$C$8,INDEX(mission!$E$46:$E$60,MATCH($M$25,mission!$D$46:$D$60,0)),0)</f>
        <v>0</v>
      </c>
      <c r="N118" s="2" cm="1">
        <f t="array" ref="N118">IF(VLOOKUP($N$25,mission!$D$46:$F$60,3,FALSE)&lt;=$C$8,INDEX(mission!$E$46:$E$60,MATCH($N$25,mission!$D$46:$D$60,0)),0)</f>
        <v>0</v>
      </c>
      <c r="O118" s="2" cm="1">
        <f t="array" ref="O118">IF(VLOOKUP($O$25,mission!$D$46:$F$60,3,FALSE)&lt;=$C$8*$C$4,INDEX(mission!$E$46:$E$60,MATCH($O$25,mission!$D$46:$D$60,0)),0)</f>
        <v>0</v>
      </c>
      <c r="P118" s="2" cm="1">
        <f t="array" ref="P118">IF(VLOOKUP($P$25,mission!$D$46:$F$60,3,FALSE)&lt;=$C$8*$C$4,INDEX(mission!$E$46:$E$60,MATCH($P$25,mission!$D$46:$D$60,0)),0)</f>
        <v>0</v>
      </c>
      <c r="Q118" s="2" cm="1">
        <f t="array" ref="Q118">IF(VLOOKUP($Q$25,mission!$D$46:$F$60,3,FALSE)&lt;=$C$8*$C$4,INDEX(mission!$E$46:$E$60,MATCH($Q$25,mission!$D$46:$D$60,0)),0)</f>
        <v>0</v>
      </c>
      <c r="R118" s="2" cm="1">
        <f t="array" ref="R118">IF(VLOOKUP($R$25,mission!$D$46:$F$60,3,FALSE)&lt;=$F$5*60/$C$7,INDEX(mission!$E$46:$E$60,MATCH($R$25,mission!$D$46:$D$60,0)),0)</f>
        <v>5</v>
      </c>
      <c r="S118" s="2" cm="1">
        <f t="array" ref="S118">IF(VLOOKUP($S$25,mission!$D$46:$F$60,3,FALSE)&lt;=$F$5*60/$C$7,INDEX(mission!$E$46:$E$60,MATCH($S$25,mission!$D$46:$D$60,0)),0)</f>
        <v>0</v>
      </c>
      <c r="T118" s="2" cm="1">
        <f t="array" ref="T118">IF(VLOOKUP($T$25,mission!$D$46:$F$60,3,FALSE)&lt;=$F$5*60,INDEX(mission!$E$46:$E$60,MATCH($T$25,mission!$D$46:$D$60,0)),0)</f>
        <v>10</v>
      </c>
      <c r="U118" s="2" cm="1">
        <f t="array" ref="U118">IF(VLOOKUP($U$25,mission!$D$46:$F$60,3,FALSE)&lt;=$F$5*60,INDEX(mission!$E$46:$E$60,MATCH($U$25,mission!$D$46:$D$60,0)),0)</f>
        <v>0</v>
      </c>
      <c r="V118" s="2" cm="1">
        <f t="array" ref="V118">IF(VLOOKUP($V$25,mission!$D$46:$F$60,3,FALSE)&lt;=$F$5*60,INDEX(mission!$E$46:$E$60,MATCH($V$25,mission!$D$46:$D$60,0)),0)</f>
        <v>0</v>
      </c>
      <c r="W118" s="2" cm="1">
        <f t="array" ref="W118">IF(VLOOKUP($W$25,mission!$D$46:$F$60,3,FALSE)&lt;=$F$5*60,INDEX(mission!$E$46:$E$60,MATCH($W$25,mission!$D$46:$D$60,0)),0)</f>
        <v>0</v>
      </c>
    </row>
    <row r="119" s="1" customFormat="1" ht="18" customHeight="1" spans="2:23">
      <c r="B119" s="2">
        <v>94</v>
      </c>
      <c r="C119" s="2">
        <f t="shared" si="15"/>
        <v>94000</v>
      </c>
      <c r="D119" s="2">
        <f t="shared" si="21"/>
        <v>88</v>
      </c>
      <c r="E119" s="2">
        <f t="shared" si="17"/>
        <v>8272</v>
      </c>
      <c r="F119" s="2">
        <f>ROUND(E119*VLOOKUP($B$10,总产出!$T$4:$U$14,2,FALSE),0)</f>
        <v>827</v>
      </c>
      <c r="G119" s="2">
        <f t="shared" si="16"/>
        <v>25</v>
      </c>
      <c r="H119" s="2">
        <f t="shared" si="18"/>
        <v>2350</v>
      </c>
      <c r="I119" s="2" cm="1">
        <f t="array" ref="I119">IF(VLOOKUP($I$25,mission!$D$46:$F$60,3,FALSE)&lt;=$F$5*60/$C$7,INDEX(mission!$E$46:$E$60,MATCH($I$25,mission!$D$46:$D$60,0)),0)</f>
        <v>5</v>
      </c>
      <c r="J119" s="2" cm="1">
        <f t="array" ref="J119">IF(VLOOKUP($J$25,mission!$D$46:$F$60,3,FALSE)&lt;=$F$5*60/$C$7,INDEX(mission!$E$46:$E$60,MATCH($J$25,mission!$D$46:$D$60,0)),0)</f>
        <v>0</v>
      </c>
      <c r="K119" s="2" cm="1">
        <f t="array" ref="K119">IF(VLOOKUP($K$25,mission!$D$46:$F$60,3,FALSE)&lt;=$F$5*60/$C$7,INDEX(mission!$E$46:$E$60,MATCH($K$25,mission!$D$46:$D$60,0)),0)</f>
        <v>0</v>
      </c>
      <c r="L119" s="2" cm="1">
        <f t="array" ref="L119">IF(VLOOKUP($L$25,mission!$D$46:$F$60,3,FALSE)&lt;=$C$8,INDEX(mission!$E$46:$E$60,MATCH($L$25,mission!$D$46:$D$60,0)),0)</f>
        <v>5</v>
      </c>
      <c r="M119" s="2" cm="1">
        <f t="array" ref="M119">IF(VLOOKUP($M$25,mission!$D$46:$F$60,3,FALSE)&lt;=$C$8,INDEX(mission!$E$46:$E$60,MATCH($M$25,mission!$D$46:$D$60,0)),0)</f>
        <v>0</v>
      </c>
      <c r="N119" s="2" cm="1">
        <f t="array" ref="N119">IF(VLOOKUP($N$25,mission!$D$46:$F$60,3,FALSE)&lt;=$C$8,INDEX(mission!$E$46:$E$60,MATCH($N$25,mission!$D$46:$D$60,0)),0)</f>
        <v>0</v>
      </c>
      <c r="O119" s="2" cm="1">
        <f t="array" ref="O119">IF(VLOOKUP($O$25,mission!$D$46:$F$60,3,FALSE)&lt;=$C$8*$C$4,INDEX(mission!$E$46:$E$60,MATCH($O$25,mission!$D$46:$D$60,0)),0)</f>
        <v>0</v>
      </c>
      <c r="P119" s="2" cm="1">
        <f t="array" ref="P119">IF(VLOOKUP($P$25,mission!$D$46:$F$60,3,FALSE)&lt;=$C$8*$C$4,INDEX(mission!$E$46:$E$60,MATCH($P$25,mission!$D$46:$D$60,0)),0)</f>
        <v>0</v>
      </c>
      <c r="Q119" s="2" cm="1">
        <f t="array" ref="Q119">IF(VLOOKUP($Q$25,mission!$D$46:$F$60,3,FALSE)&lt;=$C$8*$C$4,INDEX(mission!$E$46:$E$60,MATCH($Q$25,mission!$D$46:$D$60,0)),0)</f>
        <v>0</v>
      </c>
      <c r="R119" s="2" cm="1">
        <f t="array" ref="R119">IF(VLOOKUP($R$25,mission!$D$46:$F$60,3,FALSE)&lt;=$F$5*60/$C$7,INDEX(mission!$E$46:$E$60,MATCH($R$25,mission!$D$46:$D$60,0)),0)</f>
        <v>5</v>
      </c>
      <c r="S119" s="2" cm="1">
        <f t="array" ref="S119">IF(VLOOKUP($S$25,mission!$D$46:$F$60,3,FALSE)&lt;=$F$5*60/$C$7,INDEX(mission!$E$46:$E$60,MATCH($S$25,mission!$D$46:$D$60,0)),0)</f>
        <v>0</v>
      </c>
      <c r="T119" s="2" cm="1">
        <f t="array" ref="T119">IF(VLOOKUP($T$25,mission!$D$46:$F$60,3,FALSE)&lt;=$F$5*60,INDEX(mission!$E$46:$E$60,MATCH($T$25,mission!$D$46:$D$60,0)),0)</f>
        <v>10</v>
      </c>
      <c r="U119" s="2" cm="1">
        <f t="array" ref="U119">IF(VLOOKUP($U$25,mission!$D$46:$F$60,3,FALSE)&lt;=$F$5*60,INDEX(mission!$E$46:$E$60,MATCH($U$25,mission!$D$46:$D$60,0)),0)</f>
        <v>0</v>
      </c>
      <c r="V119" s="2" cm="1">
        <f t="array" ref="V119">IF(VLOOKUP($V$25,mission!$D$46:$F$60,3,FALSE)&lt;=$F$5*60,INDEX(mission!$E$46:$E$60,MATCH($V$25,mission!$D$46:$D$60,0)),0)</f>
        <v>0</v>
      </c>
      <c r="W119" s="2" cm="1">
        <f t="array" ref="W119">IF(VLOOKUP($W$25,mission!$D$46:$F$60,3,FALSE)&lt;=$F$5*60,INDEX(mission!$E$46:$E$60,MATCH($W$25,mission!$D$46:$D$60,0)),0)</f>
        <v>0</v>
      </c>
    </row>
    <row r="120" s="1" customFormat="1" ht="18" customHeight="1" spans="2:23">
      <c r="B120" s="2">
        <v>95</v>
      </c>
      <c r="C120" s="2">
        <f t="shared" si="15"/>
        <v>95000</v>
      </c>
      <c r="D120" s="2">
        <f t="shared" si="21"/>
        <v>88</v>
      </c>
      <c r="E120" s="2">
        <f t="shared" si="17"/>
        <v>8360</v>
      </c>
      <c r="F120" s="2">
        <f>ROUND(E120*VLOOKUP($B$10,总产出!$T$4:$U$14,2,FALSE),0)</f>
        <v>836</v>
      </c>
      <c r="G120" s="2">
        <f t="shared" si="16"/>
        <v>25</v>
      </c>
      <c r="H120" s="2">
        <f t="shared" si="18"/>
        <v>2375</v>
      </c>
      <c r="I120" s="2" cm="1">
        <f t="array" ref="I120">IF(VLOOKUP($I$25,mission!$D$46:$F$60,3,FALSE)&lt;=$F$5*60/$C$7,INDEX(mission!$E$46:$E$60,MATCH($I$25,mission!$D$46:$D$60,0)),0)</f>
        <v>5</v>
      </c>
      <c r="J120" s="2" cm="1">
        <f t="array" ref="J120">IF(VLOOKUP($J$25,mission!$D$46:$F$60,3,FALSE)&lt;=$F$5*60/$C$7,INDEX(mission!$E$46:$E$60,MATCH($J$25,mission!$D$46:$D$60,0)),0)</f>
        <v>0</v>
      </c>
      <c r="K120" s="2" cm="1">
        <f t="array" ref="K120">IF(VLOOKUP($K$25,mission!$D$46:$F$60,3,FALSE)&lt;=$F$5*60/$C$7,INDEX(mission!$E$46:$E$60,MATCH($K$25,mission!$D$46:$D$60,0)),0)</f>
        <v>0</v>
      </c>
      <c r="L120" s="2" cm="1">
        <f t="array" ref="L120">IF(VLOOKUP($L$25,mission!$D$46:$F$60,3,FALSE)&lt;=$C$8,INDEX(mission!$E$46:$E$60,MATCH($L$25,mission!$D$46:$D$60,0)),0)</f>
        <v>5</v>
      </c>
      <c r="M120" s="2" cm="1">
        <f t="array" ref="M120">IF(VLOOKUP($M$25,mission!$D$46:$F$60,3,FALSE)&lt;=$C$8,INDEX(mission!$E$46:$E$60,MATCH($M$25,mission!$D$46:$D$60,0)),0)</f>
        <v>0</v>
      </c>
      <c r="N120" s="2" cm="1">
        <f t="array" ref="N120">IF(VLOOKUP($N$25,mission!$D$46:$F$60,3,FALSE)&lt;=$C$8,INDEX(mission!$E$46:$E$60,MATCH($N$25,mission!$D$46:$D$60,0)),0)</f>
        <v>0</v>
      </c>
      <c r="O120" s="2" cm="1">
        <f t="array" ref="O120">IF(VLOOKUP($O$25,mission!$D$46:$F$60,3,FALSE)&lt;=$C$8*$C$4,INDEX(mission!$E$46:$E$60,MATCH($O$25,mission!$D$46:$D$60,0)),0)</f>
        <v>0</v>
      </c>
      <c r="P120" s="2" cm="1">
        <f t="array" ref="P120">IF(VLOOKUP($P$25,mission!$D$46:$F$60,3,FALSE)&lt;=$C$8*$C$4,INDEX(mission!$E$46:$E$60,MATCH($P$25,mission!$D$46:$D$60,0)),0)</f>
        <v>0</v>
      </c>
      <c r="Q120" s="2" cm="1">
        <f t="array" ref="Q120">IF(VLOOKUP($Q$25,mission!$D$46:$F$60,3,FALSE)&lt;=$C$8*$C$4,INDEX(mission!$E$46:$E$60,MATCH($Q$25,mission!$D$46:$D$60,0)),0)</f>
        <v>0</v>
      </c>
      <c r="R120" s="2" cm="1">
        <f t="array" ref="R120">IF(VLOOKUP($R$25,mission!$D$46:$F$60,3,FALSE)&lt;=$F$5*60/$C$7,INDEX(mission!$E$46:$E$60,MATCH($R$25,mission!$D$46:$D$60,0)),0)</f>
        <v>5</v>
      </c>
      <c r="S120" s="2" cm="1">
        <f t="array" ref="S120">IF(VLOOKUP($S$25,mission!$D$46:$F$60,3,FALSE)&lt;=$F$5*60/$C$7,INDEX(mission!$E$46:$E$60,MATCH($S$25,mission!$D$46:$D$60,0)),0)</f>
        <v>0</v>
      </c>
      <c r="T120" s="2" cm="1">
        <f t="array" ref="T120">IF(VLOOKUP($T$25,mission!$D$46:$F$60,3,FALSE)&lt;=$F$5*60,INDEX(mission!$E$46:$E$60,MATCH($T$25,mission!$D$46:$D$60,0)),0)</f>
        <v>10</v>
      </c>
      <c r="U120" s="2" cm="1">
        <f t="array" ref="U120">IF(VLOOKUP($U$25,mission!$D$46:$F$60,3,FALSE)&lt;=$F$5*60,INDEX(mission!$E$46:$E$60,MATCH($U$25,mission!$D$46:$D$60,0)),0)</f>
        <v>0</v>
      </c>
      <c r="V120" s="2" cm="1">
        <f t="array" ref="V120">IF(VLOOKUP($V$25,mission!$D$46:$F$60,3,FALSE)&lt;=$F$5*60,INDEX(mission!$E$46:$E$60,MATCH($V$25,mission!$D$46:$D$60,0)),0)</f>
        <v>0</v>
      </c>
      <c r="W120" s="2" cm="1">
        <f t="array" ref="W120">IF(VLOOKUP($W$25,mission!$D$46:$F$60,3,FALSE)&lt;=$F$5*60,INDEX(mission!$E$46:$E$60,MATCH($W$25,mission!$D$46:$D$60,0)),0)</f>
        <v>0</v>
      </c>
    </row>
    <row r="121" s="1" customFormat="1" ht="18" customHeight="1" spans="2:23">
      <c r="B121" s="2">
        <v>96</v>
      </c>
      <c r="C121" s="2">
        <f t="shared" si="15"/>
        <v>96000</v>
      </c>
      <c r="D121" s="2">
        <f t="shared" si="21"/>
        <v>88</v>
      </c>
      <c r="E121" s="2">
        <f t="shared" si="17"/>
        <v>8448</v>
      </c>
      <c r="F121" s="2">
        <f>ROUND(E121*VLOOKUP($B$10,总产出!$T$4:$U$14,2,FALSE),0)</f>
        <v>845</v>
      </c>
      <c r="G121" s="2">
        <f t="shared" si="16"/>
        <v>25</v>
      </c>
      <c r="H121" s="2">
        <f t="shared" si="18"/>
        <v>2400</v>
      </c>
      <c r="I121" s="2" cm="1">
        <f t="array" ref="I121">IF(VLOOKUP($I$25,mission!$D$46:$F$60,3,FALSE)&lt;=$F$5*60/$C$7,INDEX(mission!$E$46:$E$60,MATCH($I$25,mission!$D$46:$D$60,0)),0)</f>
        <v>5</v>
      </c>
      <c r="J121" s="2" cm="1">
        <f t="array" ref="J121">IF(VLOOKUP($J$25,mission!$D$46:$F$60,3,FALSE)&lt;=$F$5*60/$C$7,INDEX(mission!$E$46:$E$60,MATCH($J$25,mission!$D$46:$D$60,0)),0)</f>
        <v>0</v>
      </c>
      <c r="K121" s="2" cm="1">
        <f t="array" ref="K121">IF(VLOOKUP($K$25,mission!$D$46:$F$60,3,FALSE)&lt;=$F$5*60/$C$7,INDEX(mission!$E$46:$E$60,MATCH($K$25,mission!$D$46:$D$60,0)),0)</f>
        <v>0</v>
      </c>
      <c r="L121" s="2" cm="1">
        <f t="array" ref="L121">IF(VLOOKUP($L$25,mission!$D$46:$F$60,3,FALSE)&lt;=$C$8,INDEX(mission!$E$46:$E$60,MATCH($L$25,mission!$D$46:$D$60,0)),0)</f>
        <v>5</v>
      </c>
      <c r="M121" s="2" cm="1">
        <f t="array" ref="M121">IF(VLOOKUP($M$25,mission!$D$46:$F$60,3,FALSE)&lt;=$C$8,INDEX(mission!$E$46:$E$60,MATCH($M$25,mission!$D$46:$D$60,0)),0)</f>
        <v>0</v>
      </c>
      <c r="N121" s="2" cm="1">
        <f t="array" ref="N121">IF(VLOOKUP($N$25,mission!$D$46:$F$60,3,FALSE)&lt;=$C$8,INDEX(mission!$E$46:$E$60,MATCH($N$25,mission!$D$46:$D$60,0)),0)</f>
        <v>0</v>
      </c>
      <c r="O121" s="2" cm="1">
        <f t="array" ref="O121">IF(VLOOKUP($O$25,mission!$D$46:$F$60,3,FALSE)&lt;=$C$8*$C$4,INDEX(mission!$E$46:$E$60,MATCH($O$25,mission!$D$46:$D$60,0)),0)</f>
        <v>0</v>
      </c>
      <c r="P121" s="2" cm="1">
        <f t="array" ref="P121">IF(VLOOKUP($P$25,mission!$D$46:$F$60,3,FALSE)&lt;=$C$8*$C$4,INDEX(mission!$E$46:$E$60,MATCH($P$25,mission!$D$46:$D$60,0)),0)</f>
        <v>0</v>
      </c>
      <c r="Q121" s="2" cm="1">
        <f t="array" ref="Q121">IF(VLOOKUP($Q$25,mission!$D$46:$F$60,3,FALSE)&lt;=$C$8*$C$4,INDEX(mission!$E$46:$E$60,MATCH($Q$25,mission!$D$46:$D$60,0)),0)</f>
        <v>0</v>
      </c>
      <c r="R121" s="2" cm="1">
        <f t="array" ref="R121">IF(VLOOKUP($R$25,mission!$D$46:$F$60,3,FALSE)&lt;=$F$5*60/$C$7,INDEX(mission!$E$46:$E$60,MATCH($R$25,mission!$D$46:$D$60,0)),0)</f>
        <v>5</v>
      </c>
      <c r="S121" s="2" cm="1">
        <f t="array" ref="S121">IF(VLOOKUP($S$25,mission!$D$46:$F$60,3,FALSE)&lt;=$F$5*60/$C$7,INDEX(mission!$E$46:$E$60,MATCH($S$25,mission!$D$46:$D$60,0)),0)</f>
        <v>0</v>
      </c>
      <c r="T121" s="2" cm="1">
        <f t="array" ref="T121">IF(VLOOKUP($T$25,mission!$D$46:$F$60,3,FALSE)&lt;=$F$5*60,INDEX(mission!$E$46:$E$60,MATCH($T$25,mission!$D$46:$D$60,0)),0)</f>
        <v>10</v>
      </c>
      <c r="U121" s="2" cm="1">
        <f t="array" ref="U121">IF(VLOOKUP($U$25,mission!$D$46:$F$60,3,FALSE)&lt;=$F$5*60,INDEX(mission!$E$46:$E$60,MATCH($U$25,mission!$D$46:$D$60,0)),0)</f>
        <v>0</v>
      </c>
      <c r="V121" s="2" cm="1">
        <f t="array" ref="V121">IF(VLOOKUP($V$25,mission!$D$46:$F$60,3,FALSE)&lt;=$F$5*60,INDEX(mission!$E$46:$E$60,MATCH($V$25,mission!$D$46:$D$60,0)),0)</f>
        <v>0</v>
      </c>
      <c r="W121" s="2" cm="1">
        <f t="array" ref="W121">IF(VLOOKUP($W$25,mission!$D$46:$F$60,3,FALSE)&lt;=$F$5*60,INDEX(mission!$E$46:$E$60,MATCH($W$25,mission!$D$46:$D$60,0)),0)</f>
        <v>0</v>
      </c>
    </row>
    <row r="122" s="1" customFormat="1" ht="18" customHeight="1" spans="2:23">
      <c r="B122" s="2">
        <v>97</v>
      </c>
      <c r="C122" s="2">
        <f t="shared" si="15"/>
        <v>97000</v>
      </c>
      <c r="D122" s="2">
        <f t="shared" si="21"/>
        <v>88</v>
      </c>
      <c r="E122" s="2">
        <f t="shared" si="17"/>
        <v>8536</v>
      </c>
      <c r="F122" s="2">
        <f>ROUND(E122*VLOOKUP($B$10,总产出!$T$4:$U$14,2,FALSE),0)</f>
        <v>854</v>
      </c>
      <c r="G122" s="2">
        <f t="shared" si="16"/>
        <v>25</v>
      </c>
      <c r="H122" s="2">
        <f t="shared" si="18"/>
        <v>2425</v>
      </c>
      <c r="I122" s="2" cm="1">
        <f t="array" ref="I122">IF(VLOOKUP($I$25,mission!$D$46:$F$60,3,FALSE)&lt;=$F$5*60/$C$7,INDEX(mission!$E$46:$E$60,MATCH($I$25,mission!$D$46:$D$60,0)),0)</f>
        <v>5</v>
      </c>
      <c r="J122" s="2" cm="1">
        <f t="array" ref="J122">IF(VLOOKUP($J$25,mission!$D$46:$F$60,3,FALSE)&lt;=$F$5*60/$C$7,INDEX(mission!$E$46:$E$60,MATCH($J$25,mission!$D$46:$D$60,0)),0)</f>
        <v>0</v>
      </c>
      <c r="K122" s="2" cm="1">
        <f t="array" ref="K122">IF(VLOOKUP($K$25,mission!$D$46:$F$60,3,FALSE)&lt;=$F$5*60/$C$7,INDEX(mission!$E$46:$E$60,MATCH($K$25,mission!$D$46:$D$60,0)),0)</f>
        <v>0</v>
      </c>
      <c r="L122" s="2" cm="1">
        <f t="array" ref="L122">IF(VLOOKUP($L$25,mission!$D$46:$F$60,3,FALSE)&lt;=$C$8,INDEX(mission!$E$46:$E$60,MATCH($L$25,mission!$D$46:$D$60,0)),0)</f>
        <v>5</v>
      </c>
      <c r="M122" s="2" cm="1">
        <f t="array" ref="M122">IF(VLOOKUP($M$25,mission!$D$46:$F$60,3,FALSE)&lt;=$C$8,INDEX(mission!$E$46:$E$60,MATCH($M$25,mission!$D$46:$D$60,0)),0)</f>
        <v>0</v>
      </c>
      <c r="N122" s="2" cm="1">
        <f t="array" ref="N122">IF(VLOOKUP($N$25,mission!$D$46:$F$60,3,FALSE)&lt;=$C$8,INDEX(mission!$E$46:$E$60,MATCH($N$25,mission!$D$46:$D$60,0)),0)</f>
        <v>0</v>
      </c>
      <c r="O122" s="2" cm="1">
        <f t="array" ref="O122">IF(VLOOKUP($O$25,mission!$D$46:$F$60,3,FALSE)&lt;=$C$8*$C$4,INDEX(mission!$E$46:$E$60,MATCH($O$25,mission!$D$46:$D$60,0)),0)</f>
        <v>0</v>
      </c>
      <c r="P122" s="2" cm="1">
        <f t="array" ref="P122">IF(VLOOKUP($P$25,mission!$D$46:$F$60,3,FALSE)&lt;=$C$8*$C$4,INDEX(mission!$E$46:$E$60,MATCH($P$25,mission!$D$46:$D$60,0)),0)</f>
        <v>0</v>
      </c>
      <c r="Q122" s="2" cm="1">
        <f t="array" ref="Q122">IF(VLOOKUP($Q$25,mission!$D$46:$F$60,3,FALSE)&lt;=$C$8*$C$4,INDEX(mission!$E$46:$E$60,MATCH($Q$25,mission!$D$46:$D$60,0)),0)</f>
        <v>0</v>
      </c>
      <c r="R122" s="2" cm="1">
        <f t="array" ref="R122">IF(VLOOKUP($R$25,mission!$D$46:$F$60,3,FALSE)&lt;=$F$5*60/$C$7,INDEX(mission!$E$46:$E$60,MATCH($R$25,mission!$D$46:$D$60,0)),0)</f>
        <v>5</v>
      </c>
      <c r="S122" s="2" cm="1">
        <f t="array" ref="S122">IF(VLOOKUP($S$25,mission!$D$46:$F$60,3,FALSE)&lt;=$F$5*60/$C$7,INDEX(mission!$E$46:$E$60,MATCH($S$25,mission!$D$46:$D$60,0)),0)</f>
        <v>0</v>
      </c>
      <c r="T122" s="2" cm="1">
        <f t="array" ref="T122">IF(VLOOKUP($T$25,mission!$D$46:$F$60,3,FALSE)&lt;=$F$5*60,INDEX(mission!$E$46:$E$60,MATCH($T$25,mission!$D$46:$D$60,0)),0)</f>
        <v>10</v>
      </c>
      <c r="U122" s="2" cm="1">
        <f t="array" ref="U122">IF(VLOOKUP($U$25,mission!$D$46:$F$60,3,FALSE)&lt;=$F$5*60,INDEX(mission!$E$46:$E$60,MATCH($U$25,mission!$D$46:$D$60,0)),0)</f>
        <v>0</v>
      </c>
      <c r="V122" s="2" cm="1">
        <f t="array" ref="V122">IF(VLOOKUP($V$25,mission!$D$46:$F$60,3,FALSE)&lt;=$F$5*60,INDEX(mission!$E$46:$E$60,MATCH($V$25,mission!$D$46:$D$60,0)),0)</f>
        <v>0</v>
      </c>
      <c r="W122" s="2" cm="1">
        <f t="array" ref="W122">IF(VLOOKUP($W$25,mission!$D$46:$F$60,3,FALSE)&lt;=$F$5*60,INDEX(mission!$E$46:$E$60,MATCH($W$25,mission!$D$46:$D$60,0)),0)</f>
        <v>0</v>
      </c>
    </row>
    <row r="123" s="1" customFormat="1" ht="18" customHeight="1" spans="2:23">
      <c r="B123" s="2">
        <v>98</v>
      </c>
      <c r="C123" s="2">
        <f t="shared" si="15"/>
        <v>98000</v>
      </c>
      <c r="D123" s="2">
        <f t="shared" si="21"/>
        <v>88</v>
      </c>
      <c r="E123" s="2">
        <f t="shared" si="17"/>
        <v>8624</v>
      </c>
      <c r="F123" s="2">
        <f>ROUND(E123*VLOOKUP($B$10,总产出!$T$4:$U$14,2,FALSE),0)</f>
        <v>862</v>
      </c>
      <c r="G123" s="2">
        <f t="shared" si="16"/>
        <v>25</v>
      </c>
      <c r="H123" s="2">
        <f t="shared" si="18"/>
        <v>2450</v>
      </c>
      <c r="I123" s="2" cm="1">
        <f t="array" ref="I123">IF(VLOOKUP($I$25,mission!$D$46:$F$60,3,FALSE)&lt;=$F$5*60/$C$7,INDEX(mission!$E$46:$E$60,MATCH($I$25,mission!$D$46:$D$60,0)),0)</f>
        <v>5</v>
      </c>
      <c r="J123" s="2" cm="1">
        <f t="array" ref="J123">IF(VLOOKUP($J$25,mission!$D$46:$F$60,3,FALSE)&lt;=$F$5*60/$C$7,INDEX(mission!$E$46:$E$60,MATCH($J$25,mission!$D$46:$D$60,0)),0)</f>
        <v>0</v>
      </c>
      <c r="K123" s="2" cm="1">
        <f t="array" ref="K123">IF(VLOOKUP($K$25,mission!$D$46:$F$60,3,FALSE)&lt;=$F$5*60/$C$7,INDEX(mission!$E$46:$E$60,MATCH($K$25,mission!$D$46:$D$60,0)),0)</f>
        <v>0</v>
      </c>
      <c r="L123" s="2" cm="1">
        <f t="array" ref="L123">IF(VLOOKUP($L$25,mission!$D$46:$F$60,3,FALSE)&lt;=$C$8,INDEX(mission!$E$46:$E$60,MATCH($L$25,mission!$D$46:$D$60,0)),0)</f>
        <v>5</v>
      </c>
      <c r="M123" s="2" cm="1">
        <f t="array" ref="M123">IF(VLOOKUP($M$25,mission!$D$46:$F$60,3,FALSE)&lt;=$C$8,INDEX(mission!$E$46:$E$60,MATCH($M$25,mission!$D$46:$D$60,0)),0)</f>
        <v>0</v>
      </c>
      <c r="N123" s="2" cm="1">
        <f t="array" ref="N123">IF(VLOOKUP($N$25,mission!$D$46:$F$60,3,FALSE)&lt;=$C$8,INDEX(mission!$E$46:$E$60,MATCH($N$25,mission!$D$46:$D$60,0)),0)</f>
        <v>0</v>
      </c>
      <c r="O123" s="2" cm="1">
        <f t="array" ref="O123">IF(VLOOKUP($O$25,mission!$D$46:$F$60,3,FALSE)&lt;=$C$8*$C$4,INDEX(mission!$E$46:$E$60,MATCH($O$25,mission!$D$46:$D$60,0)),0)</f>
        <v>0</v>
      </c>
      <c r="P123" s="2" cm="1">
        <f t="array" ref="P123">IF(VLOOKUP($P$25,mission!$D$46:$F$60,3,FALSE)&lt;=$C$8*$C$4,INDEX(mission!$E$46:$E$60,MATCH($P$25,mission!$D$46:$D$60,0)),0)</f>
        <v>0</v>
      </c>
      <c r="Q123" s="2" cm="1">
        <f t="array" ref="Q123">IF(VLOOKUP($Q$25,mission!$D$46:$F$60,3,FALSE)&lt;=$C$8*$C$4,INDEX(mission!$E$46:$E$60,MATCH($Q$25,mission!$D$46:$D$60,0)),0)</f>
        <v>0</v>
      </c>
      <c r="R123" s="2" cm="1">
        <f t="array" ref="R123">IF(VLOOKUP($R$25,mission!$D$46:$F$60,3,FALSE)&lt;=$F$5*60/$C$7,INDEX(mission!$E$46:$E$60,MATCH($R$25,mission!$D$46:$D$60,0)),0)</f>
        <v>5</v>
      </c>
      <c r="S123" s="2" cm="1">
        <f t="array" ref="S123">IF(VLOOKUP($S$25,mission!$D$46:$F$60,3,FALSE)&lt;=$F$5*60/$C$7,INDEX(mission!$E$46:$E$60,MATCH($S$25,mission!$D$46:$D$60,0)),0)</f>
        <v>0</v>
      </c>
      <c r="T123" s="2" cm="1">
        <f t="array" ref="T123">IF(VLOOKUP($T$25,mission!$D$46:$F$60,3,FALSE)&lt;=$F$5*60,INDEX(mission!$E$46:$E$60,MATCH($T$25,mission!$D$46:$D$60,0)),0)</f>
        <v>10</v>
      </c>
      <c r="U123" s="2" cm="1">
        <f t="array" ref="U123">IF(VLOOKUP($U$25,mission!$D$46:$F$60,3,FALSE)&lt;=$F$5*60,INDEX(mission!$E$46:$E$60,MATCH($U$25,mission!$D$46:$D$60,0)),0)</f>
        <v>0</v>
      </c>
      <c r="V123" s="2" cm="1">
        <f t="array" ref="V123">IF(VLOOKUP($V$25,mission!$D$46:$F$60,3,FALSE)&lt;=$F$5*60,INDEX(mission!$E$46:$E$60,MATCH($V$25,mission!$D$46:$D$60,0)),0)</f>
        <v>0</v>
      </c>
      <c r="W123" s="2" cm="1">
        <f t="array" ref="W123">IF(VLOOKUP($W$25,mission!$D$46:$F$60,3,FALSE)&lt;=$F$5*60,INDEX(mission!$E$46:$E$60,MATCH($W$25,mission!$D$46:$D$60,0)),0)</f>
        <v>0</v>
      </c>
    </row>
    <row r="124" s="1" customFormat="1" ht="18" customHeight="1" spans="2:23">
      <c r="B124" s="2">
        <v>99</v>
      </c>
      <c r="C124" s="2">
        <f t="shared" si="15"/>
        <v>99000</v>
      </c>
      <c r="D124" s="2">
        <f t="shared" si="21"/>
        <v>88</v>
      </c>
      <c r="E124" s="2">
        <f t="shared" si="17"/>
        <v>8712</v>
      </c>
      <c r="F124" s="2">
        <f>ROUND(E124*VLOOKUP($B$10,总产出!$T$4:$U$14,2,FALSE),0)</f>
        <v>871</v>
      </c>
      <c r="G124" s="2">
        <f t="shared" si="16"/>
        <v>25</v>
      </c>
      <c r="H124" s="2">
        <f t="shared" si="18"/>
        <v>2475</v>
      </c>
      <c r="I124" s="2" cm="1">
        <f t="array" ref="I124">IF(VLOOKUP($I$25,mission!$D$46:$F$60,3,FALSE)&lt;=$F$5*60/$C$7,INDEX(mission!$E$46:$E$60,MATCH($I$25,mission!$D$46:$D$60,0)),0)</f>
        <v>5</v>
      </c>
      <c r="J124" s="2" cm="1">
        <f t="array" ref="J124">IF(VLOOKUP($J$25,mission!$D$46:$F$60,3,FALSE)&lt;=$F$5*60/$C$7,INDEX(mission!$E$46:$E$60,MATCH($J$25,mission!$D$46:$D$60,0)),0)</f>
        <v>0</v>
      </c>
      <c r="K124" s="2" cm="1">
        <f t="array" ref="K124">IF(VLOOKUP($K$25,mission!$D$46:$F$60,3,FALSE)&lt;=$F$5*60/$C$7,INDEX(mission!$E$46:$E$60,MATCH($K$25,mission!$D$46:$D$60,0)),0)</f>
        <v>0</v>
      </c>
      <c r="L124" s="2" cm="1">
        <f t="array" ref="L124">IF(VLOOKUP($L$25,mission!$D$46:$F$60,3,FALSE)&lt;=$C$8,INDEX(mission!$E$46:$E$60,MATCH($L$25,mission!$D$46:$D$60,0)),0)</f>
        <v>5</v>
      </c>
      <c r="M124" s="2" cm="1">
        <f t="array" ref="M124">IF(VLOOKUP($M$25,mission!$D$46:$F$60,3,FALSE)&lt;=$C$8,INDEX(mission!$E$46:$E$60,MATCH($M$25,mission!$D$46:$D$60,0)),0)</f>
        <v>0</v>
      </c>
      <c r="N124" s="2" cm="1">
        <f t="array" ref="N124">IF(VLOOKUP($N$25,mission!$D$46:$F$60,3,FALSE)&lt;=$C$8,INDEX(mission!$E$46:$E$60,MATCH($N$25,mission!$D$46:$D$60,0)),0)</f>
        <v>0</v>
      </c>
      <c r="O124" s="2" cm="1">
        <f t="array" ref="O124">IF(VLOOKUP($O$25,mission!$D$46:$F$60,3,FALSE)&lt;=$C$8*$C$4,INDEX(mission!$E$46:$E$60,MATCH($O$25,mission!$D$46:$D$60,0)),0)</f>
        <v>0</v>
      </c>
      <c r="P124" s="2" cm="1">
        <f t="array" ref="P124">IF(VLOOKUP($P$25,mission!$D$46:$F$60,3,FALSE)&lt;=$C$8*$C$4,INDEX(mission!$E$46:$E$60,MATCH($P$25,mission!$D$46:$D$60,0)),0)</f>
        <v>0</v>
      </c>
      <c r="Q124" s="2" cm="1">
        <f t="array" ref="Q124">IF(VLOOKUP($Q$25,mission!$D$46:$F$60,3,FALSE)&lt;=$C$8*$C$4,INDEX(mission!$E$46:$E$60,MATCH($Q$25,mission!$D$46:$D$60,0)),0)</f>
        <v>0</v>
      </c>
      <c r="R124" s="2" cm="1">
        <f t="array" ref="R124">IF(VLOOKUP($R$25,mission!$D$46:$F$60,3,FALSE)&lt;=$F$5*60/$C$7,INDEX(mission!$E$46:$E$60,MATCH($R$25,mission!$D$46:$D$60,0)),0)</f>
        <v>5</v>
      </c>
      <c r="S124" s="2" cm="1">
        <f t="array" ref="S124">IF(VLOOKUP($S$25,mission!$D$46:$F$60,3,FALSE)&lt;=$F$5*60/$C$7,INDEX(mission!$E$46:$E$60,MATCH($S$25,mission!$D$46:$D$60,0)),0)</f>
        <v>0</v>
      </c>
      <c r="T124" s="2" cm="1">
        <f t="array" ref="T124">IF(VLOOKUP($T$25,mission!$D$46:$F$60,3,FALSE)&lt;=$F$5*60,INDEX(mission!$E$46:$E$60,MATCH($T$25,mission!$D$46:$D$60,0)),0)</f>
        <v>10</v>
      </c>
      <c r="U124" s="2" cm="1">
        <f t="array" ref="U124">IF(VLOOKUP($U$25,mission!$D$46:$F$60,3,FALSE)&lt;=$F$5*60,INDEX(mission!$E$46:$E$60,MATCH($U$25,mission!$D$46:$D$60,0)),0)</f>
        <v>0</v>
      </c>
      <c r="V124" s="2" cm="1">
        <f t="array" ref="V124">IF(VLOOKUP($V$25,mission!$D$46:$F$60,3,FALSE)&lt;=$F$5*60,INDEX(mission!$E$46:$E$60,MATCH($V$25,mission!$D$46:$D$60,0)),0)</f>
        <v>0</v>
      </c>
      <c r="W124" s="2" cm="1">
        <f t="array" ref="W124">IF(VLOOKUP($W$25,mission!$D$46:$F$60,3,FALSE)&lt;=$F$5*60,INDEX(mission!$E$46:$E$60,MATCH($W$25,mission!$D$46:$D$60,0)),0)</f>
        <v>0</v>
      </c>
    </row>
    <row r="125" s="1" customFormat="1" ht="18" customHeight="1" spans="2:23">
      <c r="B125" s="2">
        <v>100</v>
      </c>
      <c r="C125" s="2">
        <f t="shared" si="15"/>
        <v>100000</v>
      </c>
      <c r="D125" s="2">
        <f t="shared" si="21"/>
        <v>88</v>
      </c>
      <c r="E125" s="2">
        <f t="shared" si="17"/>
        <v>8800</v>
      </c>
      <c r="F125" s="2">
        <f>ROUND(E125*VLOOKUP($B$10,总产出!$T$4:$U$14,2,FALSE),0)</f>
        <v>880</v>
      </c>
      <c r="G125" s="2">
        <f t="shared" si="16"/>
        <v>25</v>
      </c>
      <c r="H125" s="2">
        <f t="shared" si="18"/>
        <v>2500</v>
      </c>
      <c r="I125" s="2" cm="1">
        <f t="array" ref="I125">IF(VLOOKUP($I$25,mission!$D$46:$F$60,3,FALSE)&lt;=$F$5*60/$C$7,INDEX(mission!$E$46:$E$60,MATCH($I$25,mission!$D$46:$D$60,0)),0)</f>
        <v>5</v>
      </c>
      <c r="J125" s="2" cm="1">
        <f t="array" ref="J125">IF(VLOOKUP($J$25,mission!$D$46:$F$60,3,FALSE)&lt;=$F$5*60/$C$7,INDEX(mission!$E$46:$E$60,MATCH($J$25,mission!$D$46:$D$60,0)),0)</f>
        <v>0</v>
      </c>
      <c r="K125" s="2" cm="1">
        <f t="array" ref="K125">IF(VLOOKUP($K$25,mission!$D$46:$F$60,3,FALSE)&lt;=$F$5*60/$C$7,INDEX(mission!$E$46:$E$60,MATCH($K$25,mission!$D$46:$D$60,0)),0)</f>
        <v>0</v>
      </c>
      <c r="L125" s="2" cm="1">
        <f t="array" ref="L125">IF(VLOOKUP($L$25,mission!$D$46:$F$60,3,FALSE)&lt;=$C$8,INDEX(mission!$E$46:$E$60,MATCH($L$25,mission!$D$46:$D$60,0)),0)</f>
        <v>5</v>
      </c>
      <c r="M125" s="2" cm="1">
        <f t="array" ref="M125">IF(VLOOKUP($M$25,mission!$D$46:$F$60,3,FALSE)&lt;=$C$8,INDEX(mission!$E$46:$E$60,MATCH($M$25,mission!$D$46:$D$60,0)),0)</f>
        <v>0</v>
      </c>
      <c r="N125" s="2" cm="1">
        <f t="array" ref="N125">IF(VLOOKUP($N$25,mission!$D$46:$F$60,3,FALSE)&lt;=$C$8,INDEX(mission!$E$46:$E$60,MATCH($N$25,mission!$D$46:$D$60,0)),0)</f>
        <v>0</v>
      </c>
      <c r="O125" s="2" cm="1">
        <f t="array" ref="O125">IF(VLOOKUP($O$25,mission!$D$46:$F$60,3,FALSE)&lt;=$C$8*$C$4,INDEX(mission!$E$46:$E$60,MATCH($O$25,mission!$D$46:$D$60,0)),0)</f>
        <v>0</v>
      </c>
      <c r="P125" s="2" cm="1">
        <f t="array" ref="P125">IF(VLOOKUP($P$25,mission!$D$46:$F$60,3,FALSE)&lt;=$C$8*$C$4,INDEX(mission!$E$46:$E$60,MATCH($P$25,mission!$D$46:$D$60,0)),0)</f>
        <v>0</v>
      </c>
      <c r="Q125" s="2" cm="1">
        <f t="array" ref="Q125">IF(VLOOKUP($Q$25,mission!$D$46:$F$60,3,FALSE)&lt;=$C$8*$C$4,INDEX(mission!$E$46:$E$60,MATCH($Q$25,mission!$D$46:$D$60,0)),0)</f>
        <v>0</v>
      </c>
      <c r="R125" s="2" cm="1">
        <f t="array" ref="R125">IF(VLOOKUP($R$25,mission!$D$46:$F$60,3,FALSE)&lt;=$F$5*60/$C$7,INDEX(mission!$E$46:$E$60,MATCH($R$25,mission!$D$46:$D$60,0)),0)</f>
        <v>5</v>
      </c>
      <c r="S125" s="2" cm="1">
        <f t="array" ref="S125">IF(VLOOKUP($S$25,mission!$D$46:$F$60,3,FALSE)&lt;=$F$5*60/$C$7,INDEX(mission!$E$46:$E$60,MATCH($S$25,mission!$D$46:$D$60,0)),0)</f>
        <v>0</v>
      </c>
      <c r="T125" s="2" cm="1">
        <f t="array" ref="T125">IF(VLOOKUP($T$25,mission!$D$46:$F$60,3,FALSE)&lt;=$F$5*60,INDEX(mission!$E$46:$E$60,MATCH($T$25,mission!$D$46:$D$60,0)),0)</f>
        <v>10</v>
      </c>
      <c r="U125" s="2" cm="1">
        <f t="array" ref="U125">IF(VLOOKUP($U$25,mission!$D$46:$F$60,3,FALSE)&lt;=$F$5*60,INDEX(mission!$E$46:$E$60,MATCH($U$25,mission!$D$46:$D$60,0)),0)</f>
        <v>0</v>
      </c>
      <c r="V125" s="2" cm="1">
        <f t="array" ref="V125">IF(VLOOKUP($V$25,mission!$D$46:$F$60,3,FALSE)&lt;=$F$5*60,INDEX(mission!$E$46:$E$60,MATCH($V$25,mission!$D$46:$D$60,0)),0)</f>
        <v>0</v>
      </c>
      <c r="W125" s="2" cm="1">
        <f t="array" ref="W125">IF(VLOOKUP($W$25,mission!$D$46:$F$60,3,FALSE)&lt;=$F$5*60,INDEX(mission!$E$46:$E$60,MATCH($W$25,mission!$D$46:$D$60,0)),0)</f>
        <v>0</v>
      </c>
    </row>
  </sheetData>
  <mergeCells count="3">
    <mergeCell ref="B2:C3"/>
    <mergeCell ref="E2:F3"/>
    <mergeCell ref="K2:L3"/>
  </mergeCells>
  <pageMargins left="0.7" right="0.7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25"/>
  <sheetViews>
    <sheetView workbookViewId="0">
      <pane ySplit="25" topLeftCell="A26" activePane="bottomLeft" state="frozen"/>
      <selection/>
      <selection pane="bottomLeft" activeCell="L13" sqref="L13"/>
    </sheetView>
  </sheetViews>
  <sheetFormatPr defaultColWidth="9" defaultRowHeight="13.5"/>
  <cols>
    <col min="2" max="8" width="18.625" customWidth="1"/>
    <col min="9" max="23" width="15.625" customWidth="1"/>
    <col min="24" max="26" width="18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K4" s="9"/>
      <c r="L4" s="9"/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8"/>
      <c r="I5" s="8"/>
      <c r="K5" s="9" t="s">
        <v>16</v>
      </c>
      <c r="L5" s="7">
        <f>总产出!L5</f>
        <v>0.990909090909091</v>
      </c>
    </row>
    <row r="6" s="1" customFormat="1" ht="18" customHeight="1" spans="2:6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19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26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546</v>
      </c>
      <c r="H25" s="9" t="s">
        <v>547</v>
      </c>
      <c r="I25" s="9" t="s">
        <v>205</v>
      </c>
      <c r="J25" s="9" t="s">
        <v>206</v>
      </c>
      <c r="K25" s="9" t="s">
        <v>207</v>
      </c>
      <c r="L25" s="9" t="s">
        <v>208</v>
      </c>
      <c r="M25" s="9" t="s">
        <v>209</v>
      </c>
      <c r="N25" s="9" t="s">
        <v>210</v>
      </c>
      <c r="O25" s="9" t="s">
        <v>211</v>
      </c>
      <c r="P25" s="9" t="s">
        <v>212</v>
      </c>
      <c r="Q25" s="9" t="s">
        <v>213</v>
      </c>
      <c r="R25" s="9" t="s">
        <v>214</v>
      </c>
      <c r="S25" s="9" t="s">
        <v>215</v>
      </c>
      <c r="T25" s="9" t="s">
        <v>216</v>
      </c>
      <c r="U25" s="9" t="s">
        <v>217</v>
      </c>
      <c r="V25" s="9" t="s">
        <v>218</v>
      </c>
      <c r="W25" s="9" t="s">
        <v>219</v>
      </c>
      <c r="X25" s="9" t="s">
        <v>548</v>
      </c>
      <c r="Y25" s="9" t="s">
        <v>549</v>
      </c>
      <c r="Z25" s="9" t="s">
        <v>547</v>
      </c>
    </row>
    <row r="26" s="2" customFormat="1" ht="18" customHeight="1" spans="2:26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18</v>
      </c>
      <c r="G26" s="2">
        <f t="shared" ref="G26:G89" si="2">SUM(I26:W26)</f>
        <v>0</v>
      </c>
      <c r="H26" s="2">
        <f>G26</f>
        <v>0</v>
      </c>
      <c r="I26" s="2" cm="1">
        <f t="array" ref="I26">IF(VLOOKUP(I$25,mission!$D$64:$F$78,3,FALSE)&lt;=$F$5*60/$C$7,INDEX(mission!$E$64:$E$78,MATCH(I$25,mission!$D$64:$D$78,0)),0)</f>
        <v>0</v>
      </c>
      <c r="J26" s="2" cm="1">
        <f t="array" ref="J26">IF(VLOOKUP(J$25,mission!$D$64:$F$78,3,FALSE)&lt;=$F$5*60/$C$7,INDEX(mission!$E$64:$E$78,MATCH(J$25,mission!$D$64:$D$78,0)),0)</f>
        <v>0</v>
      </c>
      <c r="K26" s="2" cm="1">
        <f t="array" ref="K26">IF(VLOOKUP(K$25,mission!$D$64:$F$78,3,FALSE)&lt;=$F$5*60/$C$7,INDEX(mission!$E$64:$E$78,MATCH(K$25,mission!$D$64:$D$78,0)),0)</f>
        <v>0</v>
      </c>
      <c r="L26" s="2" cm="1">
        <f t="array" ref="L26">IF(VLOOKUP(L$25,mission!$D$64:$F$78,3,FALSE)&lt;=$F$5*60/$C$7,INDEX(mission!$E$64:$E$78,MATCH(L$25,mission!$D$64:$D$78,0)),0)</f>
        <v>0</v>
      </c>
      <c r="M26" s="2" cm="1">
        <f t="array" ref="M26">IF(VLOOKUP(M$25,mission!$D$64:$F$78,3,FALSE)&lt;=$F$5*60/$C$7,INDEX(mission!$E$64:$E$78,MATCH(M$25,mission!$D$64:$D$78,0)),0)</f>
        <v>0</v>
      </c>
      <c r="N26" s="2" cm="1">
        <f t="array" ref="N26">IF(VLOOKUP(N$25,mission!$D$64:$F$78,3,FALSE)&lt;=$F$5*60/$C$7*$C$6,INDEX(mission!$E$64:$E$78,MATCH(N$25,mission!$D$64:$D$78,0)),0)</f>
        <v>0</v>
      </c>
      <c r="O26" s="2" cm="1">
        <f t="array" ref="O26">IF(VLOOKUP(O$25,mission!$D$64:$F$78,3,FALSE)&lt;=$F$5*60/$C$7*$C$6,INDEX(mission!$E$64:$E$78,MATCH(O$25,mission!$D$64:$D$78,0)),0)</f>
        <v>0</v>
      </c>
      <c r="P26" s="2" cm="1">
        <f t="array" ref="P26">IF(VLOOKUP(P$25,mission!$D$64:$F$78,3,FALSE)&lt;=$F$5*60/$C$7*$C$6,INDEX(mission!$E$64:$E$78,MATCH(P$25,mission!$D$64:$D$78,0)),0)</f>
        <v>0</v>
      </c>
      <c r="Q26" s="2" cm="1">
        <f t="array" ref="Q26">IF(VLOOKUP(Q$25,mission!$D$64:$F$78,3,FALSE)&lt;=$F$5*60/$C$7*$C$6,INDEX(mission!$E$64:$E$78,MATCH(Q$25,mission!$D$64:$D$78,0)),0)</f>
        <v>0</v>
      </c>
      <c r="R26" s="2" cm="1">
        <f t="array" ref="R26">IF(VLOOKUP(R$25,mission!$D$64:$F$78,3,FALSE)&lt;=$F$5*60/$C$7*$C$6,INDEX(mission!$E$64:$E$78,MATCH(R$25,mission!$D$64:$D$78,0)),0)</f>
        <v>0</v>
      </c>
      <c r="S26" s="2" cm="1">
        <f t="array" ref="S26">IF(VLOOKUP(S$25,mission!$D$64:$F$78,3,FALSE)&lt;=$F$5*60/$C$7*$C$6*$C$4,INDEX(mission!$E$64:$E$78,MATCH(S$25,mission!$D$64:$D$78,0)),0)</f>
        <v>0</v>
      </c>
      <c r="T26" s="2" cm="1">
        <f t="array" ref="T26">IF(VLOOKUP(T$25,mission!$D$64:$F$78,3,FALSE)&lt;=$F$5*60/$C$7*$C$6*$C$4,INDEX(mission!$E$64:$E$78,MATCH(T$25,mission!$D$64:$D$78,0)),0)</f>
        <v>0</v>
      </c>
      <c r="U26" s="2" cm="1">
        <f t="array" ref="U26">IF(VLOOKUP(U$25,mission!$D$64:$F$78,3,FALSE)&lt;=$F$5*60/$C$7*$C$6*$C$4,INDEX(mission!$E$64:$E$78,MATCH(U$25,mission!$D$64:$D$78,0)),0)</f>
        <v>0</v>
      </c>
      <c r="V26" s="2" cm="1">
        <f t="array" ref="V26">IF(VLOOKUP(V$25,mission!$D$64:$F$78,3,FALSE)&lt;=$F$5*60/$C$7*$C$6*$C$4,INDEX(mission!$E$64:$E$78,MATCH(V$25,mission!$D$64:$D$78,0)),0)</f>
        <v>0</v>
      </c>
      <c r="W26" s="2" cm="1">
        <f t="array" ref="W26">IF(VLOOKUP(W$25,mission!$D$64:$F$78,3,FALSE)&lt;=$F$5*60/$C$7*$C$6*$C$4,INDEX(mission!$E$64:$E$78,MATCH(W$25,mission!$D$64:$D$78,0)),0)</f>
        <v>0</v>
      </c>
      <c r="X26" s="2">
        <v>1</v>
      </c>
      <c r="Y26" s="2">
        <f>F32</f>
        <v>123</v>
      </c>
      <c r="Z26" s="2">
        <f>H32</f>
        <v>200</v>
      </c>
    </row>
    <row r="27" s="2" customFormat="1" ht="18" customHeight="1" spans="2:26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35</v>
      </c>
      <c r="G27" s="2">
        <f t="shared" si="2"/>
        <v>0</v>
      </c>
      <c r="H27" s="2">
        <f t="shared" ref="H27:H90" si="3">G27+H26</f>
        <v>0</v>
      </c>
      <c r="I27" s="2" cm="1">
        <f t="array" ref="I27">IF(I26=0,IF(VLOOKUP(I$25,mission!$D$64:$F$78,3,FALSE)&lt;=$F$5*60/$C$7*2,INDEX(mission!$E$64:$E$78,MATCH(I$25,mission!$D$64:$D$78,0)),0))</f>
        <v>0</v>
      </c>
      <c r="J27" s="2" cm="1">
        <f t="array" ref="J27">IF(J26=0,IF(VLOOKUP(J$25,mission!$D$64:$F$78,3,FALSE)&lt;=$F$5*60/$C$7*2,INDEX(mission!$E$64:$E$78,MATCH(J$25,mission!$D$64:$D$78,0)),0))</f>
        <v>0</v>
      </c>
      <c r="K27" s="2" cm="1">
        <f t="array" ref="K27">IF(K26=0,IF(VLOOKUP(K$25,mission!$D$64:$F$78,3,FALSE)&lt;=$F$5*60/$C$7*2,INDEX(mission!$E$64:$E$78,MATCH(K$25,mission!$D$64:$D$78,0)),0))</f>
        <v>0</v>
      </c>
      <c r="L27" s="2" cm="1">
        <f t="array" ref="L27">IF(L26=0,IF(VLOOKUP(L$25,mission!$D$64:$F$78,3,FALSE)&lt;=$F$5*60/$C$7*2,INDEX(mission!$E$64:$E$78,MATCH(L$25,mission!$D$64:$D$78,0)),0))</f>
        <v>0</v>
      </c>
      <c r="M27" s="2" cm="1">
        <f t="array" ref="M27">IF(M26=0,IF(VLOOKUP(M$25,mission!$D$64:$F$78,3,FALSE)&lt;=$F$5*60/$C$7*2,INDEX(mission!$E$64:$E$78,MATCH(M$25,mission!$D$64:$D$78,0)),0))</f>
        <v>0</v>
      </c>
      <c r="N27" s="2" cm="1">
        <f t="array" ref="N27">IF(N26=0,IF(VLOOKUP(N$25,mission!$D$64:$F$78,3,FALSE)&lt;=$F$5*60/$C$7*$C$6*2,INDEX(mission!$E$64:$E$78,MATCH(N$25,mission!$D$64:$D$78,0)),0))</f>
        <v>0</v>
      </c>
      <c r="O27" s="2" cm="1">
        <f t="array" ref="O27">IF(O26=0,IF(VLOOKUP(O$25,mission!$D$64:$F$78,3,FALSE)&lt;=$F$5*60/$C$7*$C$6*2,INDEX(mission!$E$64:$E$78,MATCH(O$25,mission!$D$64:$D$78,0)),0))</f>
        <v>0</v>
      </c>
      <c r="P27" s="2" cm="1">
        <f t="array" ref="P27">IF(P26=0,IF(VLOOKUP(P$25,mission!$D$64:$F$78,3,FALSE)&lt;=$F$5*60/$C$7*$C$6*2,INDEX(mission!$E$64:$E$78,MATCH(P$25,mission!$D$64:$D$78,0)),0))</f>
        <v>0</v>
      </c>
      <c r="Q27" s="2" cm="1">
        <f t="array" ref="Q27">IF(Q26=0,IF(VLOOKUP(Q$25,mission!$D$64:$F$78,3,FALSE)&lt;=$F$5*60/$C$7*$C$6*2,INDEX(mission!$E$64:$E$78,MATCH(Q$25,mission!$D$64:$D$78,0)),0))</f>
        <v>0</v>
      </c>
      <c r="R27" s="2" cm="1">
        <f t="array" ref="R27">IF(R26=0,IF(VLOOKUP(R$25,mission!$D$64:$F$78,3,FALSE)&lt;=$F$5*60/$C$7*$C$6*2,INDEX(mission!$E$64:$E$78,MATCH(R$25,mission!$D$64:$D$78,0)),0))</f>
        <v>0</v>
      </c>
      <c r="S27" s="2" cm="1">
        <f t="array" ref="S27">IF(S26=0,IF(VLOOKUP(S$25,mission!$D$64:$F$78,3,FALSE)&lt;=$F$5*60/$C$7*$C$6*$C$4*2,INDEX(mission!$E$64:$E$78,MATCH(S$25,mission!$D$64:$D$78,0)),0))</f>
        <v>0</v>
      </c>
      <c r="T27" s="2" cm="1">
        <f t="array" ref="T27">IF(T26=0,IF(VLOOKUP(T$25,mission!$D$64:$F$78,3,FALSE)&lt;=$F$5*60/$C$7*$C$6*$C$4*2,INDEX(mission!$E$64:$E$78,MATCH(T$25,mission!$D$64:$D$78,0)),0))</f>
        <v>0</v>
      </c>
      <c r="U27" s="2" cm="1">
        <f t="array" ref="U27">IF(U26=0,IF(VLOOKUP(U$25,mission!$D$64:$F$78,3,FALSE)&lt;=$F$5*60/$C$7*$C$6*$C$4*2,INDEX(mission!$E$64:$E$78,MATCH(U$25,mission!$D$64:$D$78,0)),0))</f>
        <v>0</v>
      </c>
      <c r="V27" s="2" cm="1">
        <f t="array" ref="V27">IF(V26=0,IF(VLOOKUP(V$25,mission!$D$64:$F$78,3,FALSE)&lt;=$F$5*60/$C$7*$C$6*$C$4*2,INDEX(mission!$E$64:$E$78,MATCH(V$25,mission!$D$64:$D$78,0)),0))</f>
        <v>0</v>
      </c>
      <c r="W27" s="2" cm="1">
        <f t="array" ref="W27">IF(W26=0,IF(VLOOKUP(W$25,mission!$D$64:$F$78,3,FALSE)&lt;=$F$5*60/$C$7*$C$6*$C$4*2,INDEX(mission!$E$64:$E$78,MATCH(W$25,mission!$D$64:$D$78,0)),0))</f>
        <v>0</v>
      </c>
      <c r="X27" s="2">
        <v>2</v>
      </c>
      <c r="Y27" s="2">
        <f t="shared" ref="Y27:Y39" si="4">(ROW()-25)*Y$26</f>
        <v>246</v>
      </c>
      <c r="Z27" s="2">
        <f>(ROW()-25)*Z$26</f>
        <v>400</v>
      </c>
    </row>
    <row r="28" s="2" customFormat="1" ht="18" customHeight="1" spans="2:26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53</v>
      </c>
      <c r="G28" s="2">
        <f t="shared" si="2"/>
        <v>100</v>
      </c>
      <c r="H28" s="2">
        <f t="shared" si="3"/>
        <v>100</v>
      </c>
      <c r="I28" s="2" cm="1">
        <f t="array" ref="I28">IF(I27=0,IF(VLOOKUP(I$25,mission!$D$64:$F$78,3,FALSE)&lt;=$F$5*60/$C$7*3,INDEX(mission!$E$64:$E$78,MATCH(I$25,mission!$D$64:$D$78,0)),0))</f>
        <v>25</v>
      </c>
      <c r="J28" s="2" cm="1">
        <f t="array" ref="J28">IF(J27=0,IF(VLOOKUP(J$25,mission!$D$64:$F$78,3,FALSE)&lt;=$F$5*60/$C$7*3,INDEX(mission!$E$64:$E$78,MATCH(J$25,mission!$D$64:$D$78,0)),0))</f>
        <v>0</v>
      </c>
      <c r="K28" s="2" cm="1">
        <f t="array" ref="K28">IF(K27=0,IF(VLOOKUP(K$25,mission!$D$64:$F$78,3,FALSE)&lt;=$F$5*60/$C$7*3,INDEX(mission!$E$64:$E$78,MATCH(K$25,mission!$D$64:$D$78,0)),0))</f>
        <v>0</v>
      </c>
      <c r="L28" s="2" cm="1">
        <f t="array" ref="L28">IF(L27=0,IF(VLOOKUP(L$25,mission!$D$64:$F$78,3,FALSE)&lt;=$F$5*60/$C$7*3,INDEX(mission!$E$64:$E$78,MATCH(L$25,mission!$D$64:$D$78,0)),0))</f>
        <v>0</v>
      </c>
      <c r="M28" s="2" cm="1">
        <f t="array" ref="M28">IF(M27=0,IF(VLOOKUP(M$25,mission!$D$64:$F$78,3,FALSE)&lt;=$F$5*60/$C$7*3,INDEX(mission!$E$64:$E$78,MATCH(M$25,mission!$D$64:$D$78,0)),0))</f>
        <v>0</v>
      </c>
      <c r="N28" s="2" cm="1">
        <f t="array" ref="N28">IF(N27=0,IF(VLOOKUP(N$25,mission!$D$64:$F$78,3,FALSE)&lt;=$F$5*60/$C$7*$C$6*3,INDEX(mission!$E$64:$E$78,MATCH(N$25,mission!$D$64:$D$78,0)),0))</f>
        <v>25</v>
      </c>
      <c r="O28" s="2" cm="1">
        <f t="array" ref="O28">IF(O27=0,IF(VLOOKUP(O$25,mission!$D$64:$F$78,3,FALSE)&lt;=$F$5*60/$C$7*$C$6*3,INDEX(mission!$E$64:$E$78,MATCH(O$25,mission!$D$64:$D$78,0)),0))</f>
        <v>0</v>
      </c>
      <c r="P28" s="2" cm="1">
        <f t="array" ref="P28">IF(P27=0,IF(VLOOKUP(P$25,mission!$D$64:$F$78,3,FALSE)&lt;=$F$5*60/$C$7*$C$6*3,INDEX(mission!$E$64:$E$78,MATCH(P$25,mission!$D$64:$D$78,0)),0))</f>
        <v>0</v>
      </c>
      <c r="Q28" s="2" cm="1">
        <f t="array" ref="Q28">IF(Q27=0,IF(VLOOKUP(Q$25,mission!$D$64:$F$78,3,FALSE)&lt;=$F$5*60/$C$7*$C$6*3,INDEX(mission!$E$64:$E$78,MATCH(Q$25,mission!$D$64:$D$78,0)),0))</f>
        <v>0</v>
      </c>
      <c r="R28" s="2" cm="1">
        <f t="array" ref="R28">IF(R27=0,IF(VLOOKUP(R$25,mission!$D$64:$F$78,3,FALSE)&lt;=$F$5*60/$C$7*$C$6*3,INDEX(mission!$E$64:$E$78,MATCH(R$25,mission!$D$64:$D$78,0)),0))</f>
        <v>0</v>
      </c>
      <c r="S28" s="2" cm="1">
        <f t="array" ref="S28">IF(S27=0,IF(VLOOKUP(S$25,mission!$D$64:$F$78,3,FALSE)&lt;=$F$5*60/$C$7*$C$6*$C$4*3,INDEX(mission!$E$64:$E$78,MATCH(S$25,mission!$D$64:$D$78,0)),0))</f>
        <v>50</v>
      </c>
      <c r="T28" s="2" cm="1">
        <f t="array" ref="T28">IF(T27=0,IF(VLOOKUP(T$25,mission!$D$64:$F$78,3,FALSE)&lt;=$F$5*60/$C$7*$C$6*$C$4*3,INDEX(mission!$E$64:$E$78,MATCH(T$25,mission!$D$64:$D$78,0)),0))</f>
        <v>0</v>
      </c>
      <c r="U28" s="2" cm="1">
        <f t="array" ref="U28">IF(U27=0,IF(VLOOKUP(U$25,mission!$D$64:$F$78,3,FALSE)&lt;=$F$5*60/$C$7*$C$6*$C$4*3,INDEX(mission!$E$64:$E$78,MATCH(U$25,mission!$D$64:$D$78,0)),0))</f>
        <v>0</v>
      </c>
      <c r="V28" s="2" cm="1">
        <f t="array" ref="V28">IF(V27=0,IF(VLOOKUP(V$25,mission!$D$64:$F$78,3,FALSE)&lt;=$F$5*60/$C$7*$C$6*$C$4*3,INDEX(mission!$E$64:$E$78,MATCH(V$25,mission!$D$64:$D$78,0)),0))</f>
        <v>0</v>
      </c>
      <c r="W28" s="2" cm="1">
        <f t="array" ref="W28">IF(W27=0,IF(VLOOKUP(W$25,mission!$D$64:$F$78,3,FALSE)&lt;=$F$5*60/$C$7*$C$6*$C$4*3,INDEX(mission!$E$64:$E$78,MATCH(W$25,mission!$D$64:$D$78,0)),0))</f>
        <v>0</v>
      </c>
      <c r="X28" s="2">
        <v>3</v>
      </c>
      <c r="Y28" s="2">
        <f t="shared" si="4"/>
        <v>369</v>
      </c>
      <c r="Z28" s="2">
        <f t="shared" ref="Z28:Z39" si="5">(ROW()-25)*Z$26</f>
        <v>600</v>
      </c>
    </row>
    <row r="29" s="2" customFormat="1" ht="18" customHeight="1" spans="2:26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70</v>
      </c>
      <c r="G29" s="2">
        <f t="shared" si="2"/>
        <v>0</v>
      </c>
      <c r="H29" s="2">
        <f t="shared" si="3"/>
        <v>100</v>
      </c>
      <c r="I29" s="2" t="b" cm="1">
        <f t="array" ref="I29">IF(I28=0,IF(VLOOKUP(I$25,mission!$D$64:$F$78,3,FALSE)&lt;=$F$5*60/$C$7*4,INDEX(mission!$E$64:$E$78,MATCH(I$25,mission!$D$64:$D$78,0)),0))</f>
        <v>0</v>
      </c>
      <c r="J29" s="2" cm="1">
        <f t="array" ref="J29">IF(J28=0,IF(VLOOKUP(J$25,mission!$D$64:$F$78,3,FALSE)&lt;=$F$5*60/$C$7*4,INDEX(mission!$E$64:$E$78,MATCH(J$25,mission!$D$64:$D$78,0)),0))</f>
        <v>0</v>
      </c>
      <c r="K29" s="2" cm="1">
        <f t="array" ref="K29">IF(K28=0,IF(VLOOKUP(K$25,mission!$D$64:$F$78,3,FALSE)&lt;=$F$5*60/$C$7*4,INDEX(mission!$E$64:$E$78,MATCH(K$25,mission!$D$64:$D$78,0)),0))</f>
        <v>0</v>
      </c>
      <c r="L29" s="2" cm="1">
        <f t="array" ref="L29">IF(L28=0,IF(VLOOKUP(L$25,mission!$D$64:$F$78,3,FALSE)&lt;=$F$5*60/$C$7*4,INDEX(mission!$E$64:$E$78,MATCH(L$25,mission!$D$64:$D$78,0)),0))</f>
        <v>0</v>
      </c>
      <c r="M29" s="2" cm="1">
        <f t="array" ref="M29">IF(M28=0,IF(VLOOKUP(M$25,mission!$D$64:$F$78,3,FALSE)&lt;=$F$5*60/$C$7*4,INDEX(mission!$E$64:$E$78,MATCH(M$25,mission!$D$64:$D$78,0)),0))</f>
        <v>0</v>
      </c>
      <c r="N29" s="2" t="b" cm="1">
        <f t="array" ref="N29">IF(N28=0,IF(VLOOKUP(N$25,mission!$D$64:$F$78,3,FALSE)&lt;=$F$5*60/$C$7*$C$6*4,INDEX(mission!$E$64:$E$78,MATCH(N$25,mission!$D$64:$D$78,0)),0))</f>
        <v>0</v>
      </c>
      <c r="O29" s="2" cm="1">
        <f t="array" ref="O29">IF(O28=0,IF(VLOOKUP(O$25,mission!$D$64:$F$78,3,FALSE)&lt;=$F$5*60/$C$7*$C$6*4,INDEX(mission!$E$64:$E$78,MATCH(O$25,mission!$D$64:$D$78,0)),0))</f>
        <v>0</v>
      </c>
      <c r="P29" s="2" cm="1">
        <f t="array" ref="P29">IF(P28=0,IF(VLOOKUP(P$25,mission!$D$64:$F$78,3,FALSE)&lt;=$F$5*60/$C$7*$C$6*4,INDEX(mission!$E$64:$E$78,MATCH(P$25,mission!$D$64:$D$78,0)),0))</f>
        <v>0</v>
      </c>
      <c r="Q29" s="2" cm="1">
        <f t="array" ref="Q29">IF(Q28=0,IF(VLOOKUP(Q$25,mission!$D$64:$F$78,3,FALSE)&lt;=$F$5*60/$C$7*$C$6*4,INDEX(mission!$E$64:$E$78,MATCH(Q$25,mission!$D$64:$D$78,0)),0))</f>
        <v>0</v>
      </c>
      <c r="R29" s="2" cm="1">
        <f t="array" ref="R29">IF(R28=0,IF(VLOOKUP(R$25,mission!$D$64:$F$78,3,FALSE)&lt;=$F$5*60/$C$7*$C$6*4,INDEX(mission!$E$64:$E$78,MATCH(R$25,mission!$D$64:$D$78,0)),0))</f>
        <v>0</v>
      </c>
      <c r="S29" s="2" t="b" cm="1">
        <f t="array" ref="S29">IF(S28=0,IF(VLOOKUP(S$25,mission!$D$64:$F$78,3,FALSE)&lt;=$F$5*60/$C$7*$C$6*$C$4*4,INDEX(mission!$E$64:$E$78,MATCH(S$25,mission!$D$64:$D$78,0)),0))</f>
        <v>0</v>
      </c>
      <c r="T29" s="2" cm="1">
        <f t="array" ref="T29">IF(T28=0,IF(VLOOKUP(T$25,mission!$D$64:$F$78,3,FALSE)&lt;=$F$5*60/$C$7*$C$6*$C$4*4,INDEX(mission!$E$64:$E$78,MATCH(T$25,mission!$D$64:$D$78,0)),0))</f>
        <v>0</v>
      </c>
      <c r="U29" s="2" cm="1">
        <f t="array" ref="U29">IF(U28=0,IF(VLOOKUP(U$25,mission!$D$64:$F$78,3,FALSE)&lt;=$F$5*60/$C$7*$C$6*$C$4*4,INDEX(mission!$E$64:$E$78,MATCH(U$25,mission!$D$64:$D$78,0)),0))</f>
        <v>0</v>
      </c>
      <c r="V29" s="2" cm="1">
        <f t="array" ref="V29">IF(V28=0,IF(VLOOKUP(V$25,mission!$D$64:$F$78,3,FALSE)&lt;=$F$5*60/$C$7*$C$6*$C$4*4,INDEX(mission!$E$64:$E$78,MATCH(V$25,mission!$D$64:$D$78,0)),0))</f>
        <v>0</v>
      </c>
      <c r="W29" s="2" cm="1">
        <f t="array" ref="W29">IF(W28=0,IF(VLOOKUP(W$25,mission!$D$64:$F$78,3,FALSE)&lt;=$F$5*60/$C$7*$C$6*$C$4*4,INDEX(mission!$E$64:$E$78,MATCH(W$25,mission!$D$64:$D$78,0)),0))</f>
        <v>0</v>
      </c>
      <c r="X29" s="2">
        <v>4</v>
      </c>
      <c r="Y29" s="2">
        <f t="shared" si="4"/>
        <v>492</v>
      </c>
      <c r="Z29" s="2">
        <f t="shared" si="5"/>
        <v>800</v>
      </c>
    </row>
    <row r="30" s="2" customFormat="1" ht="18" customHeight="1" spans="2:26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88</v>
      </c>
      <c r="G30" s="2">
        <f t="shared" si="2"/>
        <v>0</v>
      </c>
      <c r="H30" s="2">
        <f t="shared" si="3"/>
        <v>100</v>
      </c>
      <c r="I30" s="2" t="b" cm="1">
        <f t="array" ref="I30">IF(I29=0,IF(VLOOKUP(I$25,mission!$D$64:$F$78,3,FALSE)&lt;=$F$5*60/$C$7*5,INDEX(mission!$E$64:$E$78,MATCH(I$25,mission!$D$64:$D$78,0)),0))</f>
        <v>0</v>
      </c>
      <c r="J30" s="2" cm="1">
        <f t="array" ref="J30">IF(J29=0,IF(VLOOKUP(J$25,mission!$D$64:$F$78,3,FALSE)&lt;=$F$5*60/$C$7*5,INDEX(mission!$E$64:$E$78,MATCH(J$25,mission!$D$64:$D$78,0)),0))</f>
        <v>0</v>
      </c>
      <c r="K30" s="2" cm="1">
        <f t="array" ref="K30">IF(K29=0,IF(VLOOKUP(K$25,mission!$D$64:$F$78,3,FALSE)&lt;=$F$5*60/$C$7*5,INDEX(mission!$E$64:$E$78,MATCH(K$25,mission!$D$64:$D$78,0)),0))</f>
        <v>0</v>
      </c>
      <c r="L30" s="2" cm="1">
        <f t="array" ref="L30">IF(L29=0,IF(VLOOKUP(L$25,mission!$D$64:$F$78,3,FALSE)&lt;=$F$5*60/$C$7*5,INDEX(mission!$E$64:$E$78,MATCH(L$25,mission!$D$64:$D$78,0)),0))</f>
        <v>0</v>
      </c>
      <c r="M30" s="2" cm="1">
        <f t="array" ref="M30">IF(M29=0,IF(VLOOKUP(M$25,mission!$D$64:$F$78,3,FALSE)&lt;=$F$5*60/$C$7*5,INDEX(mission!$E$64:$E$78,MATCH(M$25,mission!$D$64:$D$78,0)),0))</f>
        <v>0</v>
      </c>
      <c r="N30" s="2" t="b" cm="1">
        <f t="array" ref="N30">IF(N29=0,IF(VLOOKUP(N$25,mission!$D$64:$F$78,3,FALSE)&lt;=$F$5*60/$C$7*$C$6*5,INDEX(mission!$E$64:$E$78,MATCH(N$25,mission!$D$64:$D$78,0)),0))</f>
        <v>0</v>
      </c>
      <c r="O30" s="2" cm="1">
        <f t="array" ref="O30">IF(O29=0,IF(VLOOKUP(O$25,mission!$D$64:$F$78,3,FALSE)&lt;=$F$5*60/$C$7*$C$6*5,INDEX(mission!$E$64:$E$78,MATCH(O$25,mission!$D$64:$D$78,0)),0))</f>
        <v>0</v>
      </c>
      <c r="P30" s="2" cm="1">
        <f t="array" ref="P30">IF(P29=0,IF(VLOOKUP(P$25,mission!$D$64:$F$78,3,FALSE)&lt;=$F$5*60/$C$7*$C$6*5,INDEX(mission!$E$64:$E$78,MATCH(P$25,mission!$D$64:$D$78,0)),0))</f>
        <v>0</v>
      </c>
      <c r="Q30" s="2" cm="1">
        <f t="array" ref="Q30">IF(Q29=0,IF(VLOOKUP(Q$25,mission!$D$64:$F$78,3,FALSE)&lt;=$F$5*60/$C$7*$C$6*5,INDEX(mission!$E$64:$E$78,MATCH(Q$25,mission!$D$64:$D$78,0)),0))</f>
        <v>0</v>
      </c>
      <c r="R30" s="2" cm="1">
        <f t="array" ref="R30">IF(R29=0,IF(VLOOKUP(R$25,mission!$D$64:$F$78,3,FALSE)&lt;=$F$5*60/$C$7*$C$6*5,INDEX(mission!$E$64:$E$78,MATCH(R$25,mission!$D$64:$D$78,0)),0))</f>
        <v>0</v>
      </c>
      <c r="S30" s="2" t="b" cm="1">
        <f t="array" ref="S30">IF(S29=0,IF(VLOOKUP(S$25,mission!$D$64:$F$78,3,FALSE)&lt;=$F$5*60/$C$7*$C$6*$C$4*5,INDEX(mission!$E$64:$E$78,MATCH(S$25,mission!$D$64:$D$78,0)),0))</f>
        <v>0</v>
      </c>
      <c r="T30" s="2" cm="1">
        <f t="array" ref="T30">IF(T29=0,IF(VLOOKUP(T$25,mission!$D$64:$F$78,3,FALSE)&lt;=$F$5*60/$C$7*$C$6*$C$4*5,INDEX(mission!$E$64:$E$78,MATCH(T$25,mission!$D$64:$D$78,0)),0))</f>
        <v>0</v>
      </c>
      <c r="U30" s="2" cm="1">
        <f t="array" ref="U30">IF(U29=0,IF(VLOOKUP(U$25,mission!$D$64:$F$78,3,FALSE)&lt;=$F$5*60/$C$7*$C$6*$C$4*5,INDEX(mission!$E$64:$E$78,MATCH(U$25,mission!$D$64:$D$78,0)),0))</f>
        <v>0</v>
      </c>
      <c r="V30" s="2" cm="1">
        <f t="array" ref="V30">IF(V29=0,IF(VLOOKUP(V$25,mission!$D$64:$F$78,3,FALSE)&lt;=$F$5*60/$C$7*$C$6*$C$4*5,INDEX(mission!$E$64:$E$78,MATCH(V$25,mission!$D$64:$D$78,0)),0))</f>
        <v>0</v>
      </c>
      <c r="W30" s="2" cm="1">
        <f t="array" ref="W30">IF(W29=0,IF(VLOOKUP(W$25,mission!$D$64:$F$78,3,FALSE)&lt;=$F$5*60/$C$7*$C$6*$C$4*5,INDEX(mission!$E$64:$E$78,MATCH(W$25,mission!$D$64:$D$78,0)),0))</f>
        <v>0</v>
      </c>
      <c r="X30" s="2">
        <v>5</v>
      </c>
      <c r="Y30" s="2">
        <f t="shared" si="4"/>
        <v>615</v>
      </c>
      <c r="Z30" s="2">
        <f t="shared" si="5"/>
        <v>1000</v>
      </c>
    </row>
    <row r="31" s="2" customFormat="1" ht="18" customHeight="1" spans="2:26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106</v>
      </c>
      <c r="G31" s="2">
        <f t="shared" si="2"/>
        <v>100</v>
      </c>
      <c r="H31" s="2">
        <f t="shared" si="3"/>
        <v>200</v>
      </c>
      <c r="I31" s="2" t="b" cm="1">
        <f t="array" ref="I31">IF(I30=0,IF(VLOOKUP(I$25,mission!$D$64:$F$78,3,FALSE)&lt;=$F$5*60/$C$7*6,INDEX(mission!$E$64:$E$78,MATCH(I$25,mission!$D$64:$D$78,0)),0))</f>
        <v>0</v>
      </c>
      <c r="J31" s="2" cm="1">
        <f t="array" ref="J31">IF(J30=0,IF(VLOOKUP(J$25,mission!$D$64:$F$78,3,FALSE)&lt;=$F$5*60/$C$7*6,INDEX(mission!$E$64:$E$78,MATCH(J$25,mission!$D$64:$D$78,0)),0))</f>
        <v>25</v>
      </c>
      <c r="K31" s="2" cm="1">
        <f t="array" ref="K31">IF(K30=0,IF(VLOOKUP(K$25,mission!$D$64:$F$78,3,FALSE)&lt;=$F$5*60/$C$7*6,INDEX(mission!$E$64:$E$78,MATCH(K$25,mission!$D$64:$D$78,0)),0))</f>
        <v>0</v>
      </c>
      <c r="L31" s="2" cm="1">
        <f t="array" ref="L31">IF(L30=0,IF(VLOOKUP(L$25,mission!$D$64:$F$78,3,FALSE)&lt;=$F$5*60/$C$7*6,INDEX(mission!$E$64:$E$78,MATCH(L$25,mission!$D$64:$D$78,0)),0))</f>
        <v>0</v>
      </c>
      <c r="M31" s="2" cm="1">
        <f t="array" ref="M31">IF(M30=0,IF(VLOOKUP(M$25,mission!$D$64:$F$78,3,FALSE)&lt;=$F$5*60/$C$7*6,INDEX(mission!$E$64:$E$78,MATCH(M$25,mission!$D$64:$D$78,0)),0))</f>
        <v>0</v>
      </c>
      <c r="N31" s="2" t="b" cm="1">
        <f t="array" ref="N31">IF(N30=0,IF(VLOOKUP(N$25,mission!$D$64:$F$78,3,FALSE)&lt;=$F$5*60/$C$7*$C$6*6,INDEX(mission!$E$64:$E$78,MATCH(N$25,mission!$D$64:$D$78,0)),0))</f>
        <v>0</v>
      </c>
      <c r="O31" s="2" cm="1">
        <f t="array" ref="O31">IF(O30=0,IF(VLOOKUP(O$25,mission!$D$64:$F$78,3,FALSE)&lt;=$F$5*60/$C$7*$C$6*6,INDEX(mission!$E$64:$E$78,MATCH(O$25,mission!$D$64:$D$78,0)),0))</f>
        <v>25</v>
      </c>
      <c r="P31" s="2" cm="1">
        <f t="array" ref="P31">IF(P30=0,IF(VLOOKUP(P$25,mission!$D$64:$F$78,3,FALSE)&lt;=$F$5*60/$C$7*$C$6*6,INDEX(mission!$E$64:$E$78,MATCH(P$25,mission!$D$64:$D$78,0)),0))</f>
        <v>0</v>
      </c>
      <c r="Q31" s="2" cm="1">
        <f t="array" ref="Q31">IF(Q30=0,IF(VLOOKUP(Q$25,mission!$D$64:$F$78,3,FALSE)&lt;=$F$5*60/$C$7*$C$6*6,INDEX(mission!$E$64:$E$78,MATCH(Q$25,mission!$D$64:$D$78,0)),0))</f>
        <v>0</v>
      </c>
      <c r="R31" s="2" cm="1">
        <f t="array" ref="R31">IF(R30=0,IF(VLOOKUP(R$25,mission!$D$64:$F$78,3,FALSE)&lt;=$F$5*60/$C$7*$C$6*6,INDEX(mission!$E$64:$E$78,MATCH(R$25,mission!$D$64:$D$78,0)),0))</f>
        <v>0</v>
      </c>
      <c r="S31" s="2" t="b" cm="1">
        <f t="array" ref="S31">IF(S30=0,IF(VLOOKUP(S$25,mission!$D$64:$F$78,3,FALSE)&lt;=$F$5*60/$C$7*$C$6*$C$4*6,INDEX(mission!$E$64:$E$78,MATCH(S$25,mission!$D$64:$D$78,0)),0))</f>
        <v>0</v>
      </c>
      <c r="T31" s="2" cm="1">
        <f t="array" ref="T31">IF(T30=0,IF(VLOOKUP(T$25,mission!$D$64:$F$78,3,FALSE)&lt;=$F$5*60/$C$7*$C$6*$C$4*6,INDEX(mission!$E$64:$E$78,MATCH(T$25,mission!$D$64:$D$78,0)),0))</f>
        <v>50</v>
      </c>
      <c r="U31" s="2" cm="1">
        <f t="array" ref="U31">IF(U30=0,IF(VLOOKUP(U$25,mission!$D$64:$F$78,3,FALSE)&lt;=$F$5*60/$C$7*$C$6*$C$4*6,INDEX(mission!$E$64:$E$78,MATCH(U$25,mission!$D$64:$D$78,0)),0))</f>
        <v>0</v>
      </c>
      <c r="V31" s="2" cm="1">
        <f t="array" ref="V31">IF(V30=0,IF(VLOOKUP(V$25,mission!$D$64:$F$78,3,FALSE)&lt;=$F$5*60/$C$7*$C$6*$C$4*6,INDEX(mission!$E$64:$E$78,MATCH(V$25,mission!$D$64:$D$78,0)),0))</f>
        <v>0</v>
      </c>
      <c r="W31" s="2" cm="1">
        <f t="array" ref="W31">IF(W30=0,IF(VLOOKUP(W$25,mission!$D$64:$F$78,3,FALSE)&lt;=$F$5*60/$C$7*$C$6*$C$4*6,INDEX(mission!$E$64:$E$78,MATCH(W$25,mission!$D$64:$D$78,0)),0))</f>
        <v>0</v>
      </c>
      <c r="X31" s="2">
        <v>6</v>
      </c>
      <c r="Y31" s="2">
        <f t="shared" si="4"/>
        <v>738</v>
      </c>
      <c r="Z31" s="2">
        <f t="shared" si="5"/>
        <v>1200</v>
      </c>
    </row>
    <row r="32" s="10" customFormat="1" ht="18" customHeight="1" spans="2:26">
      <c r="B32" s="10">
        <v>7</v>
      </c>
      <c r="C32" s="10">
        <f t="shared" si="0"/>
        <v>7000</v>
      </c>
      <c r="D32" s="10">
        <f>ROUND($C$8*$C$5+$C$8*$C$4*(1-$L$5),0)</f>
        <v>88</v>
      </c>
      <c r="E32" s="10">
        <f t="shared" si="1"/>
        <v>616</v>
      </c>
      <c r="F32" s="10">
        <f>ROUND(E32*VLOOKUP($B$10,总产出!$T$4:$U$14,2,FALSE),0)</f>
        <v>123</v>
      </c>
      <c r="G32" s="10">
        <f t="shared" si="2"/>
        <v>0</v>
      </c>
      <c r="H32" s="10">
        <f t="shared" si="3"/>
        <v>200</v>
      </c>
      <c r="I32" s="10" t="b" cm="1">
        <f t="array" ref="I32">IF(I31=0,IF(VLOOKUP(I$25,mission!$D$64:$F$78,3,FALSE)&lt;=$F$5*60/$C$7*7,INDEX(mission!$E$64:$E$78,MATCH(I$25,mission!$D$64:$D$78,0)),0))</f>
        <v>0</v>
      </c>
      <c r="J32" s="10" t="b" cm="1">
        <f t="array" ref="J32">IF(J31=0,IF(VLOOKUP(J$25,mission!$D$64:$F$78,3,FALSE)&lt;=$F$5*60/$C$7*7,INDEX(mission!$E$64:$E$78,MATCH(J$25,mission!$D$64:$D$78,0)),0))</f>
        <v>0</v>
      </c>
      <c r="K32" s="10" cm="1">
        <f t="array" ref="K32">IF(K31=0,IF(VLOOKUP(K$25,mission!$D$64:$F$78,3,FALSE)&lt;=$F$5*60/$C$7*7,INDEX(mission!$E$64:$E$78,MATCH(K$25,mission!$D$64:$D$78,0)),0))</f>
        <v>0</v>
      </c>
      <c r="L32" s="10" cm="1">
        <f t="array" ref="L32">IF(L31=0,IF(VLOOKUP(L$25,mission!$D$64:$F$78,3,FALSE)&lt;=$F$5*60/$C$7*7,INDEX(mission!$E$64:$E$78,MATCH(L$25,mission!$D$64:$D$78,0)),0))</f>
        <v>0</v>
      </c>
      <c r="M32" s="10" cm="1">
        <f t="array" ref="M32">IF(M31=0,IF(VLOOKUP(M$25,mission!$D$64:$F$78,3,FALSE)&lt;=$F$5*60/$C$7*7,INDEX(mission!$E$64:$E$78,MATCH(M$25,mission!$D$64:$D$78,0)),0))</f>
        <v>0</v>
      </c>
      <c r="N32" s="10" t="b" cm="1">
        <f t="array" ref="N32">IF(N31=0,IF(VLOOKUP(N$25,mission!$D$64:$F$78,3,FALSE)&lt;=$F$5*60/$C$7*$C$6*7,INDEX(mission!$E$64:$E$78,MATCH(N$25,mission!$D$64:$D$78,0)),0))</f>
        <v>0</v>
      </c>
      <c r="O32" s="10" t="b" cm="1">
        <f t="array" ref="O32">IF(O31=0,IF(VLOOKUP(O$25,mission!$D$64:$F$78,3,FALSE)&lt;=$F$5*60/$C$7*$C$6*7,INDEX(mission!$E$64:$E$78,MATCH(O$25,mission!$D$64:$D$78,0)),0))</f>
        <v>0</v>
      </c>
      <c r="P32" s="10" cm="1">
        <f t="array" ref="P32">IF(P31=0,IF(VLOOKUP(P$25,mission!$D$64:$F$78,3,FALSE)&lt;=$F$5*60/$C$7*$C$6*7,INDEX(mission!$E$64:$E$78,MATCH(P$25,mission!$D$64:$D$78,0)),0))</f>
        <v>0</v>
      </c>
      <c r="Q32" s="10" cm="1">
        <f t="array" ref="Q32">IF(Q31=0,IF(VLOOKUP(Q$25,mission!$D$64:$F$78,3,FALSE)&lt;=$F$5*60/$C$7*$C$6*7,INDEX(mission!$E$64:$E$78,MATCH(Q$25,mission!$D$64:$D$78,0)),0))</f>
        <v>0</v>
      </c>
      <c r="R32" s="10" cm="1">
        <f t="array" ref="R32">IF(R31=0,IF(VLOOKUP(R$25,mission!$D$64:$F$78,3,FALSE)&lt;=$F$5*60/$C$7*$C$6*7,INDEX(mission!$E$64:$E$78,MATCH(R$25,mission!$D$64:$D$78,0)),0))</f>
        <v>0</v>
      </c>
      <c r="S32" s="10" t="b" cm="1">
        <f t="array" ref="S32">IF(S31=0,IF(VLOOKUP(S$25,mission!$D$64:$F$78,3,FALSE)&lt;=$F$5*60/$C$7*$C$6*$C$4*7,INDEX(mission!$E$64:$E$78,MATCH(S$25,mission!$D$64:$D$78,0)),0))</f>
        <v>0</v>
      </c>
      <c r="T32" s="10" t="b" cm="1">
        <f t="array" ref="T32">IF(T31=0,IF(VLOOKUP(T$25,mission!$D$64:$F$78,3,FALSE)&lt;=$F$5*60/$C$7*$C$6*$C$4*7,INDEX(mission!$E$64:$E$78,MATCH(T$25,mission!$D$64:$D$78,0)),0))</f>
        <v>0</v>
      </c>
      <c r="U32" s="10" cm="1">
        <f t="array" ref="U32">IF(U31=0,IF(VLOOKUP(U$25,mission!$D$64:$F$78,3,FALSE)&lt;=$F$5*60/$C$7*$C$6*$C$4*7,INDEX(mission!$E$64:$E$78,MATCH(U$25,mission!$D$64:$D$78,0)),0))</f>
        <v>0</v>
      </c>
      <c r="V32" s="10" cm="1">
        <f t="array" ref="V32">IF(V31=0,IF(VLOOKUP(V$25,mission!$D$64:$F$78,3,FALSE)&lt;=$F$5*60/$C$7*$C$6*$C$4*7,INDEX(mission!$E$64:$E$78,MATCH(V$25,mission!$D$64:$D$78,0)),0))</f>
        <v>0</v>
      </c>
      <c r="W32" s="10" cm="1">
        <f t="array" ref="W32">IF(W31=0,IF(VLOOKUP(W$25,mission!$D$64:$F$78,3,FALSE)&lt;=$F$5*60/$C$7*$C$6*$C$4*7,INDEX(mission!$E$64:$E$78,MATCH(W$25,mission!$D$64:$D$78,0)),0))</f>
        <v>0</v>
      </c>
      <c r="X32" s="2">
        <v>7</v>
      </c>
      <c r="Y32" s="2">
        <f t="shared" si="4"/>
        <v>861</v>
      </c>
      <c r="Z32" s="2">
        <f t="shared" si="5"/>
        <v>1400</v>
      </c>
    </row>
    <row r="33" s="2" customFormat="1" ht="18" customHeight="1" spans="2:26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141</v>
      </c>
      <c r="G33" s="2">
        <f t="shared" si="2"/>
        <v>0</v>
      </c>
      <c r="H33" s="2">
        <f t="shared" si="3"/>
        <v>200</v>
      </c>
      <c r="I33" s="2" cm="1">
        <f t="array" ref="I33">IF(VLOOKUP(I$25,mission!$D$64:$F$78,3,FALSE)&lt;=$F$5*60/$C$7,INDEX(mission!$E$64:$E$78,MATCH(I$25,mission!$D$64:$D$78,0)),0)</f>
        <v>0</v>
      </c>
      <c r="J33" s="2" cm="1">
        <f t="array" ref="J33">IF(VLOOKUP(J$25,mission!$D$64:$F$78,3,FALSE)&lt;=$F$5*60/$C$7,INDEX(mission!$E$64:$E$78,MATCH(J$25,mission!$D$64:$D$78,0)),0)</f>
        <v>0</v>
      </c>
      <c r="K33" s="2" cm="1">
        <f t="array" ref="K33">IF(VLOOKUP(K$25,mission!$D$64:$F$78,3,FALSE)&lt;=$F$5*60/$C$7,INDEX(mission!$E$64:$E$78,MATCH(K$25,mission!$D$64:$D$78,0)),0)</f>
        <v>0</v>
      </c>
      <c r="L33" s="2" cm="1">
        <f t="array" ref="L33">IF(VLOOKUP(L$25,mission!$D$64:$F$78,3,FALSE)&lt;=$F$5*60/$C$7,INDEX(mission!$E$64:$E$78,MATCH(L$25,mission!$D$64:$D$78,0)),0)</f>
        <v>0</v>
      </c>
      <c r="M33" s="2" cm="1">
        <f t="array" ref="M33">IF(VLOOKUP(M$25,mission!$D$64:$F$78,3,FALSE)&lt;=$F$5*60/$C$7,INDEX(mission!$E$64:$E$78,MATCH(M$25,mission!$D$64:$D$78,0)),0)</f>
        <v>0</v>
      </c>
      <c r="N33" s="2" cm="1">
        <f t="array" ref="N33">IF(VLOOKUP(N$25,mission!$D$64:$F$78,3,FALSE)&lt;=$F$5*60/$C$7*$C$6,INDEX(mission!$E$64:$E$78,MATCH(N$25,mission!$D$64:$D$78,0)),0)</f>
        <v>0</v>
      </c>
      <c r="O33" s="2" cm="1">
        <f t="array" ref="O33">IF(VLOOKUP(O$25,mission!$D$64:$F$78,3,FALSE)&lt;=$F$5*60/$C$7*$C$6,INDEX(mission!$E$64:$E$78,MATCH(O$25,mission!$D$64:$D$78,0)),0)</f>
        <v>0</v>
      </c>
      <c r="P33" s="2" cm="1">
        <f t="array" ref="P33">IF(VLOOKUP(P$25,mission!$D$64:$F$78,3,FALSE)&lt;=$F$5*60/$C$7*$C$6,INDEX(mission!$E$64:$E$78,MATCH(P$25,mission!$D$64:$D$78,0)),0)</f>
        <v>0</v>
      </c>
      <c r="Q33" s="2" cm="1">
        <f t="array" ref="Q33">IF(VLOOKUP(Q$25,mission!$D$64:$F$78,3,FALSE)&lt;=$F$5*60/$C$7*$C$6,INDEX(mission!$E$64:$E$78,MATCH(Q$25,mission!$D$64:$D$78,0)),0)</f>
        <v>0</v>
      </c>
      <c r="R33" s="2" cm="1">
        <f t="array" ref="R33">IF(VLOOKUP(R$25,mission!$D$64:$F$78,3,FALSE)&lt;=$F$5*60/$C$7*$C$6,INDEX(mission!$E$64:$E$78,MATCH(R$25,mission!$D$64:$D$78,0)),0)</f>
        <v>0</v>
      </c>
      <c r="S33" s="2" cm="1">
        <f t="array" ref="S33">IF(VLOOKUP(S$25,mission!$D$64:$F$78,3,FALSE)&lt;=$F$5*60/$C$7*$C$6*$C$4,INDEX(mission!$E$64:$E$78,MATCH(S$25,mission!$D$64:$D$78,0)),0)</f>
        <v>0</v>
      </c>
      <c r="T33" s="2" cm="1">
        <f t="array" ref="T33">IF(VLOOKUP(T$25,mission!$D$64:$F$78,3,FALSE)&lt;=$F$5*60/$C$7*$C$6*$C$4,INDEX(mission!$E$64:$E$78,MATCH(T$25,mission!$D$64:$D$78,0)),0)</f>
        <v>0</v>
      </c>
      <c r="U33" s="2" cm="1">
        <f t="array" ref="U33">IF(VLOOKUP(U$25,mission!$D$64:$F$78,3,FALSE)&lt;=$F$5*60/$C$7*$C$6*$C$4,INDEX(mission!$E$64:$E$78,MATCH(U$25,mission!$D$64:$D$78,0)),0)</f>
        <v>0</v>
      </c>
      <c r="V33" s="2" cm="1">
        <f t="array" ref="V33">IF(VLOOKUP(V$25,mission!$D$64:$F$78,3,FALSE)&lt;=$F$5*60/$C$7*$C$6*$C$4,INDEX(mission!$E$64:$E$78,MATCH(V$25,mission!$D$64:$D$78,0)),0)</f>
        <v>0</v>
      </c>
      <c r="W33" s="2" cm="1">
        <f t="array" ref="W33">IF(VLOOKUP(W$25,mission!$D$64:$F$78,3,FALSE)&lt;=$F$5*60/$C$7*$C$6*$C$4,INDEX(mission!$E$64:$E$78,MATCH(W$25,mission!$D$64:$D$78,0)),0)</f>
        <v>0</v>
      </c>
      <c r="X33" s="2">
        <v>8</v>
      </c>
      <c r="Y33" s="2">
        <f t="shared" si="4"/>
        <v>984</v>
      </c>
      <c r="Z33" s="2">
        <f t="shared" si="5"/>
        <v>1600</v>
      </c>
    </row>
    <row r="34" s="2" customFormat="1" ht="18" customHeight="1" spans="2:26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158</v>
      </c>
      <c r="G34" s="2">
        <f t="shared" si="2"/>
        <v>0</v>
      </c>
      <c r="H34" s="2">
        <f t="shared" si="3"/>
        <v>200</v>
      </c>
      <c r="I34" s="2" cm="1">
        <f t="array" ref="I34">IF(I33=0,IF(VLOOKUP(I$25,mission!$D$64:$F$78,3,FALSE)&lt;=$F$5*60/$C$7*2,INDEX(mission!$E$64:$E$78,MATCH(I$25,mission!$D$64:$D$78,0)),0))</f>
        <v>0</v>
      </c>
      <c r="J34" s="2" cm="1">
        <f t="array" ref="J34">IF(J33=0,IF(VLOOKUP(J$25,mission!$D$64:$F$78,3,FALSE)&lt;=$F$5*60/$C$7*2,INDEX(mission!$E$64:$E$78,MATCH(J$25,mission!$D$64:$D$78,0)),0))</f>
        <v>0</v>
      </c>
      <c r="K34" s="2" cm="1">
        <f t="array" ref="K34">IF(K33=0,IF(VLOOKUP(K$25,mission!$D$64:$F$78,3,FALSE)&lt;=$F$5*60/$C$7*2,INDEX(mission!$E$64:$E$78,MATCH(K$25,mission!$D$64:$D$78,0)),0))</f>
        <v>0</v>
      </c>
      <c r="L34" s="2" cm="1">
        <f t="array" ref="L34">IF(L33=0,IF(VLOOKUP(L$25,mission!$D$64:$F$78,3,FALSE)&lt;=$F$5*60/$C$7*2,INDEX(mission!$E$64:$E$78,MATCH(L$25,mission!$D$64:$D$78,0)),0))</f>
        <v>0</v>
      </c>
      <c r="M34" s="2" cm="1">
        <f t="array" ref="M34">IF(M33=0,IF(VLOOKUP(M$25,mission!$D$64:$F$78,3,FALSE)&lt;=$F$5*60/$C$7*2,INDEX(mission!$E$64:$E$78,MATCH(M$25,mission!$D$64:$D$78,0)),0))</f>
        <v>0</v>
      </c>
      <c r="N34" s="2" cm="1">
        <f t="array" ref="N34">IF(N33=0,IF(VLOOKUP(N$25,mission!$D$64:$F$78,3,FALSE)&lt;=$F$5*60/$C$7*$C$6*2,INDEX(mission!$E$64:$E$78,MATCH(N$25,mission!$D$64:$D$78,0)),0))</f>
        <v>0</v>
      </c>
      <c r="O34" s="2" cm="1">
        <f t="array" ref="O34">IF(O33=0,IF(VLOOKUP(O$25,mission!$D$64:$F$78,3,FALSE)&lt;=$F$5*60/$C$7*$C$6*2,INDEX(mission!$E$64:$E$78,MATCH(O$25,mission!$D$64:$D$78,0)),0))</f>
        <v>0</v>
      </c>
      <c r="P34" s="2" cm="1">
        <f t="array" ref="P34">IF(P33=0,IF(VLOOKUP(P$25,mission!$D$64:$F$78,3,FALSE)&lt;=$F$5*60/$C$7*$C$6*2,INDEX(mission!$E$64:$E$78,MATCH(P$25,mission!$D$64:$D$78,0)),0))</f>
        <v>0</v>
      </c>
      <c r="Q34" s="2" cm="1">
        <f t="array" ref="Q34">IF(Q33=0,IF(VLOOKUP(Q$25,mission!$D$64:$F$78,3,FALSE)&lt;=$F$5*60/$C$7*$C$6*2,INDEX(mission!$E$64:$E$78,MATCH(Q$25,mission!$D$64:$D$78,0)),0))</f>
        <v>0</v>
      </c>
      <c r="R34" s="2" cm="1">
        <f t="array" ref="R34">IF(R33=0,IF(VLOOKUP(R$25,mission!$D$64:$F$78,3,FALSE)&lt;=$F$5*60/$C$7*$C$6*2,INDEX(mission!$E$64:$E$78,MATCH(R$25,mission!$D$64:$D$78,0)),0))</f>
        <v>0</v>
      </c>
      <c r="S34" s="2" cm="1">
        <f t="array" ref="S34">IF(S33=0,IF(VLOOKUP(S$25,mission!$D$64:$F$78,3,FALSE)&lt;=$F$5*60/$C$7*$C$6*$C$4*2,INDEX(mission!$E$64:$E$78,MATCH(S$25,mission!$D$64:$D$78,0)),0))</f>
        <v>0</v>
      </c>
      <c r="T34" s="2" cm="1">
        <f t="array" ref="T34">IF(T33=0,IF(VLOOKUP(T$25,mission!$D$64:$F$78,3,FALSE)&lt;=$F$5*60/$C$7*$C$6*$C$4*2,INDEX(mission!$E$64:$E$78,MATCH(T$25,mission!$D$64:$D$78,0)),0))</f>
        <v>0</v>
      </c>
      <c r="U34" s="2" cm="1">
        <f t="array" ref="U34">IF(U33=0,IF(VLOOKUP(U$25,mission!$D$64:$F$78,3,FALSE)&lt;=$F$5*60/$C$7*$C$6*$C$4*2,INDEX(mission!$E$64:$E$78,MATCH(U$25,mission!$D$64:$D$78,0)),0))</f>
        <v>0</v>
      </c>
      <c r="V34" s="2" cm="1">
        <f t="array" ref="V34">IF(V33=0,IF(VLOOKUP(V$25,mission!$D$64:$F$78,3,FALSE)&lt;=$F$5*60/$C$7*$C$6*$C$4*2,INDEX(mission!$E$64:$E$78,MATCH(V$25,mission!$D$64:$D$78,0)),0))</f>
        <v>0</v>
      </c>
      <c r="W34" s="2" cm="1">
        <f t="array" ref="W34">IF(W33=0,IF(VLOOKUP(W$25,mission!$D$64:$F$78,3,FALSE)&lt;=$F$5*60/$C$7*$C$6*$C$4*2,INDEX(mission!$E$64:$E$78,MATCH(W$25,mission!$D$64:$D$78,0)),0))</f>
        <v>0</v>
      </c>
      <c r="X34" s="2">
        <v>9</v>
      </c>
      <c r="Y34" s="2">
        <f t="shared" si="4"/>
        <v>1107</v>
      </c>
      <c r="Z34" s="2">
        <f t="shared" si="5"/>
        <v>1800</v>
      </c>
    </row>
    <row r="35" s="2" customFormat="1" ht="18" customHeight="1" spans="2:26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176</v>
      </c>
      <c r="G35" s="2">
        <f t="shared" si="2"/>
        <v>100</v>
      </c>
      <c r="H35" s="2">
        <f t="shared" si="3"/>
        <v>300</v>
      </c>
      <c r="I35" s="2" cm="1">
        <f t="array" ref="I35">IF(I34=0,IF(VLOOKUP(I$25,mission!$D$64:$F$78,3,FALSE)&lt;=$F$5*60/$C$7*3,INDEX(mission!$E$64:$E$78,MATCH(I$25,mission!$D$64:$D$78,0)),0))</f>
        <v>25</v>
      </c>
      <c r="J35" s="2" cm="1">
        <f t="array" ref="J35">IF(J34=0,IF(VLOOKUP(J$25,mission!$D$64:$F$78,3,FALSE)&lt;=$F$5*60/$C$7*3,INDEX(mission!$E$64:$E$78,MATCH(J$25,mission!$D$64:$D$78,0)),0))</f>
        <v>0</v>
      </c>
      <c r="K35" s="2" cm="1">
        <f t="array" ref="K35">IF(K34=0,IF(VLOOKUP(K$25,mission!$D$64:$F$78,3,FALSE)&lt;=$F$5*60/$C$7*3,INDEX(mission!$E$64:$E$78,MATCH(K$25,mission!$D$64:$D$78,0)),0))</f>
        <v>0</v>
      </c>
      <c r="L35" s="2" cm="1">
        <f t="array" ref="L35">IF(L34=0,IF(VLOOKUP(L$25,mission!$D$64:$F$78,3,FALSE)&lt;=$F$5*60/$C$7*3,INDEX(mission!$E$64:$E$78,MATCH(L$25,mission!$D$64:$D$78,0)),0))</f>
        <v>0</v>
      </c>
      <c r="M35" s="2" cm="1">
        <f t="array" ref="M35">IF(M34=0,IF(VLOOKUP(M$25,mission!$D$64:$F$78,3,FALSE)&lt;=$F$5*60/$C$7*3,INDEX(mission!$E$64:$E$78,MATCH(M$25,mission!$D$64:$D$78,0)),0))</f>
        <v>0</v>
      </c>
      <c r="N35" s="2" cm="1">
        <f t="array" ref="N35">IF(N34=0,IF(VLOOKUP(N$25,mission!$D$64:$F$78,3,FALSE)&lt;=$F$5*60/$C$7*$C$6*3,INDEX(mission!$E$64:$E$78,MATCH(N$25,mission!$D$64:$D$78,0)),0))</f>
        <v>25</v>
      </c>
      <c r="O35" s="2" cm="1">
        <f t="array" ref="O35">IF(O34=0,IF(VLOOKUP(O$25,mission!$D$64:$F$78,3,FALSE)&lt;=$F$5*60/$C$7*$C$6*3,INDEX(mission!$E$64:$E$78,MATCH(O$25,mission!$D$64:$D$78,0)),0))</f>
        <v>0</v>
      </c>
      <c r="P35" s="2" cm="1">
        <f t="array" ref="P35">IF(P34=0,IF(VLOOKUP(P$25,mission!$D$64:$F$78,3,FALSE)&lt;=$F$5*60/$C$7*$C$6*3,INDEX(mission!$E$64:$E$78,MATCH(P$25,mission!$D$64:$D$78,0)),0))</f>
        <v>0</v>
      </c>
      <c r="Q35" s="2" cm="1">
        <f t="array" ref="Q35">IF(Q34=0,IF(VLOOKUP(Q$25,mission!$D$64:$F$78,3,FALSE)&lt;=$F$5*60/$C$7*$C$6*3,INDEX(mission!$E$64:$E$78,MATCH(Q$25,mission!$D$64:$D$78,0)),0))</f>
        <v>0</v>
      </c>
      <c r="R35" s="2" cm="1">
        <f t="array" ref="R35">IF(R34=0,IF(VLOOKUP(R$25,mission!$D$64:$F$78,3,FALSE)&lt;=$F$5*60/$C$7*$C$6*3,INDEX(mission!$E$64:$E$78,MATCH(R$25,mission!$D$64:$D$78,0)),0))</f>
        <v>0</v>
      </c>
      <c r="S35" s="2" cm="1">
        <f t="array" ref="S35">IF(S34=0,IF(VLOOKUP(S$25,mission!$D$64:$F$78,3,FALSE)&lt;=$F$5*60/$C$7*$C$6*$C$4*3,INDEX(mission!$E$64:$E$78,MATCH(S$25,mission!$D$64:$D$78,0)),0))</f>
        <v>50</v>
      </c>
      <c r="T35" s="2" cm="1">
        <f t="array" ref="T35">IF(T34=0,IF(VLOOKUP(T$25,mission!$D$64:$F$78,3,FALSE)&lt;=$F$5*60/$C$7*$C$6*$C$4*3,INDEX(mission!$E$64:$E$78,MATCH(T$25,mission!$D$64:$D$78,0)),0))</f>
        <v>0</v>
      </c>
      <c r="U35" s="2" cm="1">
        <f t="array" ref="U35">IF(U34=0,IF(VLOOKUP(U$25,mission!$D$64:$F$78,3,FALSE)&lt;=$F$5*60/$C$7*$C$6*$C$4*3,INDEX(mission!$E$64:$E$78,MATCH(U$25,mission!$D$64:$D$78,0)),0))</f>
        <v>0</v>
      </c>
      <c r="V35" s="2" cm="1">
        <f t="array" ref="V35">IF(V34=0,IF(VLOOKUP(V$25,mission!$D$64:$F$78,3,FALSE)&lt;=$F$5*60/$C$7*$C$6*$C$4*3,INDEX(mission!$E$64:$E$78,MATCH(V$25,mission!$D$64:$D$78,0)),0))</f>
        <v>0</v>
      </c>
      <c r="W35" s="2" cm="1">
        <f t="array" ref="W35">IF(W34=0,IF(VLOOKUP(W$25,mission!$D$64:$F$78,3,FALSE)&lt;=$F$5*60/$C$7*$C$6*$C$4*3,INDEX(mission!$E$64:$E$78,MATCH(W$25,mission!$D$64:$D$78,0)),0))</f>
        <v>0</v>
      </c>
      <c r="X35" s="2">
        <v>10</v>
      </c>
      <c r="Y35" s="2">
        <f t="shared" si="4"/>
        <v>1230</v>
      </c>
      <c r="Z35" s="2">
        <f t="shared" si="5"/>
        <v>2000</v>
      </c>
    </row>
    <row r="36" s="2" customFormat="1" ht="18" customHeight="1" spans="2:26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194</v>
      </c>
      <c r="G36" s="2">
        <f t="shared" si="2"/>
        <v>0</v>
      </c>
      <c r="H36" s="2">
        <f t="shared" si="3"/>
        <v>300</v>
      </c>
      <c r="I36" s="2" t="b" cm="1">
        <f t="array" ref="I36">IF(I35=0,IF(VLOOKUP(I$25,mission!$D$64:$F$78,3,FALSE)&lt;=$F$5*60/$C$7*4,INDEX(mission!$E$64:$E$78,MATCH(I$25,mission!$D$64:$D$78,0)),0))</f>
        <v>0</v>
      </c>
      <c r="J36" s="2" cm="1">
        <f t="array" ref="J36">IF(J35=0,IF(VLOOKUP(J$25,mission!$D$64:$F$78,3,FALSE)&lt;=$F$5*60/$C$7*4,INDEX(mission!$E$64:$E$78,MATCH(J$25,mission!$D$64:$D$78,0)),0))</f>
        <v>0</v>
      </c>
      <c r="K36" s="2" cm="1">
        <f t="array" ref="K36">IF(K35=0,IF(VLOOKUP(K$25,mission!$D$64:$F$78,3,FALSE)&lt;=$F$5*60/$C$7*4,INDEX(mission!$E$64:$E$78,MATCH(K$25,mission!$D$64:$D$78,0)),0))</f>
        <v>0</v>
      </c>
      <c r="L36" s="2" cm="1">
        <f t="array" ref="L36">IF(L35=0,IF(VLOOKUP(L$25,mission!$D$64:$F$78,3,FALSE)&lt;=$F$5*60/$C$7*4,INDEX(mission!$E$64:$E$78,MATCH(L$25,mission!$D$64:$D$78,0)),0))</f>
        <v>0</v>
      </c>
      <c r="M36" s="2" cm="1">
        <f t="array" ref="M36">IF(M35=0,IF(VLOOKUP(M$25,mission!$D$64:$F$78,3,FALSE)&lt;=$F$5*60/$C$7*4,INDEX(mission!$E$64:$E$78,MATCH(M$25,mission!$D$64:$D$78,0)),0))</f>
        <v>0</v>
      </c>
      <c r="N36" s="2" t="b" cm="1">
        <f t="array" ref="N36">IF(N35=0,IF(VLOOKUP(N$25,mission!$D$64:$F$78,3,FALSE)&lt;=$F$5*60/$C$7*$C$6*4,INDEX(mission!$E$64:$E$78,MATCH(N$25,mission!$D$64:$D$78,0)),0))</f>
        <v>0</v>
      </c>
      <c r="O36" s="2" cm="1">
        <f t="array" ref="O36">IF(O35=0,IF(VLOOKUP(O$25,mission!$D$64:$F$78,3,FALSE)&lt;=$F$5*60/$C$7*$C$6*4,INDEX(mission!$E$64:$E$78,MATCH(O$25,mission!$D$64:$D$78,0)),0))</f>
        <v>0</v>
      </c>
      <c r="P36" s="2" cm="1">
        <f t="array" ref="P36">IF(P35=0,IF(VLOOKUP(P$25,mission!$D$64:$F$78,3,FALSE)&lt;=$F$5*60/$C$7*$C$6*4,INDEX(mission!$E$64:$E$78,MATCH(P$25,mission!$D$64:$D$78,0)),0))</f>
        <v>0</v>
      </c>
      <c r="Q36" s="2" cm="1">
        <f t="array" ref="Q36">IF(Q35=0,IF(VLOOKUP(Q$25,mission!$D$64:$F$78,3,FALSE)&lt;=$F$5*60/$C$7*$C$6*4,INDEX(mission!$E$64:$E$78,MATCH(Q$25,mission!$D$64:$D$78,0)),0))</f>
        <v>0</v>
      </c>
      <c r="R36" s="2" cm="1">
        <f t="array" ref="R36">IF(R35=0,IF(VLOOKUP(R$25,mission!$D$64:$F$78,3,FALSE)&lt;=$F$5*60/$C$7*$C$6*4,INDEX(mission!$E$64:$E$78,MATCH(R$25,mission!$D$64:$D$78,0)),0))</f>
        <v>0</v>
      </c>
      <c r="S36" s="2" t="b" cm="1">
        <f t="array" ref="S36">IF(S35=0,IF(VLOOKUP(S$25,mission!$D$64:$F$78,3,FALSE)&lt;=$F$5*60/$C$7*$C$6*$C$4*4,INDEX(mission!$E$64:$E$78,MATCH(S$25,mission!$D$64:$D$78,0)),0))</f>
        <v>0</v>
      </c>
      <c r="T36" s="2" cm="1">
        <f t="array" ref="T36">IF(T35=0,IF(VLOOKUP(T$25,mission!$D$64:$F$78,3,FALSE)&lt;=$F$5*60/$C$7*$C$6*$C$4*4,INDEX(mission!$E$64:$E$78,MATCH(T$25,mission!$D$64:$D$78,0)),0))</f>
        <v>0</v>
      </c>
      <c r="U36" s="2" cm="1">
        <f t="array" ref="U36">IF(U35=0,IF(VLOOKUP(U$25,mission!$D$64:$F$78,3,FALSE)&lt;=$F$5*60/$C$7*$C$6*$C$4*4,INDEX(mission!$E$64:$E$78,MATCH(U$25,mission!$D$64:$D$78,0)),0))</f>
        <v>0</v>
      </c>
      <c r="V36" s="2" cm="1">
        <f t="array" ref="V36">IF(V35=0,IF(VLOOKUP(V$25,mission!$D$64:$F$78,3,FALSE)&lt;=$F$5*60/$C$7*$C$6*$C$4*4,INDEX(mission!$E$64:$E$78,MATCH(V$25,mission!$D$64:$D$78,0)),0))</f>
        <v>0</v>
      </c>
      <c r="W36" s="2" cm="1">
        <f t="array" ref="W36">IF(W35=0,IF(VLOOKUP(W$25,mission!$D$64:$F$78,3,FALSE)&lt;=$F$5*60/$C$7*$C$6*$C$4*4,INDEX(mission!$E$64:$E$78,MATCH(W$25,mission!$D$64:$D$78,0)),0))</f>
        <v>0</v>
      </c>
      <c r="X36" s="2">
        <v>11</v>
      </c>
      <c r="Y36" s="2">
        <f t="shared" si="4"/>
        <v>1353</v>
      </c>
      <c r="Z36" s="2">
        <f t="shared" si="5"/>
        <v>2200</v>
      </c>
    </row>
    <row r="37" s="2" customFormat="1" ht="18" customHeight="1" spans="2:26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211</v>
      </c>
      <c r="G37" s="2">
        <f t="shared" si="2"/>
        <v>0</v>
      </c>
      <c r="H37" s="2">
        <f t="shared" si="3"/>
        <v>300</v>
      </c>
      <c r="I37" s="2" t="b" cm="1">
        <f t="array" ref="I37">IF(I36=0,IF(VLOOKUP(I$25,mission!$D$64:$F$78,3,FALSE)&lt;=$F$5*60/$C$7*5,INDEX(mission!$E$64:$E$78,MATCH(I$25,mission!$D$64:$D$78,0)),0))</f>
        <v>0</v>
      </c>
      <c r="J37" s="2" cm="1">
        <f t="array" ref="J37">IF(J36=0,IF(VLOOKUP(J$25,mission!$D$64:$F$78,3,FALSE)&lt;=$F$5*60/$C$7*5,INDEX(mission!$E$64:$E$78,MATCH(J$25,mission!$D$64:$D$78,0)),0))</f>
        <v>0</v>
      </c>
      <c r="K37" s="2" cm="1">
        <f t="array" ref="K37">IF(K36=0,IF(VLOOKUP(K$25,mission!$D$64:$F$78,3,FALSE)&lt;=$F$5*60/$C$7*5,INDEX(mission!$E$64:$E$78,MATCH(K$25,mission!$D$64:$D$78,0)),0))</f>
        <v>0</v>
      </c>
      <c r="L37" s="2" cm="1">
        <f t="array" ref="L37">IF(L36=0,IF(VLOOKUP(L$25,mission!$D$64:$F$78,3,FALSE)&lt;=$F$5*60/$C$7*5,INDEX(mission!$E$64:$E$78,MATCH(L$25,mission!$D$64:$D$78,0)),0))</f>
        <v>0</v>
      </c>
      <c r="M37" s="2" cm="1">
        <f t="array" ref="M37">IF(M36=0,IF(VLOOKUP(M$25,mission!$D$64:$F$78,3,FALSE)&lt;=$F$5*60/$C$7*5,INDEX(mission!$E$64:$E$78,MATCH(M$25,mission!$D$64:$D$78,0)),0))</f>
        <v>0</v>
      </c>
      <c r="N37" s="2" t="b" cm="1">
        <f t="array" ref="N37">IF(N36=0,IF(VLOOKUP(N$25,mission!$D$64:$F$78,3,FALSE)&lt;=$F$5*60/$C$7*$C$6*5,INDEX(mission!$E$64:$E$78,MATCH(N$25,mission!$D$64:$D$78,0)),0))</f>
        <v>0</v>
      </c>
      <c r="O37" s="2" cm="1">
        <f t="array" ref="O37">IF(O36=0,IF(VLOOKUP(O$25,mission!$D$64:$F$78,3,FALSE)&lt;=$F$5*60/$C$7*$C$6*5,INDEX(mission!$E$64:$E$78,MATCH(O$25,mission!$D$64:$D$78,0)),0))</f>
        <v>0</v>
      </c>
      <c r="P37" s="2" cm="1">
        <f t="array" ref="P37">IF(P36=0,IF(VLOOKUP(P$25,mission!$D$64:$F$78,3,FALSE)&lt;=$F$5*60/$C$7*$C$6*5,INDEX(mission!$E$64:$E$78,MATCH(P$25,mission!$D$64:$D$78,0)),0))</f>
        <v>0</v>
      </c>
      <c r="Q37" s="2" cm="1">
        <f t="array" ref="Q37">IF(Q36=0,IF(VLOOKUP(Q$25,mission!$D$64:$F$78,3,FALSE)&lt;=$F$5*60/$C$7*$C$6*5,INDEX(mission!$E$64:$E$78,MATCH(Q$25,mission!$D$64:$D$78,0)),0))</f>
        <v>0</v>
      </c>
      <c r="R37" s="2" cm="1">
        <f t="array" ref="R37">IF(R36=0,IF(VLOOKUP(R$25,mission!$D$64:$F$78,3,FALSE)&lt;=$F$5*60/$C$7*$C$6*5,INDEX(mission!$E$64:$E$78,MATCH(R$25,mission!$D$64:$D$78,0)),0))</f>
        <v>0</v>
      </c>
      <c r="S37" s="2" t="b" cm="1">
        <f t="array" ref="S37">IF(S36=0,IF(VLOOKUP(S$25,mission!$D$64:$F$78,3,FALSE)&lt;=$F$5*60/$C$7*$C$6*$C$4*5,INDEX(mission!$E$64:$E$78,MATCH(S$25,mission!$D$64:$D$78,0)),0))</f>
        <v>0</v>
      </c>
      <c r="T37" s="2" cm="1">
        <f t="array" ref="T37">IF(T36=0,IF(VLOOKUP(T$25,mission!$D$64:$F$78,3,FALSE)&lt;=$F$5*60/$C$7*$C$6*$C$4*5,INDEX(mission!$E$64:$E$78,MATCH(T$25,mission!$D$64:$D$78,0)),0))</f>
        <v>0</v>
      </c>
      <c r="U37" s="2" cm="1">
        <f t="array" ref="U37">IF(U36=0,IF(VLOOKUP(U$25,mission!$D$64:$F$78,3,FALSE)&lt;=$F$5*60/$C$7*$C$6*$C$4*5,INDEX(mission!$E$64:$E$78,MATCH(U$25,mission!$D$64:$D$78,0)),0))</f>
        <v>0</v>
      </c>
      <c r="V37" s="2" cm="1">
        <f t="array" ref="V37">IF(V36=0,IF(VLOOKUP(V$25,mission!$D$64:$F$78,3,FALSE)&lt;=$F$5*60/$C$7*$C$6*$C$4*5,INDEX(mission!$E$64:$E$78,MATCH(V$25,mission!$D$64:$D$78,0)),0))</f>
        <v>0</v>
      </c>
      <c r="W37" s="2" cm="1">
        <f t="array" ref="W37">IF(W36=0,IF(VLOOKUP(W$25,mission!$D$64:$F$78,3,FALSE)&lt;=$F$5*60/$C$7*$C$6*$C$4*5,INDEX(mission!$E$64:$E$78,MATCH(W$25,mission!$D$64:$D$78,0)),0))</f>
        <v>0</v>
      </c>
      <c r="X37" s="2">
        <v>12</v>
      </c>
      <c r="Y37" s="2">
        <f t="shared" si="4"/>
        <v>1476</v>
      </c>
      <c r="Z37" s="2">
        <f t="shared" si="5"/>
        <v>2400</v>
      </c>
    </row>
    <row r="38" s="2" customFormat="1" ht="18" customHeight="1" spans="2:26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229</v>
      </c>
      <c r="G38" s="2">
        <f t="shared" si="2"/>
        <v>100</v>
      </c>
      <c r="H38" s="2">
        <f t="shared" si="3"/>
        <v>400</v>
      </c>
      <c r="I38" s="2" t="b" cm="1">
        <f t="array" ref="I38">IF(I37=0,IF(VLOOKUP(I$25,mission!$D$64:$F$78,3,FALSE)&lt;=$F$5*60/$C$7*6,INDEX(mission!$E$64:$E$78,MATCH(I$25,mission!$D$64:$D$78,0)),0))</f>
        <v>0</v>
      </c>
      <c r="J38" s="2" cm="1">
        <f t="array" ref="J38">IF(J37=0,IF(VLOOKUP(J$25,mission!$D$64:$F$78,3,FALSE)&lt;=$F$5*60/$C$7*6,INDEX(mission!$E$64:$E$78,MATCH(J$25,mission!$D$64:$D$78,0)),0))</f>
        <v>25</v>
      </c>
      <c r="K38" s="2" cm="1">
        <f t="array" ref="K38">IF(K37=0,IF(VLOOKUP(K$25,mission!$D$64:$F$78,3,FALSE)&lt;=$F$5*60/$C$7*6,INDEX(mission!$E$64:$E$78,MATCH(K$25,mission!$D$64:$D$78,0)),0))</f>
        <v>0</v>
      </c>
      <c r="L38" s="2" cm="1">
        <f t="array" ref="L38">IF(L37=0,IF(VLOOKUP(L$25,mission!$D$64:$F$78,3,FALSE)&lt;=$F$5*60/$C$7*6,INDEX(mission!$E$64:$E$78,MATCH(L$25,mission!$D$64:$D$78,0)),0))</f>
        <v>0</v>
      </c>
      <c r="M38" s="2" cm="1">
        <f t="array" ref="M38">IF(M37=0,IF(VLOOKUP(M$25,mission!$D$64:$F$78,3,FALSE)&lt;=$F$5*60/$C$7*6,INDEX(mission!$E$64:$E$78,MATCH(M$25,mission!$D$64:$D$78,0)),0))</f>
        <v>0</v>
      </c>
      <c r="N38" s="2" t="b" cm="1">
        <f t="array" ref="N38">IF(N37=0,IF(VLOOKUP(N$25,mission!$D$64:$F$78,3,FALSE)&lt;=$F$5*60/$C$7*$C$6*6,INDEX(mission!$E$64:$E$78,MATCH(N$25,mission!$D$64:$D$78,0)),0))</f>
        <v>0</v>
      </c>
      <c r="O38" s="2" cm="1">
        <f t="array" ref="O38">IF(O37=0,IF(VLOOKUP(O$25,mission!$D$64:$F$78,3,FALSE)&lt;=$F$5*60/$C$7*$C$6*6,INDEX(mission!$E$64:$E$78,MATCH(O$25,mission!$D$64:$D$78,0)),0))</f>
        <v>25</v>
      </c>
      <c r="P38" s="2" cm="1">
        <f t="array" ref="P38">IF(P37=0,IF(VLOOKUP(P$25,mission!$D$64:$F$78,3,FALSE)&lt;=$F$5*60/$C$7*$C$6*6,INDEX(mission!$E$64:$E$78,MATCH(P$25,mission!$D$64:$D$78,0)),0))</f>
        <v>0</v>
      </c>
      <c r="Q38" s="2" cm="1">
        <f t="array" ref="Q38">IF(Q37=0,IF(VLOOKUP(Q$25,mission!$D$64:$F$78,3,FALSE)&lt;=$F$5*60/$C$7*$C$6*6,INDEX(mission!$E$64:$E$78,MATCH(Q$25,mission!$D$64:$D$78,0)),0))</f>
        <v>0</v>
      </c>
      <c r="R38" s="2" cm="1">
        <f t="array" ref="R38">IF(R37=0,IF(VLOOKUP(R$25,mission!$D$64:$F$78,3,FALSE)&lt;=$F$5*60/$C$7*$C$6*6,INDEX(mission!$E$64:$E$78,MATCH(R$25,mission!$D$64:$D$78,0)),0))</f>
        <v>0</v>
      </c>
      <c r="S38" s="2" t="b" cm="1">
        <f t="array" ref="S38">IF(S37=0,IF(VLOOKUP(S$25,mission!$D$64:$F$78,3,FALSE)&lt;=$F$5*60/$C$7*$C$6*$C$4*6,INDEX(mission!$E$64:$E$78,MATCH(S$25,mission!$D$64:$D$78,0)),0))</f>
        <v>0</v>
      </c>
      <c r="T38" s="2" cm="1">
        <f t="array" ref="T38">IF(T37=0,IF(VLOOKUP(T$25,mission!$D$64:$F$78,3,FALSE)&lt;=$F$5*60/$C$7*$C$6*$C$4*6,INDEX(mission!$E$64:$E$78,MATCH(T$25,mission!$D$64:$D$78,0)),0))</f>
        <v>50</v>
      </c>
      <c r="U38" s="2" cm="1">
        <f t="array" ref="U38">IF(U37=0,IF(VLOOKUP(U$25,mission!$D$64:$F$78,3,FALSE)&lt;=$F$5*60/$C$7*$C$6*$C$4*6,INDEX(mission!$E$64:$E$78,MATCH(U$25,mission!$D$64:$D$78,0)),0))</f>
        <v>0</v>
      </c>
      <c r="V38" s="2" cm="1">
        <f t="array" ref="V38">IF(V37=0,IF(VLOOKUP(V$25,mission!$D$64:$F$78,3,FALSE)&lt;=$F$5*60/$C$7*$C$6*$C$4*6,INDEX(mission!$E$64:$E$78,MATCH(V$25,mission!$D$64:$D$78,0)),0))</f>
        <v>0</v>
      </c>
      <c r="W38" s="2" cm="1">
        <f t="array" ref="W38">IF(W37=0,IF(VLOOKUP(W$25,mission!$D$64:$F$78,3,FALSE)&lt;=$F$5*60/$C$7*$C$6*$C$4*6,INDEX(mission!$E$64:$E$78,MATCH(W$25,mission!$D$64:$D$78,0)),0))</f>
        <v>0</v>
      </c>
      <c r="X38" s="2">
        <v>13</v>
      </c>
      <c r="Y38" s="2">
        <f t="shared" si="4"/>
        <v>1599</v>
      </c>
      <c r="Z38" s="2">
        <f t="shared" si="5"/>
        <v>2600</v>
      </c>
    </row>
    <row r="39" s="10" customFormat="1" ht="18" customHeight="1" spans="2:26">
      <c r="B39" s="10">
        <v>14</v>
      </c>
      <c r="C39" s="10">
        <f t="shared" si="0"/>
        <v>14000</v>
      </c>
      <c r="D39" s="10">
        <f>ROUND($C$8*$C$5+$C$8*$C$4*(1-$L$5),0)</f>
        <v>88</v>
      </c>
      <c r="E39" s="10">
        <f t="shared" si="1"/>
        <v>1232</v>
      </c>
      <c r="F39" s="10">
        <f>ROUND(E39*VLOOKUP($B$10,总产出!$T$4:$U$14,2,FALSE),0)</f>
        <v>246</v>
      </c>
      <c r="G39" s="10">
        <f t="shared" si="2"/>
        <v>0</v>
      </c>
      <c r="H39" s="10">
        <f t="shared" si="3"/>
        <v>400</v>
      </c>
      <c r="I39" s="10" t="b" cm="1">
        <f t="array" ref="I39">IF(I38=0,IF(VLOOKUP(I$25,mission!$D$64:$F$78,3,FALSE)&lt;=$F$5*60/$C$7*7,INDEX(mission!$E$64:$E$78,MATCH(I$25,mission!$D$64:$D$78,0)),0))</f>
        <v>0</v>
      </c>
      <c r="J39" s="10" t="b" cm="1">
        <f t="array" ref="J39">IF(J38=0,IF(VLOOKUP(J$25,mission!$D$64:$F$78,3,FALSE)&lt;=$F$5*60/$C$7*7,INDEX(mission!$E$64:$E$78,MATCH(J$25,mission!$D$64:$D$78,0)),0))</f>
        <v>0</v>
      </c>
      <c r="K39" s="10" cm="1">
        <f t="array" ref="K39">IF(K38=0,IF(VLOOKUP(K$25,mission!$D$64:$F$78,3,FALSE)&lt;=$F$5*60/$C$7*7,INDEX(mission!$E$64:$E$78,MATCH(K$25,mission!$D$64:$D$78,0)),0))</f>
        <v>0</v>
      </c>
      <c r="L39" s="10" cm="1">
        <f t="array" ref="L39">IF(L38=0,IF(VLOOKUP(L$25,mission!$D$64:$F$78,3,FALSE)&lt;=$F$5*60/$C$7*7,INDEX(mission!$E$64:$E$78,MATCH(L$25,mission!$D$64:$D$78,0)),0))</f>
        <v>0</v>
      </c>
      <c r="M39" s="10" cm="1">
        <f t="array" ref="M39">IF(M38=0,IF(VLOOKUP(M$25,mission!$D$64:$F$78,3,FALSE)&lt;=$F$5*60/$C$7*7,INDEX(mission!$E$64:$E$78,MATCH(M$25,mission!$D$64:$D$78,0)),0))</f>
        <v>0</v>
      </c>
      <c r="N39" s="10" t="b" cm="1">
        <f t="array" ref="N39">IF(N38=0,IF(VLOOKUP(N$25,mission!$D$64:$F$78,3,FALSE)&lt;=$F$5*60/$C$7*$C$6*7,INDEX(mission!$E$64:$E$78,MATCH(N$25,mission!$D$64:$D$78,0)),0))</f>
        <v>0</v>
      </c>
      <c r="O39" s="10" t="b" cm="1">
        <f t="array" ref="O39">IF(O38=0,IF(VLOOKUP(O$25,mission!$D$64:$F$78,3,FALSE)&lt;=$F$5*60/$C$7*$C$6*7,INDEX(mission!$E$64:$E$78,MATCH(O$25,mission!$D$64:$D$78,0)),0))</f>
        <v>0</v>
      </c>
      <c r="P39" s="10" cm="1">
        <f t="array" ref="P39">IF(P38=0,IF(VLOOKUP(P$25,mission!$D$64:$F$78,3,FALSE)&lt;=$F$5*60/$C$7*$C$6*7,INDEX(mission!$E$64:$E$78,MATCH(P$25,mission!$D$64:$D$78,0)),0))</f>
        <v>0</v>
      </c>
      <c r="Q39" s="10" cm="1">
        <f t="array" ref="Q39">IF(Q38=0,IF(VLOOKUP(Q$25,mission!$D$64:$F$78,3,FALSE)&lt;=$F$5*60/$C$7*$C$6*7,INDEX(mission!$E$64:$E$78,MATCH(Q$25,mission!$D$64:$D$78,0)),0))</f>
        <v>0</v>
      </c>
      <c r="R39" s="10" cm="1">
        <f t="array" ref="R39">IF(R38=0,IF(VLOOKUP(R$25,mission!$D$64:$F$78,3,FALSE)&lt;=$F$5*60/$C$7*$C$6*7,INDEX(mission!$E$64:$E$78,MATCH(R$25,mission!$D$64:$D$78,0)),0))</f>
        <v>0</v>
      </c>
      <c r="S39" s="10" t="b" cm="1">
        <f t="array" ref="S39">IF(S38=0,IF(VLOOKUP(S$25,mission!$D$64:$F$78,3,FALSE)&lt;=$F$5*60/$C$7*$C$6*$C$4*7,INDEX(mission!$E$64:$E$78,MATCH(S$25,mission!$D$64:$D$78,0)),0))</f>
        <v>0</v>
      </c>
      <c r="T39" s="10" t="b" cm="1">
        <f t="array" ref="T39">IF(T38=0,IF(VLOOKUP(T$25,mission!$D$64:$F$78,3,FALSE)&lt;=$F$5*60/$C$7*$C$6*$C$4*7,INDEX(mission!$E$64:$E$78,MATCH(T$25,mission!$D$64:$D$78,0)),0))</f>
        <v>0</v>
      </c>
      <c r="U39" s="10" cm="1">
        <f t="array" ref="U39">IF(U38=0,IF(VLOOKUP(U$25,mission!$D$64:$F$78,3,FALSE)&lt;=$F$5*60/$C$7*$C$6*$C$4*7,INDEX(mission!$E$64:$E$78,MATCH(U$25,mission!$D$64:$D$78,0)),0))</f>
        <v>0</v>
      </c>
      <c r="V39" s="10" cm="1">
        <f t="array" ref="V39">IF(V38=0,IF(VLOOKUP(V$25,mission!$D$64:$F$78,3,FALSE)&lt;=$F$5*60/$C$7*$C$6*$C$4*7,INDEX(mission!$E$64:$E$78,MATCH(V$25,mission!$D$64:$D$78,0)),0))</f>
        <v>0</v>
      </c>
      <c r="W39" s="10" cm="1">
        <f t="array" ref="W39">IF(W38=0,IF(VLOOKUP(W$25,mission!$D$64:$F$78,3,FALSE)&lt;=$F$5*60/$C$7*$C$6*$C$4*7,INDEX(mission!$E$64:$E$78,MATCH(W$25,mission!$D$64:$D$78,0)),0))</f>
        <v>0</v>
      </c>
      <c r="X39" s="2">
        <v>14</v>
      </c>
      <c r="Y39" s="2">
        <f t="shared" si="4"/>
        <v>1722</v>
      </c>
      <c r="Z39" s="2">
        <f t="shared" si="5"/>
        <v>2800</v>
      </c>
    </row>
    <row r="40" s="2" customFormat="1" ht="18" customHeight="1" spans="2:23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264</v>
      </c>
      <c r="G40" s="2">
        <f t="shared" si="2"/>
        <v>0</v>
      </c>
      <c r="H40" s="2">
        <f t="shared" si="3"/>
        <v>400</v>
      </c>
      <c r="I40" s="2" cm="1">
        <f t="array" ref="I40">IF(VLOOKUP(I$25,mission!$D$64:$F$78,3,FALSE)&lt;=$F$5*60/$C$7,INDEX(mission!$E$64:$E$78,MATCH(I$25,mission!$D$64:$D$78,0)),0)</f>
        <v>0</v>
      </c>
      <c r="J40" s="2" cm="1">
        <f t="array" ref="J40">IF(VLOOKUP(J$25,mission!$D$64:$F$78,3,FALSE)&lt;=$F$5*60/$C$7,INDEX(mission!$E$64:$E$78,MATCH(J$25,mission!$D$64:$D$78,0)),0)</f>
        <v>0</v>
      </c>
      <c r="K40" s="2" cm="1">
        <f t="array" ref="K40">IF(VLOOKUP(K$25,mission!$D$64:$F$78,3,FALSE)&lt;=$F$5*60/$C$7,INDEX(mission!$E$64:$E$78,MATCH(K$25,mission!$D$64:$D$78,0)),0)</f>
        <v>0</v>
      </c>
      <c r="L40" s="2" cm="1">
        <f t="array" ref="L40">IF(VLOOKUP(L$25,mission!$D$64:$F$78,3,FALSE)&lt;=$F$5*60/$C$7,INDEX(mission!$E$64:$E$78,MATCH(L$25,mission!$D$64:$D$78,0)),0)</f>
        <v>0</v>
      </c>
      <c r="M40" s="2" cm="1">
        <f t="array" ref="M40">IF(VLOOKUP(M$25,mission!$D$64:$F$78,3,FALSE)&lt;=$F$5*60/$C$7,INDEX(mission!$E$64:$E$78,MATCH(M$25,mission!$D$64:$D$78,0)),0)</f>
        <v>0</v>
      </c>
      <c r="N40" s="2" cm="1">
        <f t="array" ref="N40">IF(VLOOKUP(N$25,mission!$D$64:$F$78,3,FALSE)&lt;=$F$5*60/$C$7*$C$6,INDEX(mission!$E$64:$E$78,MATCH(N$25,mission!$D$64:$D$78,0)),0)</f>
        <v>0</v>
      </c>
      <c r="O40" s="2" cm="1">
        <f t="array" ref="O40">IF(VLOOKUP(O$25,mission!$D$64:$F$78,3,FALSE)&lt;=$F$5*60/$C$7*$C$6,INDEX(mission!$E$64:$E$78,MATCH(O$25,mission!$D$64:$D$78,0)),0)</f>
        <v>0</v>
      </c>
      <c r="P40" s="2" cm="1">
        <f t="array" ref="P40">IF(VLOOKUP(P$25,mission!$D$64:$F$78,3,FALSE)&lt;=$F$5*60/$C$7*$C$6,INDEX(mission!$E$64:$E$78,MATCH(P$25,mission!$D$64:$D$78,0)),0)</f>
        <v>0</v>
      </c>
      <c r="Q40" s="2" cm="1">
        <f t="array" ref="Q40">IF(VLOOKUP(Q$25,mission!$D$64:$F$78,3,FALSE)&lt;=$F$5*60/$C$7*$C$6,INDEX(mission!$E$64:$E$78,MATCH(Q$25,mission!$D$64:$D$78,0)),0)</f>
        <v>0</v>
      </c>
      <c r="R40" s="2" cm="1">
        <f t="array" ref="R40">IF(VLOOKUP(R$25,mission!$D$64:$F$78,3,FALSE)&lt;=$F$5*60/$C$7*$C$6,INDEX(mission!$E$64:$E$78,MATCH(R$25,mission!$D$64:$D$78,0)),0)</f>
        <v>0</v>
      </c>
      <c r="S40" s="2" cm="1">
        <f t="array" ref="S40">IF(VLOOKUP(S$25,mission!$D$64:$F$78,3,FALSE)&lt;=$F$5*60/$C$7*$C$6*$C$4,INDEX(mission!$E$64:$E$78,MATCH(S$25,mission!$D$64:$D$78,0)),0)</f>
        <v>0</v>
      </c>
      <c r="T40" s="2" cm="1">
        <f t="array" ref="T40">IF(VLOOKUP(T$25,mission!$D$64:$F$78,3,FALSE)&lt;=$F$5*60/$C$7*$C$6*$C$4,INDEX(mission!$E$64:$E$78,MATCH(T$25,mission!$D$64:$D$78,0)),0)</f>
        <v>0</v>
      </c>
      <c r="U40" s="2" cm="1">
        <f t="array" ref="U40">IF(VLOOKUP(U$25,mission!$D$64:$F$78,3,FALSE)&lt;=$F$5*60/$C$7*$C$6*$C$4,INDEX(mission!$E$64:$E$78,MATCH(U$25,mission!$D$64:$D$78,0)),0)</f>
        <v>0</v>
      </c>
      <c r="V40" s="2" cm="1">
        <f t="array" ref="V40">IF(VLOOKUP(V$25,mission!$D$64:$F$78,3,FALSE)&lt;=$F$5*60/$C$7*$C$6*$C$4,INDEX(mission!$E$64:$E$78,MATCH(V$25,mission!$D$64:$D$78,0)),0)</f>
        <v>0</v>
      </c>
      <c r="W40" s="2" cm="1">
        <f t="array" ref="W40">IF(VLOOKUP(W$25,mission!$D$64:$F$78,3,FALSE)&lt;=$F$5*60/$C$7*$C$6*$C$4,INDEX(mission!$E$64:$E$78,MATCH(W$25,mission!$D$64:$D$78,0)),0)</f>
        <v>0</v>
      </c>
    </row>
    <row r="41" s="2" customFormat="1" ht="18" customHeight="1" spans="2:23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282</v>
      </c>
      <c r="G41" s="2">
        <f t="shared" si="2"/>
        <v>0</v>
      </c>
      <c r="H41" s="2">
        <f t="shared" si="3"/>
        <v>400</v>
      </c>
      <c r="I41" s="2" cm="1">
        <f t="array" ref="I41">IF(I40=0,IF(VLOOKUP(I$25,mission!$D$64:$F$78,3,FALSE)&lt;=$F$5*60/$C$7*2,INDEX(mission!$E$64:$E$78,MATCH(I$25,mission!$D$64:$D$78,0)),0))</f>
        <v>0</v>
      </c>
      <c r="J41" s="2" cm="1">
        <f t="array" ref="J41">IF(J40=0,IF(VLOOKUP(J$25,mission!$D$64:$F$78,3,FALSE)&lt;=$F$5*60/$C$7*2,INDEX(mission!$E$64:$E$78,MATCH(J$25,mission!$D$64:$D$78,0)),0))</f>
        <v>0</v>
      </c>
      <c r="K41" s="2" cm="1">
        <f t="array" ref="K41">IF(K40=0,IF(VLOOKUP(K$25,mission!$D$64:$F$78,3,FALSE)&lt;=$F$5*60/$C$7*2,INDEX(mission!$E$64:$E$78,MATCH(K$25,mission!$D$64:$D$78,0)),0))</f>
        <v>0</v>
      </c>
      <c r="L41" s="2" cm="1">
        <f t="array" ref="L41">IF(L40=0,IF(VLOOKUP(L$25,mission!$D$64:$F$78,3,FALSE)&lt;=$F$5*60/$C$7*2,INDEX(mission!$E$64:$E$78,MATCH(L$25,mission!$D$64:$D$78,0)),0))</f>
        <v>0</v>
      </c>
      <c r="M41" s="2" cm="1">
        <f t="array" ref="M41">IF(M40=0,IF(VLOOKUP(M$25,mission!$D$64:$F$78,3,FALSE)&lt;=$F$5*60/$C$7*2,INDEX(mission!$E$64:$E$78,MATCH(M$25,mission!$D$64:$D$78,0)),0))</f>
        <v>0</v>
      </c>
      <c r="N41" s="2" cm="1">
        <f t="array" ref="N41">IF(N40=0,IF(VLOOKUP(N$25,mission!$D$64:$F$78,3,FALSE)&lt;=$F$5*60/$C$7*$C$6*2,INDEX(mission!$E$64:$E$78,MATCH(N$25,mission!$D$64:$D$78,0)),0))</f>
        <v>0</v>
      </c>
      <c r="O41" s="2" cm="1">
        <f t="array" ref="O41">IF(O40=0,IF(VLOOKUP(O$25,mission!$D$64:$F$78,3,FALSE)&lt;=$F$5*60/$C$7*$C$6*2,INDEX(mission!$E$64:$E$78,MATCH(O$25,mission!$D$64:$D$78,0)),0))</f>
        <v>0</v>
      </c>
      <c r="P41" s="2" cm="1">
        <f t="array" ref="P41">IF(P40=0,IF(VLOOKUP(P$25,mission!$D$64:$F$78,3,FALSE)&lt;=$F$5*60/$C$7*$C$6*2,INDEX(mission!$E$64:$E$78,MATCH(P$25,mission!$D$64:$D$78,0)),0))</f>
        <v>0</v>
      </c>
      <c r="Q41" s="2" cm="1">
        <f t="array" ref="Q41">IF(Q40=0,IF(VLOOKUP(Q$25,mission!$D$64:$F$78,3,FALSE)&lt;=$F$5*60/$C$7*$C$6*2,INDEX(mission!$E$64:$E$78,MATCH(Q$25,mission!$D$64:$D$78,0)),0))</f>
        <v>0</v>
      </c>
      <c r="R41" s="2" cm="1">
        <f t="array" ref="R41">IF(R40=0,IF(VLOOKUP(R$25,mission!$D$64:$F$78,3,FALSE)&lt;=$F$5*60/$C$7*$C$6*2,INDEX(mission!$E$64:$E$78,MATCH(R$25,mission!$D$64:$D$78,0)),0))</f>
        <v>0</v>
      </c>
      <c r="S41" s="2" cm="1">
        <f t="array" ref="S41">IF(S40=0,IF(VLOOKUP(S$25,mission!$D$64:$F$78,3,FALSE)&lt;=$F$5*60/$C$7*$C$6*$C$4*2,INDEX(mission!$E$64:$E$78,MATCH(S$25,mission!$D$64:$D$78,0)),0))</f>
        <v>0</v>
      </c>
      <c r="T41" s="2" cm="1">
        <f t="array" ref="T41">IF(T40=0,IF(VLOOKUP(T$25,mission!$D$64:$F$78,3,FALSE)&lt;=$F$5*60/$C$7*$C$6*$C$4*2,INDEX(mission!$E$64:$E$78,MATCH(T$25,mission!$D$64:$D$78,0)),0))</f>
        <v>0</v>
      </c>
      <c r="U41" s="2" cm="1">
        <f t="array" ref="U41">IF(U40=0,IF(VLOOKUP(U$25,mission!$D$64:$F$78,3,FALSE)&lt;=$F$5*60/$C$7*$C$6*$C$4*2,INDEX(mission!$E$64:$E$78,MATCH(U$25,mission!$D$64:$D$78,0)),0))</f>
        <v>0</v>
      </c>
      <c r="V41" s="2" cm="1">
        <f t="array" ref="V41">IF(V40=0,IF(VLOOKUP(V$25,mission!$D$64:$F$78,3,FALSE)&lt;=$F$5*60/$C$7*$C$6*$C$4*2,INDEX(mission!$E$64:$E$78,MATCH(V$25,mission!$D$64:$D$78,0)),0))</f>
        <v>0</v>
      </c>
      <c r="W41" s="2" cm="1">
        <f t="array" ref="W41">IF(W40=0,IF(VLOOKUP(W$25,mission!$D$64:$F$78,3,FALSE)&lt;=$F$5*60/$C$7*$C$6*$C$4*2,INDEX(mission!$E$64:$E$78,MATCH(W$25,mission!$D$64:$D$78,0)),0))</f>
        <v>0</v>
      </c>
    </row>
    <row r="42" s="2" customFormat="1" ht="18" customHeight="1" spans="2:23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299</v>
      </c>
      <c r="G42" s="2">
        <f t="shared" si="2"/>
        <v>100</v>
      </c>
      <c r="H42" s="2">
        <f t="shared" si="3"/>
        <v>500</v>
      </c>
      <c r="I42" s="2" cm="1">
        <f t="array" ref="I42">IF(I41=0,IF(VLOOKUP(I$25,mission!$D$64:$F$78,3,FALSE)&lt;=$F$5*60/$C$7*3,INDEX(mission!$E$64:$E$78,MATCH(I$25,mission!$D$64:$D$78,0)),0))</f>
        <v>25</v>
      </c>
      <c r="J42" s="2" cm="1">
        <f t="array" ref="J42">IF(J41=0,IF(VLOOKUP(J$25,mission!$D$64:$F$78,3,FALSE)&lt;=$F$5*60/$C$7*3,INDEX(mission!$E$64:$E$78,MATCH(J$25,mission!$D$64:$D$78,0)),0))</f>
        <v>0</v>
      </c>
      <c r="K42" s="2" cm="1">
        <f t="array" ref="K42">IF(K41=0,IF(VLOOKUP(K$25,mission!$D$64:$F$78,3,FALSE)&lt;=$F$5*60/$C$7*3,INDEX(mission!$E$64:$E$78,MATCH(K$25,mission!$D$64:$D$78,0)),0))</f>
        <v>0</v>
      </c>
      <c r="L42" s="2" cm="1">
        <f t="array" ref="L42">IF(L41=0,IF(VLOOKUP(L$25,mission!$D$64:$F$78,3,FALSE)&lt;=$F$5*60/$C$7*3,INDEX(mission!$E$64:$E$78,MATCH(L$25,mission!$D$64:$D$78,0)),0))</f>
        <v>0</v>
      </c>
      <c r="M42" s="2" cm="1">
        <f t="array" ref="M42">IF(M41=0,IF(VLOOKUP(M$25,mission!$D$64:$F$78,3,FALSE)&lt;=$F$5*60/$C$7*3,INDEX(mission!$E$64:$E$78,MATCH(M$25,mission!$D$64:$D$78,0)),0))</f>
        <v>0</v>
      </c>
      <c r="N42" s="2" cm="1">
        <f t="array" ref="N42">IF(N41=0,IF(VLOOKUP(N$25,mission!$D$64:$F$78,3,FALSE)&lt;=$F$5*60/$C$7*$C$6*3,INDEX(mission!$E$64:$E$78,MATCH(N$25,mission!$D$64:$D$78,0)),0))</f>
        <v>25</v>
      </c>
      <c r="O42" s="2" cm="1">
        <f t="array" ref="O42">IF(O41=0,IF(VLOOKUP(O$25,mission!$D$64:$F$78,3,FALSE)&lt;=$F$5*60/$C$7*$C$6*3,INDEX(mission!$E$64:$E$78,MATCH(O$25,mission!$D$64:$D$78,0)),0))</f>
        <v>0</v>
      </c>
      <c r="P42" s="2" cm="1">
        <f t="array" ref="P42">IF(P41=0,IF(VLOOKUP(P$25,mission!$D$64:$F$78,3,FALSE)&lt;=$F$5*60/$C$7*$C$6*3,INDEX(mission!$E$64:$E$78,MATCH(P$25,mission!$D$64:$D$78,0)),0))</f>
        <v>0</v>
      </c>
      <c r="Q42" s="2" cm="1">
        <f t="array" ref="Q42">IF(Q41=0,IF(VLOOKUP(Q$25,mission!$D$64:$F$78,3,FALSE)&lt;=$F$5*60/$C$7*$C$6*3,INDEX(mission!$E$64:$E$78,MATCH(Q$25,mission!$D$64:$D$78,0)),0))</f>
        <v>0</v>
      </c>
      <c r="R42" s="2" cm="1">
        <f t="array" ref="R42">IF(R41=0,IF(VLOOKUP(R$25,mission!$D$64:$F$78,3,FALSE)&lt;=$F$5*60/$C$7*$C$6*3,INDEX(mission!$E$64:$E$78,MATCH(R$25,mission!$D$64:$D$78,0)),0))</f>
        <v>0</v>
      </c>
      <c r="S42" s="2" cm="1">
        <f t="array" ref="S42">IF(S41=0,IF(VLOOKUP(S$25,mission!$D$64:$F$78,3,FALSE)&lt;=$F$5*60/$C$7*$C$6*$C$4*3,INDEX(mission!$E$64:$E$78,MATCH(S$25,mission!$D$64:$D$78,0)),0))</f>
        <v>50</v>
      </c>
      <c r="T42" s="2" cm="1">
        <f t="array" ref="T42">IF(T41=0,IF(VLOOKUP(T$25,mission!$D$64:$F$78,3,FALSE)&lt;=$F$5*60/$C$7*$C$6*$C$4*3,INDEX(mission!$E$64:$E$78,MATCH(T$25,mission!$D$64:$D$78,0)),0))</f>
        <v>0</v>
      </c>
      <c r="U42" s="2" cm="1">
        <f t="array" ref="U42">IF(U41=0,IF(VLOOKUP(U$25,mission!$D$64:$F$78,3,FALSE)&lt;=$F$5*60/$C$7*$C$6*$C$4*3,INDEX(mission!$E$64:$E$78,MATCH(U$25,mission!$D$64:$D$78,0)),0))</f>
        <v>0</v>
      </c>
      <c r="V42" s="2" cm="1">
        <f t="array" ref="V42">IF(V41=0,IF(VLOOKUP(V$25,mission!$D$64:$F$78,3,FALSE)&lt;=$F$5*60/$C$7*$C$6*$C$4*3,INDEX(mission!$E$64:$E$78,MATCH(V$25,mission!$D$64:$D$78,0)),0))</f>
        <v>0</v>
      </c>
      <c r="W42" s="2" cm="1">
        <f t="array" ref="W42">IF(W41=0,IF(VLOOKUP(W$25,mission!$D$64:$F$78,3,FALSE)&lt;=$F$5*60/$C$7*$C$6*$C$4*3,INDEX(mission!$E$64:$E$78,MATCH(W$25,mission!$D$64:$D$78,0)),0))</f>
        <v>0</v>
      </c>
    </row>
    <row r="43" s="2" customFormat="1" ht="18" customHeight="1" spans="2:23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317</v>
      </c>
      <c r="G43" s="2">
        <f t="shared" si="2"/>
        <v>0</v>
      </c>
      <c r="H43" s="2">
        <f t="shared" si="3"/>
        <v>500</v>
      </c>
      <c r="I43" s="2" t="b" cm="1">
        <f t="array" ref="I43">IF(I42=0,IF(VLOOKUP(I$25,mission!$D$64:$F$78,3,FALSE)&lt;=$F$5*60/$C$7*4,INDEX(mission!$E$64:$E$78,MATCH(I$25,mission!$D$64:$D$78,0)),0))</f>
        <v>0</v>
      </c>
      <c r="J43" s="2" cm="1">
        <f t="array" ref="J43">IF(J42=0,IF(VLOOKUP(J$25,mission!$D$64:$F$78,3,FALSE)&lt;=$F$5*60/$C$7*4,INDEX(mission!$E$64:$E$78,MATCH(J$25,mission!$D$64:$D$78,0)),0))</f>
        <v>0</v>
      </c>
      <c r="K43" s="2" cm="1">
        <f t="array" ref="K43">IF(K42=0,IF(VLOOKUP(K$25,mission!$D$64:$F$78,3,FALSE)&lt;=$F$5*60/$C$7*4,INDEX(mission!$E$64:$E$78,MATCH(K$25,mission!$D$64:$D$78,0)),0))</f>
        <v>0</v>
      </c>
      <c r="L43" s="2" cm="1">
        <f t="array" ref="L43">IF(L42=0,IF(VLOOKUP(L$25,mission!$D$64:$F$78,3,FALSE)&lt;=$F$5*60/$C$7*4,INDEX(mission!$E$64:$E$78,MATCH(L$25,mission!$D$64:$D$78,0)),0))</f>
        <v>0</v>
      </c>
      <c r="M43" s="2" cm="1">
        <f t="array" ref="M43">IF(M42=0,IF(VLOOKUP(M$25,mission!$D$64:$F$78,3,FALSE)&lt;=$F$5*60/$C$7*4,INDEX(mission!$E$64:$E$78,MATCH(M$25,mission!$D$64:$D$78,0)),0))</f>
        <v>0</v>
      </c>
      <c r="N43" s="2" t="b" cm="1">
        <f t="array" ref="N43">IF(N42=0,IF(VLOOKUP(N$25,mission!$D$64:$F$78,3,FALSE)&lt;=$F$5*60/$C$7*$C$6*4,INDEX(mission!$E$64:$E$78,MATCH(N$25,mission!$D$64:$D$78,0)),0))</f>
        <v>0</v>
      </c>
      <c r="O43" s="2" cm="1">
        <f t="array" ref="O43">IF(O42=0,IF(VLOOKUP(O$25,mission!$D$64:$F$78,3,FALSE)&lt;=$F$5*60/$C$7*$C$6*4,INDEX(mission!$E$64:$E$78,MATCH(O$25,mission!$D$64:$D$78,0)),0))</f>
        <v>0</v>
      </c>
      <c r="P43" s="2" cm="1">
        <f t="array" ref="P43">IF(P42=0,IF(VLOOKUP(P$25,mission!$D$64:$F$78,3,FALSE)&lt;=$F$5*60/$C$7*$C$6*4,INDEX(mission!$E$64:$E$78,MATCH(P$25,mission!$D$64:$D$78,0)),0))</f>
        <v>0</v>
      </c>
      <c r="Q43" s="2" cm="1">
        <f t="array" ref="Q43">IF(Q42=0,IF(VLOOKUP(Q$25,mission!$D$64:$F$78,3,FALSE)&lt;=$F$5*60/$C$7*$C$6*4,INDEX(mission!$E$64:$E$78,MATCH(Q$25,mission!$D$64:$D$78,0)),0))</f>
        <v>0</v>
      </c>
      <c r="R43" s="2" cm="1">
        <f t="array" ref="R43">IF(R42=0,IF(VLOOKUP(R$25,mission!$D$64:$F$78,3,FALSE)&lt;=$F$5*60/$C$7*$C$6*4,INDEX(mission!$E$64:$E$78,MATCH(R$25,mission!$D$64:$D$78,0)),0))</f>
        <v>0</v>
      </c>
      <c r="S43" s="2" t="b" cm="1">
        <f t="array" ref="S43">IF(S42=0,IF(VLOOKUP(S$25,mission!$D$64:$F$78,3,FALSE)&lt;=$F$5*60/$C$7*$C$6*$C$4*4,INDEX(mission!$E$64:$E$78,MATCH(S$25,mission!$D$64:$D$78,0)),0))</f>
        <v>0</v>
      </c>
      <c r="T43" s="2" cm="1">
        <f t="array" ref="T43">IF(T42=0,IF(VLOOKUP(T$25,mission!$D$64:$F$78,3,FALSE)&lt;=$F$5*60/$C$7*$C$6*$C$4*4,INDEX(mission!$E$64:$E$78,MATCH(T$25,mission!$D$64:$D$78,0)),0))</f>
        <v>0</v>
      </c>
      <c r="U43" s="2" cm="1">
        <f t="array" ref="U43">IF(U42=0,IF(VLOOKUP(U$25,mission!$D$64:$F$78,3,FALSE)&lt;=$F$5*60/$C$7*$C$6*$C$4*4,INDEX(mission!$E$64:$E$78,MATCH(U$25,mission!$D$64:$D$78,0)),0))</f>
        <v>0</v>
      </c>
      <c r="V43" s="2" cm="1">
        <f t="array" ref="V43">IF(V42=0,IF(VLOOKUP(V$25,mission!$D$64:$F$78,3,FALSE)&lt;=$F$5*60/$C$7*$C$6*$C$4*4,INDEX(mission!$E$64:$E$78,MATCH(V$25,mission!$D$64:$D$78,0)),0))</f>
        <v>0</v>
      </c>
      <c r="W43" s="2" cm="1">
        <f t="array" ref="W43">IF(W42=0,IF(VLOOKUP(W$25,mission!$D$64:$F$78,3,FALSE)&lt;=$F$5*60/$C$7*$C$6*$C$4*4,INDEX(mission!$E$64:$E$78,MATCH(W$25,mission!$D$64:$D$78,0)),0))</f>
        <v>0</v>
      </c>
    </row>
    <row r="44" s="2" customFormat="1" ht="18" customHeight="1" spans="2:23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334</v>
      </c>
      <c r="G44" s="2">
        <f t="shared" si="2"/>
        <v>0</v>
      </c>
      <c r="H44" s="2">
        <f t="shared" si="3"/>
        <v>500</v>
      </c>
      <c r="I44" s="2" t="b" cm="1">
        <f t="array" ref="I44">IF(I43=0,IF(VLOOKUP(I$25,mission!$D$64:$F$78,3,FALSE)&lt;=$F$5*60/$C$7*5,INDEX(mission!$E$64:$E$78,MATCH(I$25,mission!$D$64:$D$78,0)),0))</f>
        <v>0</v>
      </c>
      <c r="J44" s="2" cm="1">
        <f t="array" ref="J44">IF(J43=0,IF(VLOOKUP(J$25,mission!$D$64:$F$78,3,FALSE)&lt;=$F$5*60/$C$7*5,INDEX(mission!$E$64:$E$78,MATCH(J$25,mission!$D$64:$D$78,0)),0))</f>
        <v>0</v>
      </c>
      <c r="K44" s="2" cm="1">
        <f t="array" ref="K44">IF(K43=0,IF(VLOOKUP(K$25,mission!$D$64:$F$78,3,FALSE)&lt;=$F$5*60/$C$7*5,INDEX(mission!$E$64:$E$78,MATCH(K$25,mission!$D$64:$D$78,0)),0))</f>
        <v>0</v>
      </c>
      <c r="L44" s="2" cm="1">
        <f t="array" ref="L44">IF(L43=0,IF(VLOOKUP(L$25,mission!$D$64:$F$78,3,FALSE)&lt;=$F$5*60/$C$7*5,INDEX(mission!$E$64:$E$78,MATCH(L$25,mission!$D$64:$D$78,0)),0))</f>
        <v>0</v>
      </c>
      <c r="M44" s="2" cm="1">
        <f t="array" ref="M44">IF(M43=0,IF(VLOOKUP(M$25,mission!$D$64:$F$78,3,FALSE)&lt;=$F$5*60/$C$7*5,INDEX(mission!$E$64:$E$78,MATCH(M$25,mission!$D$64:$D$78,0)),0))</f>
        <v>0</v>
      </c>
      <c r="N44" s="2" t="b" cm="1">
        <f t="array" ref="N44">IF(N43=0,IF(VLOOKUP(N$25,mission!$D$64:$F$78,3,FALSE)&lt;=$F$5*60/$C$7*$C$6*5,INDEX(mission!$E$64:$E$78,MATCH(N$25,mission!$D$64:$D$78,0)),0))</f>
        <v>0</v>
      </c>
      <c r="O44" s="2" cm="1">
        <f t="array" ref="O44">IF(O43=0,IF(VLOOKUP(O$25,mission!$D$64:$F$78,3,FALSE)&lt;=$F$5*60/$C$7*$C$6*5,INDEX(mission!$E$64:$E$78,MATCH(O$25,mission!$D$64:$D$78,0)),0))</f>
        <v>0</v>
      </c>
      <c r="P44" s="2" cm="1">
        <f t="array" ref="P44">IF(P43=0,IF(VLOOKUP(P$25,mission!$D$64:$F$78,3,FALSE)&lt;=$F$5*60/$C$7*$C$6*5,INDEX(mission!$E$64:$E$78,MATCH(P$25,mission!$D$64:$D$78,0)),0))</f>
        <v>0</v>
      </c>
      <c r="Q44" s="2" cm="1">
        <f t="array" ref="Q44">IF(Q43=0,IF(VLOOKUP(Q$25,mission!$D$64:$F$78,3,FALSE)&lt;=$F$5*60/$C$7*$C$6*5,INDEX(mission!$E$64:$E$78,MATCH(Q$25,mission!$D$64:$D$78,0)),0))</f>
        <v>0</v>
      </c>
      <c r="R44" s="2" cm="1">
        <f t="array" ref="R44">IF(R43=0,IF(VLOOKUP(R$25,mission!$D$64:$F$78,3,FALSE)&lt;=$F$5*60/$C$7*$C$6*5,INDEX(mission!$E$64:$E$78,MATCH(R$25,mission!$D$64:$D$78,0)),0))</f>
        <v>0</v>
      </c>
      <c r="S44" s="2" t="b" cm="1">
        <f t="array" ref="S44">IF(S43=0,IF(VLOOKUP(S$25,mission!$D$64:$F$78,3,FALSE)&lt;=$F$5*60/$C$7*$C$6*$C$4*5,INDEX(mission!$E$64:$E$78,MATCH(S$25,mission!$D$64:$D$78,0)),0))</f>
        <v>0</v>
      </c>
      <c r="T44" s="2" cm="1">
        <f t="array" ref="T44">IF(T43=0,IF(VLOOKUP(T$25,mission!$D$64:$F$78,3,FALSE)&lt;=$F$5*60/$C$7*$C$6*$C$4*5,INDEX(mission!$E$64:$E$78,MATCH(T$25,mission!$D$64:$D$78,0)),0))</f>
        <v>0</v>
      </c>
      <c r="U44" s="2" cm="1">
        <f t="array" ref="U44">IF(U43=0,IF(VLOOKUP(U$25,mission!$D$64:$F$78,3,FALSE)&lt;=$F$5*60/$C$7*$C$6*$C$4*5,INDEX(mission!$E$64:$E$78,MATCH(U$25,mission!$D$64:$D$78,0)),0))</f>
        <v>0</v>
      </c>
      <c r="V44" s="2" cm="1">
        <f t="array" ref="V44">IF(V43=0,IF(VLOOKUP(V$25,mission!$D$64:$F$78,3,FALSE)&lt;=$F$5*60/$C$7*$C$6*$C$4*5,INDEX(mission!$E$64:$E$78,MATCH(V$25,mission!$D$64:$D$78,0)),0))</f>
        <v>0</v>
      </c>
      <c r="W44" s="2" cm="1">
        <f t="array" ref="W44">IF(W43=0,IF(VLOOKUP(W$25,mission!$D$64:$F$78,3,FALSE)&lt;=$F$5*60/$C$7*$C$6*$C$4*5,INDEX(mission!$E$64:$E$78,MATCH(W$25,mission!$D$64:$D$78,0)),0))</f>
        <v>0</v>
      </c>
    </row>
    <row r="45" s="1" customFormat="1" ht="18" customHeight="1" spans="2:26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352</v>
      </c>
      <c r="G45" s="2">
        <f t="shared" si="2"/>
        <v>100</v>
      </c>
      <c r="H45" s="2">
        <f t="shared" si="3"/>
        <v>600</v>
      </c>
      <c r="I45" s="2" t="b" cm="1">
        <f t="array" ref="I45">IF(I44=0,IF(VLOOKUP(I$25,mission!$D$64:$F$78,3,FALSE)&lt;=$F$5*60/$C$7*6,INDEX(mission!$E$64:$E$78,MATCH(I$25,mission!$D$64:$D$78,0)),0))</f>
        <v>0</v>
      </c>
      <c r="J45" s="2" cm="1">
        <f t="array" ref="J45">IF(J44=0,IF(VLOOKUP(J$25,mission!$D$64:$F$78,3,FALSE)&lt;=$F$5*60/$C$7*6,INDEX(mission!$E$64:$E$78,MATCH(J$25,mission!$D$64:$D$78,0)),0))</f>
        <v>25</v>
      </c>
      <c r="K45" s="2" cm="1">
        <f t="array" ref="K45">IF(K44=0,IF(VLOOKUP(K$25,mission!$D$64:$F$78,3,FALSE)&lt;=$F$5*60/$C$7*6,INDEX(mission!$E$64:$E$78,MATCH(K$25,mission!$D$64:$D$78,0)),0))</f>
        <v>0</v>
      </c>
      <c r="L45" s="2" cm="1">
        <f t="array" ref="L45">IF(L44=0,IF(VLOOKUP(L$25,mission!$D$64:$F$78,3,FALSE)&lt;=$F$5*60/$C$7*6,INDEX(mission!$E$64:$E$78,MATCH(L$25,mission!$D$64:$D$78,0)),0))</f>
        <v>0</v>
      </c>
      <c r="M45" s="2" cm="1">
        <f t="array" ref="M45">IF(M44=0,IF(VLOOKUP(M$25,mission!$D$64:$F$78,3,FALSE)&lt;=$F$5*60/$C$7*6,INDEX(mission!$E$64:$E$78,MATCH(M$25,mission!$D$64:$D$78,0)),0))</f>
        <v>0</v>
      </c>
      <c r="N45" s="2" t="b" cm="1">
        <f t="array" ref="N45">IF(N44=0,IF(VLOOKUP(N$25,mission!$D$64:$F$78,3,FALSE)&lt;=$F$5*60/$C$7*$C$6*6,INDEX(mission!$E$64:$E$78,MATCH(N$25,mission!$D$64:$D$78,0)),0))</f>
        <v>0</v>
      </c>
      <c r="O45" s="2" cm="1">
        <f t="array" ref="O45">IF(O44=0,IF(VLOOKUP(O$25,mission!$D$64:$F$78,3,FALSE)&lt;=$F$5*60/$C$7*$C$6*6,INDEX(mission!$E$64:$E$78,MATCH(O$25,mission!$D$64:$D$78,0)),0))</f>
        <v>25</v>
      </c>
      <c r="P45" s="2" cm="1">
        <f t="array" ref="P45">IF(P44=0,IF(VLOOKUP(P$25,mission!$D$64:$F$78,3,FALSE)&lt;=$F$5*60/$C$7*$C$6*6,INDEX(mission!$E$64:$E$78,MATCH(P$25,mission!$D$64:$D$78,0)),0))</f>
        <v>0</v>
      </c>
      <c r="Q45" s="2" cm="1">
        <f t="array" ref="Q45">IF(Q44=0,IF(VLOOKUP(Q$25,mission!$D$64:$F$78,3,FALSE)&lt;=$F$5*60/$C$7*$C$6*6,INDEX(mission!$E$64:$E$78,MATCH(Q$25,mission!$D$64:$D$78,0)),0))</f>
        <v>0</v>
      </c>
      <c r="R45" s="2" cm="1">
        <f t="array" ref="R45">IF(R44=0,IF(VLOOKUP(R$25,mission!$D$64:$F$78,3,FALSE)&lt;=$F$5*60/$C$7*$C$6*6,INDEX(mission!$E$64:$E$78,MATCH(R$25,mission!$D$64:$D$78,0)),0))</f>
        <v>0</v>
      </c>
      <c r="S45" s="2" t="b" cm="1">
        <f t="array" ref="S45">IF(S44=0,IF(VLOOKUP(S$25,mission!$D$64:$F$78,3,FALSE)&lt;=$F$5*60/$C$7*$C$6*$C$4*6,INDEX(mission!$E$64:$E$78,MATCH(S$25,mission!$D$64:$D$78,0)),0))</f>
        <v>0</v>
      </c>
      <c r="T45" s="2" cm="1">
        <f t="array" ref="T45">IF(T44=0,IF(VLOOKUP(T$25,mission!$D$64:$F$78,3,FALSE)&lt;=$F$5*60/$C$7*$C$6*$C$4*6,INDEX(mission!$E$64:$E$78,MATCH(T$25,mission!$D$64:$D$78,0)),0))</f>
        <v>50</v>
      </c>
      <c r="U45" s="2" cm="1">
        <f t="array" ref="U45">IF(U44=0,IF(VLOOKUP(U$25,mission!$D$64:$F$78,3,FALSE)&lt;=$F$5*60/$C$7*$C$6*$C$4*6,INDEX(mission!$E$64:$E$78,MATCH(U$25,mission!$D$64:$D$78,0)),0))</f>
        <v>0</v>
      </c>
      <c r="V45" s="2" cm="1">
        <f t="array" ref="V45">IF(V44=0,IF(VLOOKUP(V$25,mission!$D$64:$F$78,3,FALSE)&lt;=$F$5*60/$C$7*$C$6*$C$4*6,INDEX(mission!$E$64:$E$78,MATCH(V$25,mission!$D$64:$D$78,0)),0))</f>
        <v>0</v>
      </c>
      <c r="W45" s="2" cm="1">
        <f t="array" ref="W45">IF(W44=0,IF(VLOOKUP(W$25,mission!$D$64:$F$78,3,FALSE)&lt;=$F$5*60/$C$7*$C$6*$C$4*6,INDEX(mission!$E$64:$E$78,MATCH(W$25,mission!$D$64:$D$78,0)),0))</f>
        <v>0</v>
      </c>
      <c r="X45" s="2"/>
      <c r="Y45" s="2"/>
      <c r="Z45" s="2"/>
    </row>
    <row r="46" s="10" customFormat="1" ht="18" customHeight="1" spans="2:26">
      <c r="B46" s="10">
        <v>21</v>
      </c>
      <c r="C46" s="10">
        <f t="shared" si="0"/>
        <v>21000</v>
      </c>
      <c r="D46" s="10">
        <f>ROUND($C$8*$C$5+$C$8*$C$4*(1-$L$5),0)</f>
        <v>88</v>
      </c>
      <c r="E46" s="10">
        <f t="shared" si="1"/>
        <v>1848</v>
      </c>
      <c r="F46" s="10">
        <f>ROUND(E46*VLOOKUP($B$10,总产出!$T$4:$U$14,2,FALSE),0)</f>
        <v>370</v>
      </c>
      <c r="G46" s="10">
        <f t="shared" si="2"/>
        <v>0</v>
      </c>
      <c r="H46" s="10">
        <f t="shared" si="3"/>
        <v>600</v>
      </c>
      <c r="I46" s="10" t="b" cm="1">
        <f t="array" ref="I46">IF(I45=0,IF(VLOOKUP(I$25,mission!$D$64:$F$78,3,FALSE)&lt;=$F$5*60/$C$7*7,INDEX(mission!$E$64:$E$78,MATCH(I$25,mission!$D$64:$D$78,0)),0))</f>
        <v>0</v>
      </c>
      <c r="J46" s="10" t="b" cm="1">
        <f t="array" ref="J46">IF(J45=0,IF(VLOOKUP(J$25,mission!$D$64:$F$78,3,FALSE)&lt;=$F$5*60/$C$7*7,INDEX(mission!$E$64:$E$78,MATCH(J$25,mission!$D$64:$D$78,0)),0))</f>
        <v>0</v>
      </c>
      <c r="K46" s="10" cm="1">
        <f t="array" ref="K46">IF(K45=0,IF(VLOOKUP(K$25,mission!$D$64:$F$78,3,FALSE)&lt;=$F$5*60/$C$7*7,INDEX(mission!$E$64:$E$78,MATCH(K$25,mission!$D$64:$D$78,0)),0))</f>
        <v>0</v>
      </c>
      <c r="L46" s="10" cm="1">
        <f t="array" ref="L46">IF(L45=0,IF(VLOOKUP(L$25,mission!$D$64:$F$78,3,FALSE)&lt;=$F$5*60/$C$7*7,INDEX(mission!$E$64:$E$78,MATCH(L$25,mission!$D$64:$D$78,0)),0))</f>
        <v>0</v>
      </c>
      <c r="M46" s="10" cm="1">
        <f t="array" ref="M46">IF(M45=0,IF(VLOOKUP(M$25,mission!$D$64:$F$78,3,FALSE)&lt;=$F$5*60/$C$7*7,INDEX(mission!$E$64:$E$78,MATCH(M$25,mission!$D$64:$D$78,0)),0))</f>
        <v>0</v>
      </c>
      <c r="N46" s="10" t="b" cm="1">
        <f t="array" ref="N46">IF(N45=0,IF(VLOOKUP(N$25,mission!$D$64:$F$78,3,FALSE)&lt;=$F$5*60/$C$7*$C$6*7,INDEX(mission!$E$64:$E$78,MATCH(N$25,mission!$D$64:$D$78,0)),0))</f>
        <v>0</v>
      </c>
      <c r="O46" s="10" t="b" cm="1">
        <f t="array" ref="O46">IF(O45=0,IF(VLOOKUP(O$25,mission!$D$64:$F$78,3,FALSE)&lt;=$F$5*60/$C$7*$C$6*7,INDEX(mission!$E$64:$E$78,MATCH(O$25,mission!$D$64:$D$78,0)),0))</f>
        <v>0</v>
      </c>
      <c r="P46" s="10" cm="1">
        <f t="array" ref="P46">IF(P45=0,IF(VLOOKUP(P$25,mission!$D$64:$F$78,3,FALSE)&lt;=$F$5*60/$C$7*$C$6*7,INDEX(mission!$E$64:$E$78,MATCH(P$25,mission!$D$64:$D$78,0)),0))</f>
        <v>0</v>
      </c>
      <c r="Q46" s="10" cm="1">
        <f t="array" ref="Q46">IF(Q45=0,IF(VLOOKUP(Q$25,mission!$D$64:$F$78,3,FALSE)&lt;=$F$5*60/$C$7*$C$6*7,INDEX(mission!$E$64:$E$78,MATCH(Q$25,mission!$D$64:$D$78,0)),0))</f>
        <v>0</v>
      </c>
      <c r="R46" s="10" cm="1">
        <f t="array" ref="R46">IF(R45=0,IF(VLOOKUP(R$25,mission!$D$64:$F$78,3,FALSE)&lt;=$F$5*60/$C$7*$C$6*7,INDEX(mission!$E$64:$E$78,MATCH(R$25,mission!$D$64:$D$78,0)),0))</f>
        <v>0</v>
      </c>
      <c r="S46" s="10" t="b" cm="1">
        <f t="array" ref="S46">IF(S45=0,IF(VLOOKUP(S$25,mission!$D$64:$F$78,3,FALSE)&lt;=$F$5*60/$C$7*$C$6*$C$4*7,INDEX(mission!$E$64:$E$78,MATCH(S$25,mission!$D$64:$D$78,0)),0))</f>
        <v>0</v>
      </c>
      <c r="T46" s="10" t="b" cm="1">
        <f t="array" ref="T46">IF(T45=0,IF(VLOOKUP(T$25,mission!$D$64:$F$78,3,FALSE)&lt;=$F$5*60/$C$7*$C$6*$C$4*7,INDEX(mission!$E$64:$E$78,MATCH(T$25,mission!$D$64:$D$78,0)),0))</f>
        <v>0</v>
      </c>
      <c r="U46" s="10" cm="1">
        <f t="array" ref="U46">IF(U45=0,IF(VLOOKUP(U$25,mission!$D$64:$F$78,3,FALSE)&lt;=$F$5*60/$C$7*$C$6*$C$4*7,INDEX(mission!$E$64:$E$78,MATCH(U$25,mission!$D$64:$D$78,0)),0))</f>
        <v>0</v>
      </c>
      <c r="V46" s="10" cm="1">
        <f t="array" ref="V46">IF(V45=0,IF(VLOOKUP(V$25,mission!$D$64:$F$78,3,FALSE)&lt;=$F$5*60/$C$7*$C$6*$C$4*7,INDEX(mission!$E$64:$E$78,MATCH(V$25,mission!$D$64:$D$78,0)),0))</f>
        <v>0</v>
      </c>
      <c r="W46" s="10" cm="1">
        <f t="array" ref="W46">IF(W45=0,IF(VLOOKUP(W$25,mission!$D$64:$F$78,3,FALSE)&lt;=$F$5*60/$C$7*$C$6*$C$4*7,INDEX(mission!$E$64:$E$78,MATCH(W$25,mission!$D$64:$D$78,0)),0))</f>
        <v>0</v>
      </c>
      <c r="X46" s="2"/>
      <c r="Y46" s="2"/>
      <c r="Z46" s="2"/>
    </row>
    <row r="47" s="1" customFormat="1" ht="18" customHeight="1" spans="2:26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387</v>
      </c>
      <c r="G47" s="2">
        <f t="shared" si="2"/>
        <v>0</v>
      </c>
      <c r="H47" s="2">
        <f t="shared" si="3"/>
        <v>600</v>
      </c>
      <c r="I47" s="2" cm="1">
        <f t="array" ref="I47">IF(VLOOKUP(I$25,mission!$D$64:$F$78,3,FALSE)&lt;=$F$5*60/$C$7,INDEX(mission!$E$64:$E$78,MATCH(I$25,mission!$D$64:$D$78,0)),0)</f>
        <v>0</v>
      </c>
      <c r="J47" s="2" cm="1">
        <f t="array" ref="J47">IF(VLOOKUP(J$25,mission!$D$64:$F$78,3,FALSE)&lt;=$F$5*60/$C$7,INDEX(mission!$E$64:$E$78,MATCH(J$25,mission!$D$64:$D$78,0)),0)</f>
        <v>0</v>
      </c>
      <c r="K47" s="2" cm="1">
        <f t="array" ref="K47">IF(VLOOKUP(K$25,mission!$D$64:$F$78,3,FALSE)&lt;=$F$5*60/$C$7,INDEX(mission!$E$64:$E$78,MATCH(K$25,mission!$D$64:$D$78,0)),0)</f>
        <v>0</v>
      </c>
      <c r="L47" s="2" cm="1">
        <f t="array" ref="L47">IF(VLOOKUP(L$25,mission!$D$64:$F$78,3,FALSE)&lt;=$F$5*60/$C$7,INDEX(mission!$E$64:$E$78,MATCH(L$25,mission!$D$64:$D$78,0)),0)</f>
        <v>0</v>
      </c>
      <c r="M47" s="2" cm="1">
        <f t="array" ref="M47">IF(VLOOKUP(M$25,mission!$D$64:$F$78,3,FALSE)&lt;=$F$5*60/$C$7,INDEX(mission!$E$64:$E$78,MATCH(M$25,mission!$D$64:$D$78,0)),0)</f>
        <v>0</v>
      </c>
      <c r="N47" s="2" cm="1">
        <f t="array" ref="N47">IF(VLOOKUP(N$25,mission!$D$64:$F$78,3,FALSE)&lt;=$F$5*60/$C$7*$C$6,INDEX(mission!$E$64:$E$78,MATCH(N$25,mission!$D$64:$D$78,0)),0)</f>
        <v>0</v>
      </c>
      <c r="O47" s="2" cm="1">
        <f t="array" ref="O47">IF(VLOOKUP(O$25,mission!$D$64:$F$78,3,FALSE)&lt;=$F$5*60/$C$7*$C$6,INDEX(mission!$E$64:$E$78,MATCH(O$25,mission!$D$64:$D$78,0)),0)</f>
        <v>0</v>
      </c>
      <c r="P47" s="2" cm="1">
        <f t="array" ref="P47">IF(VLOOKUP(P$25,mission!$D$64:$F$78,3,FALSE)&lt;=$F$5*60/$C$7*$C$6,INDEX(mission!$E$64:$E$78,MATCH(P$25,mission!$D$64:$D$78,0)),0)</f>
        <v>0</v>
      </c>
      <c r="Q47" s="2" cm="1">
        <f t="array" ref="Q47">IF(VLOOKUP(Q$25,mission!$D$64:$F$78,3,FALSE)&lt;=$F$5*60/$C$7*$C$6,INDEX(mission!$E$64:$E$78,MATCH(Q$25,mission!$D$64:$D$78,0)),0)</f>
        <v>0</v>
      </c>
      <c r="R47" s="2" cm="1">
        <f t="array" ref="R47">IF(VLOOKUP(R$25,mission!$D$64:$F$78,3,FALSE)&lt;=$F$5*60/$C$7*$C$6,INDEX(mission!$E$64:$E$78,MATCH(R$25,mission!$D$64:$D$78,0)),0)</f>
        <v>0</v>
      </c>
      <c r="S47" s="2" cm="1">
        <f t="array" ref="S47">IF(VLOOKUP(S$25,mission!$D$64:$F$78,3,FALSE)&lt;=$F$5*60/$C$7*$C$6*$C$4,INDEX(mission!$E$64:$E$78,MATCH(S$25,mission!$D$64:$D$78,0)),0)</f>
        <v>0</v>
      </c>
      <c r="T47" s="2" cm="1">
        <f t="array" ref="T47">IF(VLOOKUP(T$25,mission!$D$64:$F$78,3,FALSE)&lt;=$F$5*60/$C$7*$C$6*$C$4,INDEX(mission!$E$64:$E$78,MATCH(T$25,mission!$D$64:$D$78,0)),0)</f>
        <v>0</v>
      </c>
      <c r="U47" s="2" cm="1">
        <f t="array" ref="U47">IF(VLOOKUP(U$25,mission!$D$64:$F$78,3,FALSE)&lt;=$F$5*60/$C$7*$C$6*$C$4,INDEX(mission!$E$64:$E$78,MATCH(U$25,mission!$D$64:$D$78,0)),0)</f>
        <v>0</v>
      </c>
      <c r="V47" s="2" cm="1">
        <f t="array" ref="V47">IF(VLOOKUP(V$25,mission!$D$64:$F$78,3,FALSE)&lt;=$F$5*60/$C$7*$C$6*$C$4,INDEX(mission!$E$64:$E$78,MATCH(V$25,mission!$D$64:$D$78,0)),0)</f>
        <v>0</v>
      </c>
      <c r="W47" s="2" cm="1">
        <f t="array" ref="W47">IF(VLOOKUP(W$25,mission!$D$64:$F$78,3,FALSE)&lt;=$F$5*60/$C$7*$C$6*$C$4,INDEX(mission!$E$64:$E$78,MATCH(W$25,mission!$D$64:$D$78,0)),0)</f>
        <v>0</v>
      </c>
      <c r="X47" s="2"/>
      <c r="Y47" s="2"/>
      <c r="Z47" s="2"/>
    </row>
    <row r="48" s="1" customFormat="1" ht="18" customHeight="1" spans="2:26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405</v>
      </c>
      <c r="G48" s="2">
        <f t="shared" si="2"/>
        <v>0</v>
      </c>
      <c r="H48" s="2">
        <f t="shared" si="3"/>
        <v>600</v>
      </c>
      <c r="I48" s="2" cm="1">
        <f t="array" ref="I48">IF(I47=0,IF(VLOOKUP(I$25,mission!$D$64:$F$78,3,FALSE)&lt;=$F$5*60/$C$7*2,INDEX(mission!$E$64:$E$78,MATCH(I$25,mission!$D$64:$D$78,0)),0))</f>
        <v>0</v>
      </c>
      <c r="J48" s="2" cm="1">
        <f t="array" ref="J48">IF(J47=0,IF(VLOOKUP(J$25,mission!$D$64:$F$78,3,FALSE)&lt;=$F$5*60/$C$7*2,INDEX(mission!$E$64:$E$78,MATCH(J$25,mission!$D$64:$D$78,0)),0))</f>
        <v>0</v>
      </c>
      <c r="K48" s="2" cm="1">
        <f t="array" ref="K48">IF(K47=0,IF(VLOOKUP(K$25,mission!$D$64:$F$78,3,FALSE)&lt;=$F$5*60/$C$7*2,INDEX(mission!$E$64:$E$78,MATCH(K$25,mission!$D$64:$D$78,0)),0))</f>
        <v>0</v>
      </c>
      <c r="L48" s="2" cm="1">
        <f t="array" ref="L48">IF(L47=0,IF(VLOOKUP(L$25,mission!$D$64:$F$78,3,FALSE)&lt;=$F$5*60/$C$7*2,INDEX(mission!$E$64:$E$78,MATCH(L$25,mission!$D$64:$D$78,0)),0))</f>
        <v>0</v>
      </c>
      <c r="M48" s="2" cm="1">
        <f t="array" ref="M48">IF(M47=0,IF(VLOOKUP(M$25,mission!$D$64:$F$78,3,FALSE)&lt;=$F$5*60/$C$7*2,INDEX(mission!$E$64:$E$78,MATCH(M$25,mission!$D$64:$D$78,0)),0))</f>
        <v>0</v>
      </c>
      <c r="N48" s="2" cm="1">
        <f t="array" ref="N48">IF(N47=0,IF(VLOOKUP(N$25,mission!$D$64:$F$78,3,FALSE)&lt;=$F$5*60/$C$7*$C$6*2,INDEX(mission!$E$64:$E$78,MATCH(N$25,mission!$D$64:$D$78,0)),0))</f>
        <v>0</v>
      </c>
      <c r="O48" s="2" cm="1">
        <f t="array" ref="O48">IF(O47=0,IF(VLOOKUP(O$25,mission!$D$64:$F$78,3,FALSE)&lt;=$F$5*60/$C$7*$C$6*2,INDEX(mission!$E$64:$E$78,MATCH(O$25,mission!$D$64:$D$78,0)),0))</f>
        <v>0</v>
      </c>
      <c r="P48" s="2" cm="1">
        <f t="array" ref="P48">IF(P47=0,IF(VLOOKUP(P$25,mission!$D$64:$F$78,3,FALSE)&lt;=$F$5*60/$C$7*$C$6*2,INDEX(mission!$E$64:$E$78,MATCH(P$25,mission!$D$64:$D$78,0)),0))</f>
        <v>0</v>
      </c>
      <c r="Q48" s="2" cm="1">
        <f t="array" ref="Q48">IF(Q47=0,IF(VLOOKUP(Q$25,mission!$D$64:$F$78,3,FALSE)&lt;=$F$5*60/$C$7*$C$6*2,INDEX(mission!$E$64:$E$78,MATCH(Q$25,mission!$D$64:$D$78,0)),0))</f>
        <v>0</v>
      </c>
      <c r="R48" s="2" cm="1">
        <f t="array" ref="R48">IF(R47=0,IF(VLOOKUP(R$25,mission!$D$64:$F$78,3,FALSE)&lt;=$F$5*60/$C$7*$C$6*2,INDEX(mission!$E$64:$E$78,MATCH(R$25,mission!$D$64:$D$78,0)),0))</f>
        <v>0</v>
      </c>
      <c r="S48" s="2" cm="1">
        <f t="array" ref="S48">IF(S47=0,IF(VLOOKUP(S$25,mission!$D$64:$F$78,3,FALSE)&lt;=$F$5*60/$C$7*$C$6*$C$4*2,INDEX(mission!$E$64:$E$78,MATCH(S$25,mission!$D$64:$D$78,0)),0))</f>
        <v>0</v>
      </c>
      <c r="T48" s="2" cm="1">
        <f t="array" ref="T48">IF(T47=0,IF(VLOOKUP(T$25,mission!$D$64:$F$78,3,FALSE)&lt;=$F$5*60/$C$7*$C$6*$C$4*2,INDEX(mission!$E$64:$E$78,MATCH(T$25,mission!$D$64:$D$78,0)),0))</f>
        <v>0</v>
      </c>
      <c r="U48" s="2" cm="1">
        <f t="array" ref="U48">IF(U47=0,IF(VLOOKUP(U$25,mission!$D$64:$F$78,3,FALSE)&lt;=$F$5*60/$C$7*$C$6*$C$4*2,INDEX(mission!$E$64:$E$78,MATCH(U$25,mission!$D$64:$D$78,0)),0))</f>
        <v>0</v>
      </c>
      <c r="V48" s="2" cm="1">
        <f t="array" ref="V48">IF(V47=0,IF(VLOOKUP(V$25,mission!$D$64:$F$78,3,FALSE)&lt;=$F$5*60/$C$7*$C$6*$C$4*2,INDEX(mission!$E$64:$E$78,MATCH(V$25,mission!$D$64:$D$78,0)),0))</f>
        <v>0</v>
      </c>
      <c r="W48" s="2" cm="1">
        <f t="array" ref="W48">IF(W47=0,IF(VLOOKUP(W$25,mission!$D$64:$F$78,3,FALSE)&lt;=$F$5*60/$C$7*$C$6*$C$4*2,INDEX(mission!$E$64:$E$78,MATCH(W$25,mission!$D$64:$D$78,0)),0))</f>
        <v>0</v>
      </c>
      <c r="X48" s="2"/>
      <c r="Y48" s="2"/>
      <c r="Z48" s="2"/>
    </row>
    <row r="49" s="1" customFormat="1" ht="18" customHeight="1" spans="2:26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422</v>
      </c>
      <c r="G49" s="2">
        <f t="shared" si="2"/>
        <v>100</v>
      </c>
      <c r="H49" s="2">
        <f t="shared" si="3"/>
        <v>700</v>
      </c>
      <c r="I49" s="2" cm="1">
        <f t="array" ref="I49">IF(I48=0,IF(VLOOKUP(I$25,mission!$D$64:$F$78,3,FALSE)&lt;=$F$5*60/$C$7*3,INDEX(mission!$E$64:$E$78,MATCH(I$25,mission!$D$64:$D$78,0)),0))</f>
        <v>25</v>
      </c>
      <c r="J49" s="2" cm="1">
        <f t="array" ref="J49">IF(J48=0,IF(VLOOKUP(J$25,mission!$D$64:$F$78,3,FALSE)&lt;=$F$5*60/$C$7*3,INDEX(mission!$E$64:$E$78,MATCH(J$25,mission!$D$64:$D$78,0)),0))</f>
        <v>0</v>
      </c>
      <c r="K49" s="2" cm="1">
        <f t="array" ref="K49">IF(K48=0,IF(VLOOKUP(K$25,mission!$D$64:$F$78,3,FALSE)&lt;=$F$5*60/$C$7*3,INDEX(mission!$E$64:$E$78,MATCH(K$25,mission!$D$64:$D$78,0)),0))</f>
        <v>0</v>
      </c>
      <c r="L49" s="2" cm="1">
        <f t="array" ref="L49">IF(L48=0,IF(VLOOKUP(L$25,mission!$D$64:$F$78,3,FALSE)&lt;=$F$5*60/$C$7*3,INDEX(mission!$E$64:$E$78,MATCH(L$25,mission!$D$64:$D$78,0)),0))</f>
        <v>0</v>
      </c>
      <c r="M49" s="2" cm="1">
        <f t="array" ref="M49">IF(M48=0,IF(VLOOKUP(M$25,mission!$D$64:$F$78,3,FALSE)&lt;=$F$5*60/$C$7*3,INDEX(mission!$E$64:$E$78,MATCH(M$25,mission!$D$64:$D$78,0)),0))</f>
        <v>0</v>
      </c>
      <c r="N49" s="2" cm="1">
        <f t="array" ref="N49">IF(N48=0,IF(VLOOKUP(N$25,mission!$D$64:$F$78,3,FALSE)&lt;=$F$5*60/$C$7*$C$6*3,INDEX(mission!$E$64:$E$78,MATCH(N$25,mission!$D$64:$D$78,0)),0))</f>
        <v>25</v>
      </c>
      <c r="O49" s="2" cm="1">
        <f t="array" ref="O49">IF(O48=0,IF(VLOOKUP(O$25,mission!$D$64:$F$78,3,FALSE)&lt;=$F$5*60/$C$7*$C$6*3,INDEX(mission!$E$64:$E$78,MATCH(O$25,mission!$D$64:$D$78,0)),0))</f>
        <v>0</v>
      </c>
      <c r="P49" s="2" cm="1">
        <f t="array" ref="P49">IF(P48=0,IF(VLOOKUP(P$25,mission!$D$64:$F$78,3,FALSE)&lt;=$F$5*60/$C$7*$C$6*3,INDEX(mission!$E$64:$E$78,MATCH(P$25,mission!$D$64:$D$78,0)),0))</f>
        <v>0</v>
      </c>
      <c r="Q49" s="2" cm="1">
        <f t="array" ref="Q49">IF(Q48=0,IF(VLOOKUP(Q$25,mission!$D$64:$F$78,3,FALSE)&lt;=$F$5*60/$C$7*$C$6*3,INDEX(mission!$E$64:$E$78,MATCH(Q$25,mission!$D$64:$D$78,0)),0))</f>
        <v>0</v>
      </c>
      <c r="R49" s="2" cm="1">
        <f t="array" ref="R49">IF(R48=0,IF(VLOOKUP(R$25,mission!$D$64:$F$78,3,FALSE)&lt;=$F$5*60/$C$7*$C$6*3,INDEX(mission!$E$64:$E$78,MATCH(R$25,mission!$D$64:$D$78,0)),0))</f>
        <v>0</v>
      </c>
      <c r="S49" s="2" cm="1">
        <f t="array" ref="S49">IF(S48=0,IF(VLOOKUP(S$25,mission!$D$64:$F$78,3,FALSE)&lt;=$F$5*60/$C$7*$C$6*$C$4*3,INDEX(mission!$E$64:$E$78,MATCH(S$25,mission!$D$64:$D$78,0)),0))</f>
        <v>50</v>
      </c>
      <c r="T49" s="2" cm="1">
        <f t="array" ref="T49">IF(T48=0,IF(VLOOKUP(T$25,mission!$D$64:$F$78,3,FALSE)&lt;=$F$5*60/$C$7*$C$6*$C$4*3,INDEX(mission!$E$64:$E$78,MATCH(T$25,mission!$D$64:$D$78,0)),0))</f>
        <v>0</v>
      </c>
      <c r="U49" s="2" cm="1">
        <f t="array" ref="U49">IF(U48=0,IF(VLOOKUP(U$25,mission!$D$64:$F$78,3,FALSE)&lt;=$F$5*60/$C$7*$C$6*$C$4*3,INDEX(mission!$E$64:$E$78,MATCH(U$25,mission!$D$64:$D$78,0)),0))</f>
        <v>0</v>
      </c>
      <c r="V49" s="2" cm="1">
        <f t="array" ref="V49">IF(V48=0,IF(VLOOKUP(V$25,mission!$D$64:$F$78,3,FALSE)&lt;=$F$5*60/$C$7*$C$6*$C$4*3,INDEX(mission!$E$64:$E$78,MATCH(V$25,mission!$D$64:$D$78,0)),0))</f>
        <v>0</v>
      </c>
      <c r="W49" s="2" cm="1">
        <f t="array" ref="W49">IF(W48=0,IF(VLOOKUP(W$25,mission!$D$64:$F$78,3,FALSE)&lt;=$F$5*60/$C$7*$C$6*$C$4*3,INDEX(mission!$E$64:$E$78,MATCH(W$25,mission!$D$64:$D$78,0)),0))</f>
        <v>0</v>
      </c>
      <c r="X49" s="2"/>
      <c r="Y49" s="2"/>
      <c r="Z49" s="2"/>
    </row>
    <row r="50" s="1" customFormat="1" ht="18" customHeight="1" spans="2:26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440</v>
      </c>
      <c r="G50" s="2">
        <f t="shared" si="2"/>
        <v>0</v>
      </c>
      <c r="H50" s="2">
        <f t="shared" si="3"/>
        <v>700</v>
      </c>
      <c r="I50" s="2" t="b" cm="1">
        <f t="array" ref="I50">IF(I49=0,IF(VLOOKUP(I$25,mission!$D$64:$F$78,3,FALSE)&lt;=$F$5*60/$C$7*4,INDEX(mission!$E$64:$E$78,MATCH(I$25,mission!$D$64:$D$78,0)),0))</f>
        <v>0</v>
      </c>
      <c r="J50" s="2" cm="1">
        <f t="array" ref="J50">IF(J49=0,IF(VLOOKUP(J$25,mission!$D$64:$F$78,3,FALSE)&lt;=$F$5*60/$C$7*4,INDEX(mission!$E$64:$E$78,MATCH(J$25,mission!$D$64:$D$78,0)),0))</f>
        <v>0</v>
      </c>
      <c r="K50" s="2" cm="1">
        <f t="array" ref="K50">IF(K49=0,IF(VLOOKUP(K$25,mission!$D$64:$F$78,3,FALSE)&lt;=$F$5*60/$C$7*4,INDEX(mission!$E$64:$E$78,MATCH(K$25,mission!$D$64:$D$78,0)),0))</f>
        <v>0</v>
      </c>
      <c r="L50" s="2" cm="1">
        <f t="array" ref="L50">IF(L49=0,IF(VLOOKUP(L$25,mission!$D$64:$F$78,3,FALSE)&lt;=$F$5*60/$C$7*4,INDEX(mission!$E$64:$E$78,MATCH(L$25,mission!$D$64:$D$78,0)),0))</f>
        <v>0</v>
      </c>
      <c r="M50" s="2" cm="1">
        <f t="array" ref="M50">IF(M49=0,IF(VLOOKUP(M$25,mission!$D$64:$F$78,3,FALSE)&lt;=$F$5*60/$C$7*4,INDEX(mission!$E$64:$E$78,MATCH(M$25,mission!$D$64:$D$78,0)),0))</f>
        <v>0</v>
      </c>
      <c r="N50" s="2" t="b" cm="1">
        <f t="array" ref="N50">IF(N49=0,IF(VLOOKUP(N$25,mission!$D$64:$F$78,3,FALSE)&lt;=$F$5*60/$C$7*$C$6*4,INDEX(mission!$E$64:$E$78,MATCH(N$25,mission!$D$64:$D$78,0)),0))</f>
        <v>0</v>
      </c>
      <c r="O50" s="2" cm="1">
        <f t="array" ref="O50">IF(O49=0,IF(VLOOKUP(O$25,mission!$D$64:$F$78,3,FALSE)&lt;=$F$5*60/$C$7*$C$6*4,INDEX(mission!$E$64:$E$78,MATCH(O$25,mission!$D$64:$D$78,0)),0))</f>
        <v>0</v>
      </c>
      <c r="P50" s="2" cm="1">
        <f t="array" ref="P50">IF(P49=0,IF(VLOOKUP(P$25,mission!$D$64:$F$78,3,FALSE)&lt;=$F$5*60/$C$7*$C$6*4,INDEX(mission!$E$64:$E$78,MATCH(P$25,mission!$D$64:$D$78,0)),0))</f>
        <v>0</v>
      </c>
      <c r="Q50" s="2" cm="1">
        <f t="array" ref="Q50">IF(Q49=0,IF(VLOOKUP(Q$25,mission!$D$64:$F$78,3,FALSE)&lt;=$F$5*60/$C$7*$C$6*4,INDEX(mission!$E$64:$E$78,MATCH(Q$25,mission!$D$64:$D$78,0)),0))</f>
        <v>0</v>
      </c>
      <c r="R50" s="2" cm="1">
        <f t="array" ref="R50">IF(R49=0,IF(VLOOKUP(R$25,mission!$D$64:$F$78,3,FALSE)&lt;=$F$5*60/$C$7*$C$6*4,INDEX(mission!$E$64:$E$78,MATCH(R$25,mission!$D$64:$D$78,0)),0))</f>
        <v>0</v>
      </c>
      <c r="S50" s="2" t="b" cm="1">
        <f t="array" ref="S50">IF(S49=0,IF(VLOOKUP(S$25,mission!$D$64:$F$78,3,FALSE)&lt;=$F$5*60/$C$7*$C$6*$C$4*4,INDEX(mission!$E$64:$E$78,MATCH(S$25,mission!$D$64:$D$78,0)),0))</f>
        <v>0</v>
      </c>
      <c r="T50" s="2" cm="1">
        <f t="array" ref="T50">IF(T49=0,IF(VLOOKUP(T$25,mission!$D$64:$F$78,3,FALSE)&lt;=$F$5*60/$C$7*$C$6*$C$4*4,INDEX(mission!$E$64:$E$78,MATCH(T$25,mission!$D$64:$D$78,0)),0))</f>
        <v>0</v>
      </c>
      <c r="U50" s="2" cm="1">
        <f t="array" ref="U50">IF(U49=0,IF(VLOOKUP(U$25,mission!$D$64:$F$78,3,FALSE)&lt;=$F$5*60/$C$7*$C$6*$C$4*4,INDEX(mission!$E$64:$E$78,MATCH(U$25,mission!$D$64:$D$78,0)),0))</f>
        <v>0</v>
      </c>
      <c r="V50" s="2" cm="1">
        <f t="array" ref="V50">IF(V49=0,IF(VLOOKUP(V$25,mission!$D$64:$F$78,3,FALSE)&lt;=$F$5*60/$C$7*$C$6*$C$4*4,INDEX(mission!$E$64:$E$78,MATCH(V$25,mission!$D$64:$D$78,0)),0))</f>
        <v>0</v>
      </c>
      <c r="W50" s="2" cm="1">
        <f t="array" ref="W50">IF(W49=0,IF(VLOOKUP(W$25,mission!$D$64:$F$78,3,FALSE)&lt;=$F$5*60/$C$7*$C$6*$C$4*4,INDEX(mission!$E$64:$E$78,MATCH(W$25,mission!$D$64:$D$78,0)),0))</f>
        <v>0</v>
      </c>
      <c r="X50" s="2"/>
      <c r="Y50" s="2"/>
      <c r="Z50" s="2"/>
    </row>
    <row r="51" s="1" customFormat="1" ht="18" customHeight="1" spans="2:26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458</v>
      </c>
      <c r="G51" s="2">
        <f t="shared" si="2"/>
        <v>0</v>
      </c>
      <c r="H51" s="2">
        <f t="shared" si="3"/>
        <v>700</v>
      </c>
      <c r="I51" s="2" t="b" cm="1">
        <f t="array" ref="I51">IF(I50=0,IF(VLOOKUP(I$25,mission!$D$64:$F$78,3,FALSE)&lt;=$F$5*60/$C$7*5,INDEX(mission!$E$64:$E$78,MATCH(I$25,mission!$D$64:$D$78,0)),0))</f>
        <v>0</v>
      </c>
      <c r="J51" s="2" cm="1">
        <f t="array" ref="J51">IF(J50=0,IF(VLOOKUP(J$25,mission!$D$64:$F$78,3,FALSE)&lt;=$F$5*60/$C$7*5,INDEX(mission!$E$64:$E$78,MATCH(J$25,mission!$D$64:$D$78,0)),0))</f>
        <v>0</v>
      </c>
      <c r="K51" s="2" cm="1">
        <f t="array" ref="K51">IF(K50=0,IF(VLOOKUP(K$25,mission!$D$64:$F$78,3,FALSE)&lt;=$F$5*60/$C$7*5,INDEX(mission!$E$64:$E$78,MATCH(K$25,mission!$D$64:$D$78,0)),0))</f>
        <v>0</v>
      </c>
      <c r="L51" s="2" cm="1">
        <f t="array" ref="L51">IF(L50=0,IF(VLOOKUP(L$25,mission!$D$64:$F$78,3,FALSE)&lt;=$F$5*60/$C$7*5,INDEX(mission!$E$64:$E$78,MATCH(L$25,mission!$D$64:$D$78,0)),0))</f>
        <v>0</v>
      </c>
      <c r="M51" s="2" cm="1">
        <f t="array" ref="M51">IF(M50=0,IF(VLOOKUP(M$25,mission!$D$64:$F$78,3,FALSE)&lt;=$F$5*60/$C$7*5,INDEX(mission!$E$64:$E$78,MATCH(M$25,mission!$D$64:$D$78,0)),0))</f>
        <v>0</v>
      </c>
      <c r="N51" s="2" t="b" cm="1">
        <f t="array" ref="N51">IF(N50=0,IF(VLOOKUP(N$25,mission!$D$64:$F$78,3,FALSE)&lt;=$F$5*60/$C$7*$C$6*5,INDEX(mission!$E$64:$E$78,MATCH(N$25,mission!$D$64:$D$78,0)),0))</f>
        <v>0</v>
      </c>
      <c r="O51" s="2" cm="1">
        <f t="array" ref="O51">IF(O50=0,IF(VLOOKUP(O$25,mission!$D$64:$F$78,3,FALSE)&lt;=$F$5*60/$C$7*$C$6*5,INDEX(mission!$E$64:$E$78,MATCH(O$25,mission!$D$64:$D$78,0)),0))</f>
        <v>0</v>
      </c>
      <c r="P51" s="2" cm="1">
        <f t="array" ref="P51">IF(P50=0,IF(VLOOKUP(P$25,mission!$D$64:$F$78,3,FALSE)&lt;=$F$5*60/$C$7*$C$6*5,INDEX(mission!$E$64:$E$78,MATCH(P$25,mission!$D$64:$D$78,0)),0))</f>
        <v>0</v>
      </c>
      <c r="Q51" s="2" cm="1">
        <f t="array" ref="Q51">IF(Q50=0,IF(VLOOKUP(Q$25,mission!$D$64:$F$78,3,FALSE)&lt;=$F$5*60/$C$7*$C$6*5,INDEX(mission!$E$64:$E$78,MATCH(Q$25,mission!$D$64:$D$78,0)),0))</f>
        <v>0</v>
      </c>
      <c r="R51" s="2" cm="1">
        <f t="array" ref="R51">IF(R50=0,IF(VLOOKUP(R$25,mission!$D$64:$F$78,3,FALSE)&lt;=$F$5*60/$C$7*$C$6*5,INDEX(mission!$E$64:$E$78,MATCH(R$25,mission!$D$64:$D$78,0)),0))</f>
        <v>0</v>
      </c>
      <c r="S51" s="2" t="b" cm="1">
        <f t="array" ref="S51">IF(S50=0,IF(VLOOKUP(S$25,mission!$D$64:$F$78,3,FALSE)&lt;=$F$5*60/$C$7*$C$6*$C$4*5,INDEX(mission!$E$64:$E$78,MATCH(S$25,mission!$D$64:$D$78,0)),0))</f>
        <v>0</v>
      </c>
      <c r="T51" s="2" cm="1">
        <f t="array" ref="T51">IF(T50=0,IF(VLOOKUP(T$25,mission!$D$64:$F$78,3,FALSE)&lt;=$F$5*60/$C$7*$C$6*$C$4*5,INDEX(mission!$E$64:$E$78,MATCH(T$25,mission!$D$64:$D$78,0)),0))</f>
        <v>0</v>
      </c>
      <c r="U51" s="2" cm="1">
        <f t="array" ref="U51">IF(U50=0,IF(VLOOKUP(U$25,mission!$D$64:$F$78,3,FALSE)&lt;=$F$5*60/$C$7*$C$6*$C$4*5,INDEX(mission!$E$64:$E$78,MATCH(U$25,mission!$D$64:$D$78,0)),0))</f>
        <v>0</v>
      </c>
      <c r="V51" s="2" cm="1">
        <f t="array" ref="V51">IF(V50=0,IF(VLOOKUP(V$25,mission!$D$64:$F$78,3,FALSE)&lt;=$F$5*60/$C$7*$C$6*$C$4*5,INDEX(mission!$E$64:$E$78,MATCH(V$25,mission!$D$64:$D$78,0)),0))</f>
        <v>0</v>
      </c>
      <c r="W51" s="2" cm="1">
        <f t="array" ref="W51">IF(W50=0,IF(VLOOKUP(W$25,mission!$D$64:$F$78,3,FALSE)&lt;=$F$5*60/$C$7*$C$6*$C$4*5,INDEX(mission!$E$64:$E$78,MATCH(W$25,mission!$D$64:$D$78,0)),0))</f>
        <v>0</v>
      </c>
      <c r="X51" s="2"/>
      <c r="Y51" s="2"/>
      <c r="Z51" s="2"/>
    </row>
    <row r="52" s="1" customFormat="1" ht="18" customHeight="1" spans="2:26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475</v>
      </c>
      <c r="G52" s="2">
        <f t="shared" si="2"/>
        <v>100</v>
      </c>
      <c r="H52" s="2">
        <f t="shared" si="3"/>
        <v>800</v>
      </c>
      <c r="I52" s="2" t="b" cm="1">
        <f t="array" ref="I52">IF(I51=0,IF(VLOOKUP(I$25,mission!$D$64:$F$78,3,FALSE)&lt;=$F$5*60/$C$7*6,INDEX(mission!$E$64:$E$78,MATCH(I$25,mission!$D$64:$D$78,0)),0))</f>
        <v>0</v>
      </c>
      <c r="J52" s="2" cm="1">
        <f t="array" ref="J52">IF(J51=0,IF(VLOOKUP(J$25,mission!$D$64:$F$78,3,FALSE)&lt;=$F$5*60/$C$7*6,INDEX(mission!$E$64:$E$78,MATCH(J$25,mission!$D$64:$D$78,0)),0))</f>
        <v>25</v>
      </c>
      <c r="K52" s="2" cm="1">
        <f t="array" ref="K52">IF(K51=0,IF(VLOOKUP(K$25,mission!$D$64:$F$78,3,FALSE)&lt;=$F$5*60/$C$7*6,INDEX(mission!$E$64:$E$78,MATCH(K$25,mission!$D$64:$D$78,0)),0))</f>
        <v>0</v>
      </c>
      <c r="L52" s="2" cm="1">
        <f t="array" ref="L52">IF(L51=0,IF(VLOOKUP(L$25,mission!$D$64:$F$78,3,FALSE)&lt;=$F$5*60/$C$7*6,INDEX(mission!$E$64:$E$78,MATCH(L$25,mission!$D$64:$D$78,0)),0))</f>
        <v>0</v>
      </c>
      <c r="M52" s="2" cm="1">
        <f t="array" ref="M52">IF(M51=0,IF(VLOOKUP(M$25,mission!$D$64:$F$78,3,FALSE)&lt;=$F$5*60/$C$7*6,INDEX(mission!$E$64:$E$78,MATCH(M$25,mission!$D$64:$D$78,0)),0))</f>
        <v>0</v>
      </c>
      <c r="N52" s="2" t="b" cm="1">
        <f t="array" ref="N52">IF(N51=0,IF(VLOOKUP(N$25,mission!$D$64:$F$78,3,FALSE)&lt;=$F$5*60/$C$7*$C$6*6,INDEX(mission!$E$64:$E$78,MATCH(N$25,mission!$D$64:$D$78,0)),0))</f>
        <v>0</v>
      </c>
      <c r="O52" s="2" cm="1">
        <f t="array" ref="O52">IF(O51=0,IF(VLOOKUP(O$25,mission!$D$64:$F$78,3,FALSE)&lt;=$F$5*60/$C$7*$C$6*6,INDEX(mission!$E$64:$E$78,MATCH(O$25,mission!$D$64:$D$78,0)),0))</f>
        <v>25</v>
      </c>
      <c r="P52" s="2" cm="1">
        <f t="array" ref="P52">IF(P51=0,IF(VLOOKUP(P$25,mission!$D$64:$F$78,3,FALSE)&lt;=$F$5*60/$C$7*$C$6*6,INDEX(mission!$E$64:$E$78,MATCH(P$25,mission!$D$64:$D$78,0)),0))</f>
        <v>0</v>
      </c>
      <c r="Q52" s="2" cm="1">
        <f t="array" ref="Q52">IF(Q51=0,IF(VLOOKUP(Q$25,mission!$D$64:$F$78,3,FALSE)&lt;=$F$5*60/$C$7*$C$6*6,INDEX(mission!$E$64:$E$78,MATCH(Q$25,mission!$D$64:$D$78,0)),0))</f>
        <v>0</v>
      </c>
      <c r="R52" s="2" cm="1">
        <f t="array" ref="R52">IF(R51=0,IF(VLOOKUP(R$25,mission!$D$64:$F$78,3,FALSE)&lt;=$F$5*60/$C$7*$C$6*6,INDEX(mission!$E$64:$E$78,MATCH(R$25,mission!$D$64:$D$78,0)),0))</f>
        <v>0</v>
      </c>
      <c r="S52" s="2" t="b" cm="1">
        <f t="array" ref="S52">IF(S51=0,IF(VLOOKUP(S$25,mission!$D$64:$F$78,3,FALSE)&lt;=$F$5*60/$C$7*$C$6*$C$4*6,INDEX(mission!$E$64:$E$78,MATCH(S$25,mission!$D$64:$D$78,0)),0))</f>
        <v>0</v>
      </c>
      <c r="T52" s="2" cm="1">
        <f t="array" ref="T52">IF(T51=0,IF(VLOOKUP(T$25,mission!$D$64:$F$78,3,FALSE)&lt;=$F$5*60/$C$7*$C$6*$C$4*6,INDEX(mission!$E$64:$E$78,MATCH(T$25,mission!$D$64:$D$78,0)),0))</f>
        <v>50</v>
      </c>
      <c r="U52" s="2" cm="1">
        <f t="array" ref="U52">IF(U51=0,IF(VLOOKUP(U$25,mission!$D$64:$F$78,3,FALSE)&lt;=$F$5*60/$C$7*$C$6*$C$4*6,INDEX(mission!$E$64:$E$78,MATCH(U$25,mission!$D$64:$D$78,0)),0))</f>
        <v>0</v>
      </c>
      <c r="V52" s="2" cm="1">
        <f t="array" ref="V52">IF(V51=0,IF(VLOOKUP(V$25,mission!$D$64:$F$78,3,FALSE)&lt;=$F$5*60/$C$7*$C$6*$C$4*6,INDEX(mission!$E$64:$E$78,MATCH(V$25,mission!$D$64:$D$78,0)),0))</f>
        <v>0</v>
      </c>
      <c r="W52" s="2" cm="1">
        <f t="array" ref="W52">IF(W51=0,IF(VLOOKUP(W$25,mission!$D$64:$F$78,3,FALSE)&lt;=$F$5*60/$C$7*$C$6*$C$4*6,INDEX(mission!$E$64:$E$78,MATCH(W$25,mission!$D$64:$D$78,0)),0))</f>
        <v>0</v>
      </c>
      <c r="X52" s="2"/>
      <c r="Y52" s="2"/>
      <c r="Z52" s="2"/>
    </row>
    <row r="53" s="10" customFormat="1" ht="18" customHeight="1" spans="2:26">
      <c r="B53" s="10">
        <v>28</v>
      </c>
      <c r="C53" s="10">
        <f t="shared" si="0"/>
        <v>28000</v>
      </c>
      <c r="D53" s="10">
        <f>ROUND($C$8*$C$5+$C$8*$C$4*(1-$L$5),0)</f>
        <v>88</v>
      </c>
      <c r="E53" s="10">
        <f t="shared" si="1"/>
        <v>2464</v>
      </c>
      <c r="F53" s="10">
        <f>ROUND(E53*VLOOKUP($B$10,总产出!$T$4:$U$14,2,FALSE),0)</f>
        <v>493</v>
      </c>
      <c r="G53" s="10">
        <f t="shared" si="2"/>
        <v>0</v>
      </c>
      <c r="H53" s="10">
        <f t="shared" si="3"/>
        <v>800</v>
      </c>
      <c r="I53" s="10" t="b" cm="1">
        <f t="array" ref="I53">IF(I52=0,IF(VLOOKUP(I$25,mission!$D$64:$F$78,3,FALSE)&lt;=$F$5*60/$C$7*7,INDEX(mission!$E$64:$E$78,MATCH(I$25,mission!$D$64:$D$78,0)),0))</f>
        <v>0</v>
      </c>
      <c r="J53" s="10" t="b" cm="1">
        <f t="array" ref="J53">IF(J52=0,IF(VLOOKUP(J$25,mission!$D$64:$F$78,3,FALSE)&lt;=$F$5*60/$C$7*7,INDEX(mission!$E$64:$E$78,MATCH(J$25,mission!$D$64:$D$78,0)),0))</f>
        <v>0</v>
      </c>
      <c r="K53" s="10" cm="1">
        <f t="array" ref="K53">IF(K52=0,IF(VLOOKUP(K$25,mission!$D$64:$F$78,3,FALSE)&lt;=$F$5*60/$C$7*7,INDEX(mission!$E$64:$E$78,MATCH(K$25,mission!$D$64:$D$78,0)),0))</f>
        <v>0</v>
      </c>
      <c r="L53" s="10" cm="1">
        <f t="array" ref="L53">IF(L52=0,IF(VLOOKUP(L$25,mission!$D$64:$F$78,3,FALSE)&lt;=$F$5*60/$C$7*7,INDEX(mission!$E$64:$E$78,MATCH(L$25,mission!$D$64:$D$78,0)),0))</f>
        <v>0</v>
      </c>
      <c r="M53" s="10" cm="1">
        <f t="array" ref="M53">IF(M52=0,IF(VLOOKUP(M$25,mission!$D$64:$F$78,3,FALSE)&lt;=$F$5*60/$C$7*7,INDEX(mission!$E$64:$E$78,MATCH(M$25,mission!$D$64:$D$78,0)),0))</f>
        <v>0</v>
      </c>
      <c r="N53" s="10" t="b" cm="1">
        <f t="array" ref="N53">IF(N52=0,IF(VLOOKUP(N$25,mission!$D$64:$F$78,3,FALSE)&lt;=$F$5*60/$C$7*$C$6*7,INDEX(mission!$E$64:$E$78,MATCH(N$25,mission!$D$64:$D$78,0)),0))</f>
        <v>0</v>
      </c>
      <c r="O53" s="10" t="b" cm="1">
        <f t="array" ref="O53">IF(O52=0,IF(VLOOKUP(O$25,mission!$D$64:$F$78,3,FALSE)&lt;=$F$5*60/$C$7*$C$6*7,INDEX(mission!$E$64:$E$78,MATCH(O$25,mission!$D$64:$D$78,0)),0))</f>
        <v>0</v>
      </c>
      <c r="P53" s="10" cm="1">
        <f t="array" ref="P53">IF(P52=0,IF(VLOOKUP(P$25,mission!$D$64:$F$78,3,FALSE)&lt;=$F$5*60/$C$7*$C$6*7,INDEX(mission!$E$64:$E$78,MATCH(P$25,mission!$D$64:$D$78,0)),0))</f>
        <v>0</v>
      </c>
      <c r="Q53" s="10" cm="1">
        <f t="array" ref="Q53">IF(Q52=0,IF(VLOOKUP(Q$25,mission!$D$64:$F$78,3,FALSE)&lt;=$F$5*60/$C$7*$C$6*7,INDEX(mission!$E$64:$E$78,MATCH(Q$25,mission!$D$64:$D$78,0)),0))</f>
        <v>0</v>
      </c>
      <c r="R53" s="10" cm="1">
        <f t="array" ref="R53">IF(R52=0,IF(VLOOKUP(R$25,mission!$D$64:$F$78,3,FALSE)&lt;=$F$5*60/$C$7*$C$6*7,INDEX(mission!$E$64:$E$78,MATCH(R$25,mission!$D$64:$D$78,0)),0))</f>
        <v>0</v>
      </c>
      <c r="S53" s="10" t="b" cm="1">
        <f t="array" ref="S53">IF(S52=0,IF(VLOOKUP(S$25,mission!$D$64:$F$78,3,FALSE)&lt;=$F$5*60/$C$7*$C$6*$C$4*7,INDEX(mission!$E$64:$E$78,MATCH(S$25,mission!$D$64:$D$78,0)),0))</f>
        <v>0</v>
      </c>
      <c r="T53" s="10" t="b" cm="1">
        <f t="array" ref="T53">IF(T52=0,IF(VLOOKUP(T$25,mission!$D$64:$F$78,3,FALSE)&lt;=$F$5*60/$C$7*$C$6*$C$4*7,INDEX(mission!$E$64:$E$78,MATCH(T$25,mission!$D$64:$D$78,0)),0))</f>
        <v>0</v>
      </c>
      <c r="U53" s="10" cm="1">
        <f t="array" ref="U53">IF(U52=0,IF(VLOOKUP(U$25,mission!$D$64:$F$78,3,FALSE)&lt;=$F$5*60/$C$7*$C$6*$C$4*7,INDEX(mission!$E$64:$E$78,MATCH(U$25,mission!$D$64:$D$78,0)),0))</f>
        <v>0</v>
      </c>
      <c r="V53" s="10" cm="1">
        <f t="array" ref="V53">IF(V52=0,IF(VLOOKUP(V$25,mission!$D$64:$F$78,3,FALSE)&lt;=$F$5*60/$C$7*$C$6*$C$4*7,INDEX(mission!$E$64:$E$78,MATCH(V$25,mission!$D$64:$D$78,0)),0))</f>
        <v>0</v>
      </c>
      <c r="W53" s="10" cm="1">
        <f t="array" ref="W53">IF(W52=0,IF(VLOOKUP(W$25,mission!$D$64:$F$78,3,FALSE)&lt;=$F$5*60/$C$7*$C$6*$C$4*7,INDEX(mission!$E$64:$E$78,MATCH(W$25,mission!$D$64:$D$78,0)),0))</f>
        <v>0</v>
      </c>
      <c r="X53" s="2"/>
      <c r="Y53" s="2"/>
      <c r="Z53" s="2"/>
    </row>
    <row r="54" s="1" customFormat="1" ht="18" customHeight="1" spans="2:26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510</v>
      </c>
      <c r="G54" s="2">
        <f t="shared" si="2"/>
        <v>0</v>
      </c>
      <c r="H54" s="2">
        <f t="shared" si="3"/>
        <v>800</v>
      </c>
      <c r="I54" s="2" cm="1">
        <f t="array" ref="I54">IF(VLOOKUP(I$25,mission!$D$64:$F$78,3,FALSE)&lt;=$F$5*60/$C$7,INDEX(mission!$E$64:$E$78,MATCH(I$25,mission!$D$64:$D$78,0)),0)</f>
        <v>0</v>
      </c>
      <c r="J54" s="2" cm="1">
        <f t="array" ref="J54">IF(VLOOKUP(J$25,mission!$D$64:$F$78,3,FALSE)&lt;=$F$5*60/$C$7,INDEX(mission!$E$64:$E$78,MATCH(J$25,mission!$D$64:$D$78,0)),0)</f>
        <v>0</v>
      </c>
      <c r="K54" s="2" cm="1">
        <f t="array" ref="K54">IF(VLOOKUP(K$25,mission!$D$64:$F$78,3,FALSE)&lt;=$F$5*60/$C$7,INDEX(mission!$E$64:$E$78,MATCH(K$25,mission!$D$64:$D$78,0)),0)</f>
        <v>0</v>
      </c>
      <c r="L54" s="2" cm="1">
        <f t="array" ref="L54">IF(VLOOKUP(L$25,mission!$D$64:$F$78,3,FALSE)&lt;=$F$5*60/$C$7,INDEX(mission!$E$64:$E$78,MATCH(L$25,mission!$D$64:$D$78,0)),0)</f>
        <v>0</v>
      </c>
      <c r="M54" s="2" cm="1">
        <f t="array" ref="M54">IF(VLOOKUP(M$25,mission!$D$64:$F$78,3,FALSE)&lt;=$F$5*60/$C$7,INDEX(mission!$E$64:$E$78,MATCH(M$25,mission!$D$64:$D$78,0)),0)</f>
        <v>0</v>
      </c>
      <c r="N54" s="2" cm="1">
        <f t="array" ref="N54">IF(VLOOKUP(N$25,mission!$D$64:$F$78,3,FALSE)&lt;=$F$5*60/$C$7*$C$6,INDEX(mission!$E$64:$E$78,MATCH(N$25,mission!$D$64:$D$78,0)),0)</f>
        <v>0</v>
      </c>
      <c r="O54" s="2" cm="1">
        <f t="array" ref="O54">IF(VLOOKUP(O$25,mission!$D$64:$F$78,3,FALSE)&lt;=$F$5*60/$C$7*$C$6,INDEX(mission!$E$64:$E$78,MATCH(O$25,mission!$D$64:$D$78,0)),0)</f>
        <v>0</v>
      </c>
      <c r="P54" s="2" cm="1">
        <f t="array" ref="P54">IF(VLOOKUP(P$25,mission!$D$64:$F$78,3,FALSE)&lt;=$F$5*60/$C$7*$C$6,INDEX(mission!$E$64:$E$78,MATCH(P$25,mission!$D$64:$D$78,0)),0)</f>
        <v>0</v>
      </c>
      <c r="Q54" s="2" cm="1">
        <f t="array" ref="Q54">IF(VLOOKUP(Q$25,mission!$D$64:$F$78,3,FALSE)&lt;=$F$5*60/$C$7*$C$6,INDEX(mission!$E$64:$E$78,MATCH(Q$25,mission!$D$64:$D$78,0)),0)</f>
        <v>0</v>
      </c>
      <c r="R54" s="2" cm="1">
        <f t="array" ref="R54">IF(VLOOKUP(R$25,mission!$D$64:$F$78,3,FALSE)&lt;=$F$5*60/$C$7*$C$6,INDEX(mission!$E$64:$E$78,MATCH(R$25,mission!$D$64:$D$78,0)),0)</f>
        <v>0</v>
      </c>
      <c r="S54" s="2" cm="1">
        <f t="array" ref="S54">IF(VLOOKUP(S$25,mission!$D$64:$F$78,3,FALSE)&lt;=$F$5*60/$C$7*$C$6*$C$4,INDEX(mission!$E$64:$E$78,MATCH(S$25,mission!$D$64:$D$78,0)),0)</f>
        <v>0</v>
      </c>
      <c r="T54" s="2" cm="1">
        <f t="array" ref="T54">IF(VLOOKUP(T$25,mission!$D$64:$F$78,3,FALSE)&lt;=$F$5*60/$C$7*$C$6*$C$4,INDEX(mission!$E$64:$E$78,MATCH(T$25,mission!$D$64:$D$78,0)),0)</f>
        <v>0</v>
      </c>
      <c r="U54" s="2" cm="1">
        <f t="array" ref="U54">IF(VLOOKUP(U$25,mission!$D$64:$F$78,3,FALSE)&lt;=$F$5*60/$C$7*$C$6*$C$4,INDEX(mission!$E$64:$E$78,MATCH(U$25,mission!$D$64:$D$78,0)),0)</f>
        <v>0</v>
      </c>
      <c r="V54" s="2" cm="1">
        <f t="array" ref="V54">IF(VLOOKUP(V$25,mission!$D$64:$F$78,3,FALSE)&lt;=$F$5*60/$C$7*$C$6*$C$4,INDEX(mission!$E$64:$E$78,MATCH(V$25,mission!$D$64:$D$78,0)),0)</f>
        <v>0</v>
      </c>
      <c r="W54" s="2" cm="1">
        <f t="array" ref="W54">IF(VLOOKUP(W$25,mission!$D$64:$F$78,3,FALSE)&lt;=$F$5*60/$C$7*$C$6*$C$4,INDEX(mission!$E$64:$E$78,MATCH(W$25,mission!$D$64:$D$78,0)),0)</f>
        <v>0</v>
      </c>
      <c r="X54" s="2"/>
      <c r="Y54" s="2"/>
      <c r="Z54" s="2"/>
    </row>
    <row r="55" s="1" customFormat="1" ht="18" customHeight="1" spans="2:26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528</v>
      </c>
      <c r="G55" s="2">
        <f t="shared" si="2"/>
        <v>0</v>
      </c>
      <c r="H55" s="2">
        <f t="shared" si="3"/>
        <v>800</v>
      </c>
      <c r="I55" s="2" cm="1">
        <f t="array" ref="I55">IF(I54=0,IF(VLOOKUP(I$25,mission!$D$64:$F$78,3,FALSE)&lt;=$F$5*60/$C$7*2,INDEX(mission!$E$64:$E$78,MATCH(I$25,mission!$D$64:$D$78,0)),0))</f>
        <v>0</v>
      </c>
      <c r="J55" s="2" cm="1">
        <f t="array" ref="J55">IF(J54=0,IF(VLOOKUP(J$25,mission!$D$64:$F$78,3,FALSE)&lt;=$F$5*60/$C$7*2,INDEX(mission!$E$64:$E$78,MATCH(J$25,mission!$D$64:$D$78,0)),0))</f>
        <v>0</v>
      </c>
      <c r="K55" s="2" cm="1">
        <f t="array" ref="K55">IF(K54=0,IF(VLOOKUP(K$25,mission!$D$64:$F$78,3,FALSE)&lt;=$F$5*60/$C$7*2,INDEX(mission!$E$64:$E$78,MATCH(K$25,mission!$D$64:$D$78,0)),0))</f>
        <v>0</v>
      </c>
      <c r="L55" s="2" cm="1">
        <f t="array" ref="L55">IF(L54=0,IF(VLOOKUP(L$25,mission!$D$64:$F$78,3,FALSE)&lt;=$F$5*60/$C$7*2,INDEX(mission!$E$64:$E$78,MATCH(L$25,mission!$D$64:$D$78,0)),0))</f>
        <v>0</v>
      </c>
      <c r="M55" s="2" cm="1">
        <f t="array" ref="M55">IF(M54=0,IF(VLOOKUP(M$25,mission!$D$64:$F$78,3,FALSE)&lt;=$F$5*60/$C$7*2,INDEX(mission!$E$64:$E$78,MATCH(M$25,mission!$D$64:$D$78,0)),0))</f>
        <v>0</v>
      </c>
      <c r="N55" s="2" cm="1">
        <f t="array" ref="N55">IF(N54=0,IF(VLOOKUP(N$25,mission!$D$64:$F$78,3,FALSE)&lt;=$F$5*60/$C$7*$C$6*2,INDEX(mission!$E$64:$E$78,MATCH(N$25,mission!$D$64:$D$78,0)),0))</f>
        <v>0</v>
      </c>
      <c r="O55" s="2" cm="1">
        <f t="array" ref="O55">IF(O54=0,IF(VLOOKUP(O$25,mission!$D$64:$F$78,3,FALSE)&lt;=$F$5*60/$C$7*$C$6*2,INDEX(mission!$E$64:$E$78,MATCH(O$25,mission!$D$64:$D$78,0)),0))</f>
        <v>0</v>
      </c>
      <c r="P55" s="2" cm="1">
        <f t="array" ref="P55">IF(P54=0,IF(VLOOKUP(P$25,mission!$D$64:$F$78,3,FALSE)&lt;=$F$5*60/$C$7*$C$6*2,INDEX(mission!$E$64:$E$78,MATCH(P$25,mission!$D$64:$D$78,0)),0))</f>
        <v>0</v>
      </c>
      <c r="Q55" s="2" cm="1">
        <f t="array" ref="Q55">IF(Q54=0,IF(VLOOKUP(Q$25,mission!$D$64:$F$78,3,FALSE)&lt;=$F$5*60/$C$7*$C$6*2,INDEX(mission!$E$64:$E$78,MATCH(Q$25,mission!$D$64:$D$78,0)),0))</f>
        <v>0</v>
      </c>
      <c r="R55" s="2" cm="1">
        <f t="array" ref="R55">IF(R54=0,IF(VLOOKUP(R$25,mission!$D$64:$F$78,3,FALSE)&lt;=$F$5*60/$C$7*$C$6*2,INDEX(mission!$E$64:$E$78,MATCH(R$25,mission!$D$64:$D$78,0)),0))</f>
        <v>0</v>
      </c>
      <c r="S55" s="2" cm="1">
        <f t="array" ref="S55">IF(S54=0,IF(VLOOKUP(S$25,mission!$D$64:$F$78,3,FALSE)&lt;=$F$5*60/$C$7*$C$6*$C$4*2,INDEX(mission!$E$64:$E$78,MATCH(S$25,mission!$D$64:$D$78,0)),0))</f>
        <v>0</v>
      </c>
      <c r="T55" s="2" cm="1">
        <f t="array" ref="T55">IF(T54=0,IF(VLOOKUP(T$25,mission!$D$64:$F$78,3,FALSE)&lt;=$F$5*60/$C$7*$C$6*$C$4*2,INDEX(mission!$E$64:$E$78,MATCH(T$25,mission!$D$64:$D$78,0)),0))</f>
        <v>0</v>
      </c>
      <c r="U55" s="2" cm="1">
        <f t="array" ref="U55">IF(U54=0,IF(VLOOKUP(U$25,mission!$D$64:$F$78,3,FALSE)&lt;=$F$5*60/$C$7*$C$6*$C$4*2,INDEX(mission!$E$64:$E$78,MATCH(U$25,mission!$D$64:$D$78,0)),0))</f>
        <v>0</v>
      </c>
      <c r="V55" s="2" cm="1">
        <f t="array" ref="V55">IF(V54=0,IF(VLOOKUP(V$25,mission!$D$64:$F$78,3,FALSE)&lt;=$F$5*60/$C$7*$C$6*$C$4*2,INDEX(mission!$E$64:$E$78,MATCH(V$25,mission!$D$64:$D$78,0)),0))</f>
        <v>0</v>
      </c>
      <c r="W55" s="2" cm="1">
        <f t="array" ref="W55">IF(W54=0,IF(VLOOKUP(W$25,mission!$D$64:$F$78,3,FALSE)&lt;=$F$5*60/$C$7*$C$6*$C$4*2,INDEX(mission!$E$64:$E$78,MATCH(W$25,mission!$D$64:$D$78,0)),0))</f>
        <v>0</v>
      </c>
      <c r="X55" s="2"/>
      <c r="Y55" s="2"/>
      <c r="Z55" s="2"/>
    </row>
    <row r="56" s="1" customFormat="1" ht="18" customHeight="1" spans="2:26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546</v>
      </c>
      <c r="G56" s="2">
        <f t="shared" si="2"/>
        <v>100</v>
      </c>
      <c r="H56" s="2">
        <f t="shared" si="3"/>
        <v>900</v>
      </c>
      <c r="I56" s="2" cm="1">
        <f t="array" ref="I56">IF(I55=0,IF(VLOOKUP(I$25,mission!$D$64:$F$78,3,FALSE)&lt;=$F$5*60/$C$7*3,INDEX(mission!$E$64:$E$78,MATCH(I$25,mission!$D$64:$D$78,0)),0))</f>
        <v>25</v>
      </c>
      <c r="J56" s="2" cm="1">
        <f t="array" ref="J56">IF(J55=0,IF(VLOOKUP(J$25,mission!$D$64:$F$78,3,FALSE)&lt;=$F$5*60/$C$7*3,INDEX(mission!$E$64:$E$78,MATCH(J$25,mission!$D$64:$D$78,0)),0))</f>
        <v>0</v>
      </c>
      <c r="K56" s="2" cm="1">
        <f t="array" ref="K56">IF(K55=0,IF(VLOOKUP(K$25,mission!$D$64:$F$78,3,FALSE)&lt;=$F$5*60/$C$7*3,INDEX(mission!$E$64:$E$78,MATCH(K$25,mission!$D$64:$D$78,0)),0))</f>
        <v>0</v>
      </c>
      <c r="L56" s="2" cm="1">
        <f t="array" ref="L56">IF(L55=0,IF(VLOOKUP(L$25,mission!$D$64:$F$78,3,FALSE)&lt;=$F$5*60/$C$7*3,INDEX(mission!$E$64:$E$78,MATCH(L$25,mission!$D$64:$D$78,0)),0))</f>
        <v>0</v>
      </c>
      <c r="M56" s="2" cm="1">
        <f t="array" ref="M56">IF(M55=0,IF(VLOOKUP(M$25,mission!$D$64:$F$78,3,FALSE)&lt;=$F$5*60/$C$7*3,INDEX(mission!$E$64:$E$78,MATCH(M$25,mission!$D$64:$D$78,0)),0))</f>
        <v>0</v>
      </c>
      <c r="N56" s="2" cm="1">
        <f t="array" ref="N56">IF(N55=0,IF(VLOOKUP(N$25,mission!$D$64:$F$78,3,FALSE)&lt;=$F$5*60/$C$7*$C$6*3,INDEX(mission!$E$64:$E$78,MATCH(N$25,mission!$D$64:$D$78,0)),0))</f>
        <v>25</v>
      </c>
      <c r="O56" s="2" cm="1">
        <f t="array" ref="O56">IF(O55=0,IF(VLOOKUP(O$25,mission!$D$64:$F$78,3,FALSE)&lt;=$F$5*60/$C$7*$C$6*3,INDEX(mission!$E$64:$E$78,MATCH(O$25,mission!$D$64:$D$78,0)),0))</f>
        <v>0</v>
      </c>
      <c r="P56" s="2" cm="1">
        <f t="array" ref="P56">IF(P55=0,IF(VLOOKUP(P$25,mission!$D$64:$F$78,3,FALSE)&lt;=$F$5*60/$C$7*$C$6*3,INDEX(mission!$E$64:$E$78,MATCH(P$25,mission!$D$64:$D$78,0)),0))</f>
        <v>0</v>
      </c>
      <c r="Q56" s="2" cm="1">
        <f t="array" ref="Q56">IF(Q55=0,IF(VLOOKUP(Q$25,mission!$D$64:$F$78,3,FALSE)&lt;=$F$5*60/$C$7*$C$6*3,INDEX(mission!$E$64:$E$78,MATCH(Q$25,mission!$D$64:$D$78,0)),0))</f>
        <v>0</v>
      </c>
      <c r="R56" s="2" cm="1">
        <f t="array" ref="R56">IF(R55=0,IF(VLOOKUP(R$25,mission!$D$64:$F$78,3,FALSE)&lt;=$F$5*60/$C$7*$C$6*3,INDEX(mission!$E$64:$E$78,MATCH(R$25,mission!$D$64:$D$78,0)),0))</f>
        <v>0</v>
      </c>
      <c r="S56" s="2" cm="1">
        <f t="array" ref="S56">IF(S55=0,IF(VLOOKUP(S$25,mission!$D$64:$F$78,3,FALSE)&lt;=$F$5*60/$C$7*$C$6*$C$4*3,INDEX(mission!$E$64:$E$78,MATCH(S$25,mission!$D$64:$D$78,0)),0))</f>
        <v>50</v>
      </c>
      <c r="T56" s="2" cm="1">
        <f t="array" ref="T56">IF(T55=0,IF(VLOOKUP(T$25,mission!$D$64:$F$78,3,FALSE)&lt;=$F$5*60/$C$7*$C$6*$C$4*3,INDEX(mission!$E$64:$E$78,MATCH(T$25,mission!$D$64:$D$78,0)),0))</f>
        <v>0</v>
      </c>
      <c r="U56" s="2" cm="1">
        <f t="array" ref="U56">IF(U55=0,IF(VLOOKUP(U$25,mission!$D$64:$F$78,3,FALSE)&lt;=$F$5*60/$C$7*$C$6*$C$4*3,INDEX(mission!$E$64:$E$78,MATCH(U$25,mission!$D$64:$D$78,0)),0))</f>
        <v>0</v>
      </c>
      <c r="V56" s="2" cm="1">
        <f t="array" ref="V56">IF(V55=0,IF(VLOOKUP(V$25,mission!$D$64:$F$78,3,FALSE)&lt;=$F$5*60/$C$7*$C$6*$C$4*3,INDEX(mission!$E$64:$E$78,MATCH(V$25,mission!$D$64:$D$78,0)),0))</f>
        <v>0</v>
      </c>
      <c r="W56" s="2" cm="1">
        <f t="array" ref="W56">IF(W55=0,IF(VLOOKUP(W$25,mission!$D$64:$F$78,3,FALSE)&lt;=$F$5*60/$C$7*$C$6*$C$4*3,INDEX(mission!$E$64:$E$78,MATCH(W$25,mission!$D$64:$D$78,0)),0))</f>
        <v>0</v>
      </c>
      <c r="X56" s="2"/>
      <c r="Y56" s="2"/>
      <c r="Z56" s="2"/>
    </row>
    <row r="57" s="1" customFormat="1" ht="18" customHeight="1" spans="2:26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563</v>
      </c>
      <c r="G57" s="2">
        <f t="shared" si="2"/>
        <v>0</v>
      </c>
      <c r="H57" s="2">
        <f t="shared" si="3"/>
        <v>900</v>
      </c>
      <c r="I57" s="2" t="b" cm="1">
        <f t="array" ref="I57">IF(I56=0,IF(VLOOKUP(I$25,mission!$D$64:$F$78,3,FALSE)&lt;=$F$5*60/$C$7*4,INDEX(mission!$E$64:$E$78,MATCH(I$25,mission!$D$64:$D$78,0)),0))</f>
        <v>0</v>
      </c>
      <c r="J57" s="2" cm="1">
        <f t="array" ref="J57">IF(J56=0,IF(VLOOKUP(J$25,mission!$D$64:$F$78,3,FALSE)&lt;=$F$5*60/$C$7*4,INDEX(mission!$E$64:$E$78,MATCH(J$25,mission!$D$64:$D$78,0)),0))</f>
        <v>0</v>
      </c>
      <c r="K57" s="2" cm="1">
        <f t="array" ref="K57">IF(K56=0,IF(VLOOKUP(K$25,mission!$D$64:$F$78,3,FALSE)&lt;=$F$5*60/$C$7*4,INDEX(mission!$E$64:$E$78,MATCH(K$25,mission!$D$64:$D$78,0)),0))</f>
        <v>0</v>
      </c>
      <c r="L57" s="2" cm="1">
        <f t="array" ref="L57">IF(L56=0,IF(VLOOKUP(L$25,mission!$D$64:$F$78,3,FALSE)&lt;=$F$5*60/$C$7*4,INDEX(mission!$E$64:$E$78,MATCH(L$25,mission!$D$64:$D$78,0)),0))</f>
        <v>0</v>
      </c>
      <c r="M57" s="2" cm="1">
        <f t="array" ref="M57">IF(M56=0,IF(VLOOKUP(M$25,mission!$D$64:$F$78,3,FALSE)&lt;=$F$5*60/$C$7*4,INDEX(mission!$E$64:$E$78,MATCH(M$25,mission!$D$64:$D$78,0)),0))</f>
        <v>0</v>
      </c>
      <c r="N57" s="2" t="b" cm="1">
        <f t="array" ref="N57">IF(N56=0,IF(VLOOKUP(N$25,mission!$D$64:$F$78,3,FALSE)&lt;=$F$5*60/$C$7*$C$6*4,INDEX(mission!$E$64:$E$78,MATCH(N$25,mission!$D$64:$D$78,0)),0))</f>
        <v>0</v>
      </c>
      <c r="O57" s="2" cm="1">
        <f t="array" ref="O57">IF(O56=0,IF(VLOOKUP(O$25,mission!$D$64:$F$78,3,FALSE)&lt;=$F$5*60/$C$7*$C$6*4,INDEX(mission!$E$64:$E$78,MATCH(O$25,mission!$D$64:$D$78,0)),0))</f>
        <v>0</v>
      </c>
      <c r="P57" s="2" cm="1">
        <f t="array" ref="P57">IF(P56=0,IF(VLOOKUP(P$25,mission!$D$64:$F$78,3,FALSE)&lt;=$F$5*60/$C$7*$C$6*4,INDEX(mission!$E$64:$E$78,MATCH(P$25,mission!$D$64:$D$78,0)),0))</f>
        <v>0</v>
      </c>
      <c r="Q57" s="2" cm="1">
        <f t="array" ref="Q57">IF(Q56=0,IF(VLOOKUP(Q$25,mission!$D$64:$F$78,3,FALSE)&lt;=$F$5*60/$C$7*$C$6*4,INDEX(mission!$E$64:$E$78,MATCH(Q$25,mission!$D$64:$D$78,0)),0))</f>
        <v>0</v>
      </c>
      <c r="R57" s="2" cm="1">
        <f t="array" ref="R57">IF(R56=0,IF(VLOOKUP(R$25,mission!$D$64:$F$78,3,FALSE)&lt;=$F$5*60/$C$7*$C$6*4,INDEX(mission!$E$64:$E$78,MATCH(R$25,mission!$D$64:$D$78,0)),0))</f>
        <v>0</v>
      </c>
      <c r="S57" s="2" t="b" cm="1">
        <f t="array" ref="S57">IF(S56=0,IF(VLOOKUP(S$25,mission!$D$64:$F$78,3,FALSE)&lt;=$F$5*60/$C$7*$C$6*$C$4*4,INDEX(mission!$E$64:$E$78,MATCH(S$25,mission!$D$64:$D$78,0)),0))</f>
        <v>0</v>
      </c>
      <c r="T57" s="2" cm="1">
        <f t="array" ref="T57">IF(T56=0,IF(VLOOKUP(T$25,mission!$D$64:$F$78,3,FALSE)&lt;=$F$5*60/$C$7*$C$6*$C$4*4,INDEX(mission!$E$64:$E$78,MATCH(T$25,mission!$D$64:$D$78,0)),0))</f>
        <v>0</v>
      </c>
      <c r="U57" s="2" cm="1">
        <f t="array" ref="U57">IF(U56=0,IF(VLOOKUP(U$25,mission!$D$64:$F$78,3,FALSE)&lt;=$F$5*60/$C$7*$C$6*$C$4*4,INDEX(mission!$E$64:$E$78,MATCH(U$25,mission!$D$64:$D$78,0)),0))</f>
        <v>0</v>
      </c>
      <c r="V57" s="2" cm="1">
        <f t="array" ref="V57">IF(V56=0,IF(VLOOKUP(V$25,mission!$D$64:$F$78,3,FALSE)&lt;=$F$5*60/$C$7*$C$6*$C$4*4,INDEX(mission!$E$64:$E$78,MATCH(V$25,mission!$D$64:$D$78,0)),0))</f>
        <v>0</v>
      </c>
      <c r="W57" s="2" cm="1">
        <f t="array" ref="W57">IF(W56=0,IF(VLOOKUP(W$25,mission!$D$64:$F$78,3,FALSE)&lt;=$F$5*60/$C$7*$C$6*$C$4*4,INDEX(mission!$E$64:$E$78,MATCH(W$25,mission!$D$64:$D$78,0)),0))</f>
        <v>0</v>
      </c>
      <c r="X57" s="2"/>
      <c r="Y57" s="2"/>
      <c r="Z57" s="2"/>
    </row>
    <row r="58" s="1" customFormat="1" ht="18" customHeight="1" spans="2:26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581</v>
      </c>
      <c r="G58" s="2">
        <f t="shared" si="2"/>
        <v>0</v>
      </c>
      <c r="H58" s="2">
        <f t="shared" si="3"/>
        <v>900</v>
      </c>
      <c r="I58" s="2" t="b" cm="1">
        <f t="array" ref="I58">IF(I57=0,IF(VLOOKUP(I$25,mission!$D$64:$F$78,3,FALSE)&lt;=$F$5*60/$C$7*5,INDEX(mission!$E$64:$E$78,MATCH(I$25,mission!$D$64:$D$78,0)),0))</f>
        <v>0</v>
      </c>
      <c r="J58" s="2" cm="1">
        <f t="array" ref="J58">IF(J57=0,IF(VLOOKUP(J$25,mission!$D$64:$F$78,3,FALSE)&lt;=$F$5*60/$C$7*5,INDEX(mission!$E$64:$E$78,MATCH(J$25,mission!$D$64:$D$78,0)),0))</f>
        <v>0</v>
      </c>
      <c r="K58" s="2" cm="1">
        <f t="array" ref="K58">IF(K57=0,IF(VLOOKUP(K$25,mission!$D$64:$F$78,3,FALSE)&lt;=$F$5*60/$C$7*5,INDEX(mission!$E$64:$E$78,MATCH(K$25,mission!$D$64:$D$78,0)),0))</f>
        <v>0</v>
      </c>
      <c r="L58" s="2" cm="1">
        <f t="array" ref="L58">IF(L57=0,IF(VLOOKUP(L$25,mission!$D$64:$F$78,3,FALSE)&lt;=$F$5*60/$C$7*5,INDEX(mission!$E$64:$E$78,MATCH(L$25,mission!$D$64:$D$78,0)),0))</f>
        <v>0</v>
      </c>
      <c r="M58" s="2" cm="1">
        <f t="array" ref="M58">IF(M57=0,IF(VLOOKUP(M$25,mission!$D$64:$F$78,3,FALSE)&lt;=$F$5*60/$C$7*5,INDEX(mission!$E$64:$E$78,MATCH(M$25,mission!$D$64:$D$78,0)),0))</f>
        <v>0</v>
      </c>
      <c r="N58" s="2" t="b" cm="1">
        <f t="array" ref="N58">IF(N57=0,IF(VLOOKUP(N$25,mission!$D$64:$F$78,3,FALSE)&lt;=$F$5*60/$C$7*$C$6*5,INDEX(mission!$E$64:$E$78,MATCH(N$25,mission!$D$64:$D$78,0)),0))</f>
        <v>0</v>
      </c>
      <c r="O58" s="2" cm="1">
        <f t="array" ref="O58">IF(O57=0,IF(VLOOKUP(O$25,mission!$D$64:$F$78,3,FALSE)&lt;=$F$5*60/$C$7*$C$6*5,INDEX(mission!$E$64:$E$78,MATCH(O$25,mission!$D$64:$D$78,0)),0))</f>
        <v>0</v>
      </c>
      <c r="P58" s="2" cm="1">
        <f t="array" ref="P58">IF(P57=0,IF(VLOOKUP(P$25,mission!$D$64:$F$78,3,FALSE)&lt;=$F$5*60/$C$7*$C$6*5,INDEX(mission!$E$64:$E$78,MATCH(P$25,mission!$D$64:$D$78,0)),0))</f>
        <v>0</v>
      </c>
      <c r="Q58" s="2" cm="1">
        <f t="array" ref="Q58">IF(Q57=0,IF(VLOOKUP(Q$25,mission!$D$64:$F$78,3,FALSE)&lt;=$F$5*60/$C$7*$C$6*5,INDEX(mission!$E$64:$E$78,MATCH(Q$25,mission!$D$64:$D$78,0)),0))</f>
        <v>0</v>
      </c>
      <c r="R58" s="2" cm="1">
        <f t="array" ref="R58">IF(R57=0,IF(VLOOKUP(R$25,mission!$D$64:$F$78,3,FALSE)&lt;=$F$5*60/$C$7*$C$6*5,INDEX(mission!$E$64:$E$78,MATCH(R$25,mission!$D$64:$D$78,0)),0))</f>
        <v>0</v>
      </c>
      <c r="S58" s="2" t="b" cm="1">
        <f t="array" ref="S58">IF(S57=0,IF(VLOOKUP(S$25,mission!$D$64:$F$78,3,FALSE)&lt;=$F$5*60/$C$7*$C$6*$C$4*5,INDEX(mission!$E$64:$E$78,MATCH(S$25,mission!$D$64:$D$78,0)),0))</f>
        <v>0</v>
      </c>
      <c r="T58" s="2" cm="1">
        <f t="array" ref="T58">IF(T57=0,IF(VLOOKUP(T$25,mission!$D$64:$F$78,3,FALSE)&lt;=$F$5*60/$C$7*$C$6*$C$4*5,INDEX(mission!$E$64:$E$78,MATCH(T$25,mission!$D$64:$D$78,0)),0))</f>
        <v>0</v>
      </c>
      <c r="U58" s="2" cm="1">
        <f t="array" ref="U58">IF(U57=0,IF(VLOOKUP(U$25,mission!$D$64:$F$78,3,FALSE)&lt;=$F$5*60/$C$7*$C$6*$C$4*5,INDEX(mission!$E$64:$E$78,MATCH(U$25,mission!$D$64:$D$78,0)),0))</f>
        <v>0</v>
      </c>
      <c r="V58" s="2" cm="1">
        <f t="array" ref="V58">IF(V57=0,IF(VLOOKUP(V$25,mission!$D$64:$F$78,3,FALSE)&lt;=$F$5*60/$C$7*$C$6*$C$4*5,INDEX(mission!$E$64:$E$78,MATCH(V$25,mission!$D$64:$D$78,0)),0))</f>
        <v>0</v>
      </c>
      <c r="W58" s="2" cm="1">
        <f t="array" ref="W58">IF(W57=0,IF(VLOOKUP(W$25,mission!$D$64:$F$78,3,FALSE)&lt;=$F$5*60/$C$7*$C$6*$C$4*5,INDEX(mission!$E$64:$E$78,MATCH(W$25,mission!$D$64:$D$78,0)),0))</f>
        <v>0</v>
      </c>
      <c r="X58" s="2"/>
      <c r="Y58" s="2"/>
      <c r="Z58" s="2"/>
    </row>
    <row r="59" s="1" customFormat="1" ht="18" customHeight="1" spans="2:26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598</v>
      </c>
      <c r="G59" s="2">
        <f t="shared" si="2"/>
        <v>100</v>
      </c>
      <c r="H59" s="2">
        <f t="shared" si="3"/>
        <v>1000</v>
      </c>
      <c r="I59" s="2" t="b" cm="1">
        <f t="array" ref="I59">IF(I58=0,IF(VLOOKUP(I$25,mission!$D$64:$F$78,3,FALSE)&lt;=$F$5*60/$C$7*6,INDEX(mission!$E$64:$E$78,MATCH(I$25,mission!$D$64:$D$78,0)),0))</f>
        <v>0</v>
      </c>
      <c r="J59" s="2" cm="1">
        <f t="array" ref="J59">IF(J58=0,IF(VLOOKUP(J$25,mission!$D$64:$F$78,3,FALSE)&lt;=$F$5*60/$C$7*6,INDEX(mission!$E$64:$E$78,MATCH(J$25,mission!$D$64:$D$78,0)),0))</f>
        <v>25</v>
      </c>
      <c r="K59" s="2" cm="1">
        <f t="array" ref="K59">IF(K58=0,IF(VLOOKUP(K$25,mission!$D$64:$F$78,3,FALSE)&lt;=$F$5*60/$C$7*6,INDEX(mission!$E$64:$E$78,MATCH(K$25,mission!$D$64:$D$78,0)),0))</f>
        <v>0</v>
      </c>
      <c r="L59" s="2" cm="1">
        <f t="array" ref="L59">IF(L58=0,IF(VLOOKUP(L$25,mission!$D$64:$F$78,3,FALSE)&lt;=$F$5*60/$C$7*6,INDEX(mission!$E$64:$E$78,MATCH(L$25,mission!$D$64:$D$78,0)),0))</f>
        <v>0</v>
      </c>
      <c r="M59" s="2" cm="1">
        <f t="array" ref="M59">IF(M58=0,IF(VLOOKUP(M$25,mission!$D$64:$F$78,3,FALSE)&lt;=$F$5*60/$C$7*6,INDEX(mission!$E$64:$E$78,MATCH(M$25,mission!$D$64:$D$78,0)),0))</f>
        <v>0</v>
      </c>
      <c r="N59" s="2" t="b" cm="1">
        <f t="array" ref="N59">IF(N58=0,IF(VLOOKUP(N$25,mission!$D$64:$F$78,3,FALSE)&lt;=$F$5*60/$C$7*$C$6*6,INDEX(mission!$E$64:$E$78,MATCH(N$25,mission!$D$64:$D$78,0)),0))</f>
        <v>0</v>
      </c>
      <c r="O59" s="2" cm="1">
        <f t="array" ref="O59">IF(O58=0,IF(VLOOKUP(O$25,mission!$D$64:$F$78,3,FALSE)&lt;=$F$5*60/$C$7*$C$6*6,INDEX(mission!$E$64:$E$78,MATCH(O$25,mission!$D$64:$D$78,0)),0))</f>
        <v>25</v>
      </c>
      <c r="P59" s="2" cm="1">
        <f t="array" ref="P59">IF(P58=0,IF(VLOOKUP(P$25,mission!$D$64:$F$78,3,FALSE)&lt;=$F$5*60/$C$7*$C$6*6,INDEX(mission!$E$64:$E$78,MATCH(P$25,mission!$D$64:$D$78,0)),0))</f>
        <v>0</v>
      </c>
      <c r="Q59" s="2" cm="1">
        <f t="array" ref="Q59">IF(Q58=0,IF(VLOOKUP(Q$25,mission!$D$64:$F$78,3,FALSE)&lt;=$F$5*60/$C$7*$C$6*6,INDEX(mission!$E$64:$E$78,MATCH(Q$25,mission!$D$64:$D$78,0)),0))</f>
        <v>0</v>
      </c>
      <c r="R59" s="2" cm="1">
        <f t="array" ref="R59">IF(R58=0,IF(VLOOKUP(R$25,mission!$D$64:$F$78,3,FALSE)&lt;=$F$5*60/$C$7*$C$6*6,INDEX(mission!$E$64:$E$78,MATCH(R$25,mission!$D$64:$D$78,0)),0))</f>
        <v>0</v>
      </c>
      <c r="S59" s="2" t="b" cm="1">
        <f t="array" ref="S59">IF(S58=0,IF(VLOOKUP(S$25,mission!$D$64:$F$78,3,FALSE)&lt;=$F$5*60/$C$7*$C$6*$C$4*6,INDEX(mission!$E$64:$E$78,MATCH(S$25,mission!$D$64:$D$78,0)),0))</f>
        <v>0</v>
      </c>
      <c r="T59" s="2" cm="1">
        <f t="array" ref="T59">IF(T58=0,IF(VLOOKUP(T$25,mission!$D$64:$F$78,3,FALSE)&lt;=$F$5*60/$C$7*$C$6*$C$4*6,INDEX(mission!$E$64:$E$78,MATCH(T$25,mission!$D$64:$D$78,0)),0))</f>
        <v>50</v>
      </c>
      <c r="U59" s="2" cm="1">
        <f t="array" ref="U59">IF(U58=0,IF(VLOOKUP(U$25,mission!$D$64:$F$78,3,FALSE)&lt;=$F$5*60/$C$7*$C$6*$C$4*6,INDEX(mission!$E$64:$E$78,MATCH(U$25,mission!$D$64:$D$78,0)),0))</f>
        <v>0</v>
      </c>
      <c r="V59" s="2" cm="1">
        <f t="array" ref="V59">IF(V58=0,IF(VLOOKUP(V$25,mission!$D$64:$F$78,3,FALSE)&lt;=$F$5*60/$C$7*$C$6*$C$4*6,INDEX(mission!$E$64:$E$78,MATCH(V$25,mission!$D$64:$D$78,0)),0))</f>
        <v>0</v>
      </c>
      <c r="W59" s="2" cm="1">
        <f t="array" ref="W59">IF(W58=0,IF(VLOOKUP(W$25,mission!$D$64:$F$78,3,FALSE)&lt;=$F$5*60/$C$7*$C$6*$C$4*6,INDEX(mission!$E$64:$E$78,MATCH(W$25,mission!$D$64:$D$78,0)),0))</f>
        <v>0</v>
      </c>
      <c r="X59" s="2"/>
      <c r="Y59" s="2"/>
      <c r="Z59" s="2"/>
    </row>
    <row r="60" s="10" customFormat="1" ht="18" customHeight="1" spans="2:26">
      <c r="B60" s="10">
        <v>35</v>
      </c>
      <c r="C60" s="10">
        <f t="shared" si="0"/>
        <v>35000</v>
      </c>
      <c r="D60" s="10">
        <f>ROUND($C$8*$C$5+$C$8*$C$4*(1-$L$5),0)</f>
        <v>88</v>
      </c>
      <c r="E60" s="10">
        <f t="shared" si="1"/>
        <v>3080</v>
      </c>
      <c r="F60" s="10">
        <f>ROUND(E60*VLOOKUP($B$10,总产出!$T$4:$U$14,2,FALSE),0)</f>
        <v>616</v>
      </c>
      <c r="G60" s="10">
        <f t="shared" si="2"/>
        <v>0</v>
      </c>
      <c r="H60" s="10">
        <f t="shared" si="3"/>
        <v>1000</v>
      </c>
      <c r="I60" s="10" t="b" cm="1">
        <f t="array" ref="I60">IF(I59=0,IF(VLOOKUP(I$25,mission!$D$64:$F$78,3,FALSE)&lt;=$F$5*60/$C$7*7,INDEX(mission!$E$64:$E$78,MATCH(I$25,mission!$D$64:$D$78,0)),0))</f>
        <v>0</v>
      </c>
      <c r="J60" s="10" t="b" cm="1">
        <f t="array" ref="J60">IF(J59=0,IF(VLOOKUP(J$25,mission!$D$64:$F$78,3,FALSE)&lt;=$F$5*60/$C$7*7,INDEX(mission!$E$64:$E$78,MATCH(J$25,mission!$D$64:$D$78,0)),0))</f>
        <v>0</v>
      </c>
      <c r="K60" s="10" cm="1">
        <f t="array" ref="K60">IF(K59=0,IF(VLOOKUP(K$25,mission!$D$64:$F$78,3,FALSE)&lt;=$F$5*60/$C$7*7,INDEX(mission!$E$64:$E$78,MATCH(K$25,mission!$D$64:$D$78,0)),0))</f>
        <v>0</v>
      </c>
      <c r="L60" s="10" cm="1">
        <f t="array" ref="L60">IF(L59=0,IF(VLOOKUP(L$25,mission!$D$64:$F$78,3,FALSE)&lt;=$F$5*60/$C$7*7,INDEX(mission!$E$64:$E$78,MATCH(L$25,mission!$D$64:$D$78,0)),0))</f>
        <v>0</v>
      </c>
      <c r="M60" s="10" cm="1">
        <f t="array" ref="M60">IF(M59=0,IF(VLOOKUP(M$25,mission!$D$64:$F$78,3,FALSE)&lt;=$F$5*60/$C$7*7,INDEX(mission!$E$64:$E$78,MATCH(M$25,mission!$D$64:$D$78,0)),0))</f>
        <v>0</v>
      </c>
      <c r="N60" s="10" t="b" cm="1">
        <f t="array" ref="N60">IF(N59=0,IF(VLOOKUP(N$25,mission!$D$64:$F$78,3,FALSE)&lt;=$F$5*60/$C$7*$C$6*7,INDEX(mission!$E$64:$E$78,MATCH(N$25,mission!$D$64:$D$78,0)),0))</f>
        <v>0</v>
      </c>
      <c r="O60" s="10" t="b" cm="1">
        <f t="array" ref="O60">IF(O59=0,IF(VLOOKUP(O$25,mission!$D$64:$F$78,3,FALSE)&lt;=$F$5*60/$C$7*$C$6*7,INDEX(mission!$E$64:$E$78,MATCH(O$25,mission!$D$64:$D$78,0)),0))</f>
        <v>0</v>
      </c>
      <c r="P60" s="10" cm="1">
        <f t="array" ref="P60">IF(P59=0,IF(VLOOKUP(P$25,mission!$D$64:$F$78,3,FALSE)&lt;=$F$5*60/$C$7*$C$6*7,INDEX(mission!$E$64:$E$78,MATCH(P$25,mission!$D$64:$D$78,0)),0))</f>
        <v>0</v>
      </c>
      <c r="Q60" s="10" cm="1">
        <f t="array" ref="Q60">IF(Q59=0,IF(VLOOKUP(Q$25,mission!$D$64:$F$78,3,FALSE)&lt;=$F$5*60/$C$7*$C$6*7,INDEX(mission!$E$64:$E$78,MATCH(Q$25,mission!$D$64:$D$78,0)),0))</f>
        <v>0</v>
      </c>
      <c r="R60" s="10" cm="1">
        <f t="array" ref="R60">IF(R59=0,IF(VLOOKUP(R$25,mission!$D$64:$F$78,3,FALSE)&lt;=$F$5*60/$C$7*$C$6*7,INDEX(mission!$E$64:$E$78,MATCH(R$25,mission!$D$64:$D$78,0)),0))</f>
        <v>0</v>
      </c>
      <c r="S60" s="10" t="b" cm="1">
        <f t="array" ref="S60">IF(S59=0,IF(VLOOKUP(S$25,mission!$D$64:$F$78,3,FALSE)&lt;=$F$5*60/$C$7*$C$6*$C$4*7,INDEX(mission!$E$64:$E$78,MATCH(S$25,mission!$D$64:$D$78,0)),0))</f>
        <v>0</v>
      </c>
      <c r="T60" s="10" t="b" cm="1">
        <f t="array" ref="T60">IF(T59=0,IF(VLOOKUP(T$25,mission!$D$64:$F$78,3,FALSE)&lt;=$F$5*60/$C$7*$C$6*$C$4*7,INDEX(mission!$E$64:$E$78,MATCH(T$25,mission!$D$64:$D$78,0)),0))</f>
        <v>0</v>
      </c>
      <c r="U60" s="10" cm="1">
        <f t="array" ref="U60">IF(U59=0,IF(VLOOKUP(U$25,mission!$D$64:$F$78,3,FALSE)&lt;=$F$5*60/$C$7*$C$6*$C$4*7,INDEX(mission!$E$64:$E$78,MATCH(U$25,mission!$D$64:$D$78,0)),0))</f>
        <v>0</v>
      </c>
      <c r="V60" s="10" cm="1">
        <f t="array" ref="V60">IF(V59=0,IF(VLOOKUP(V$25,mission!$D$64:$F$78,3,FALSE)&lt;=$F$5*60/$C$7*$C$6*$C$4*7,INDEX(mission!$E$64:$E$78,MATCH(V$25,mission!$D$64:$D$78,0)),0))</f>
        <v>0</v>
      </c>
      <c r="W60" s="10" cm="1">
        <f t="array" ref="W60">IF(W59=0,IF(VLOOKUP(W$25,mission!$D$64:$F$78,3,FALSE)&lt;=$F$5*60/$C$7*$C$6*$C$4*7,INDEX(mission!$E$64:$E$78,MATCH(W$25,mission!$D$64:$D$78,0)),0))</f>
        <v>0</v>
      </c>
      <c r="X60" s="2"/>
      <c r="Y60" s="2"/>
      <c r="Z60" s="2"/>
    </row>
    <row r="61" s="1" customFormat="1" ht="18" customHeight="1" spans="2:26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634</v>
      </c>
      <c r="G61" s="2">
        <f t="shared" si="2"/>
        <v>0</v>
      </c>
      <c r="H61" s="2">
        <f t="shared" si="3"/>
        <v>1000</v>
      </c>
      <c r="I61" s="2" cm="1">
        <f t="array" ref="I61">IF(VLOOKUP(I$25,mission!$D$64:$F$78,3,FALSE)&lt;=$F$5*60/$C$7,INDEX(mission!$E$64:$E$78,MATCH(I$25,mission!$D$64:$D$78,0)),0)</f>
        <v>0</v>
      </c>
      <c r="J61" s="2" cm="1">
        <f t="array" ref="J61">IF(VLOOKUP(J$25,mission!$D$64:$F$78,3,FALSE)&lt;=$F$5*60/$C$7,INDEX(mission!$E$64:$E$78,MATCH(J$25,mission!$D$64:$D$78,0)),0)</f>
        <v>0</v>
      </c>
      <c r="K61" s="2" cm="1">
        <f t="array" ref="K61">IF(VLOOKUP(K$25,mission!$D$64:$F$78,3,FALSE)&lt;=$F$5*60/$C$7,INDEX(mission!$E$64:$E$78,MATCH(K$25,mission!$D$64:$D$78,0)),0)</f>
        <v>0</v>
      </c>
      <c r="L61" s="2" cm="1">
        <f t="array" ref="L61">IF(VLOOKUP(L$25,mission!$D$64:$F$78,3,FALSE)&lt;=$F$5*60/$C$7,INDEX(mission!$E$64:$E$78,MATCH(L$25,mission!$D$64:$D$78,0)),0)</f>
        <v>0</v>
      </c>
      <c r="M61" s="2" cm="1">
        <f t="array" ref="M61">IF(VLOOKUP(M$25,mission!$D$64:$F$78,3,FALSE)&lt;=$F$5*60/$C$7,INDEX(mission!$E$64:$E$78,MATCH(M$25,mission!$D$64:$D$78,0)),0)</f>
        <v>0</v>
      </c>
      <c r="N61" s="2" cm="1">
        <f t="array" ref="N61">IF(VLOOKUP(N$25,mission!$D$64:$F$78,3,FALSE)&lt;=$F$5*60/$C$7*$C$6,INDEX(mission!$E$64:$E$78,MATCH(N$25,mission!$D$64:$D$78,0)),0)</f>
        <v>0</v>
      </c>
      <c r="O61" s="2" cm="1">
        <f t="array" ref="O61">IF(VLOOKUP(O$25,mission!$D$64:$F$78,3,FALSE)&lt;=$F$5*60/$C$7*$C$6,INDEX(mission!$E$64:$E$78,MATCH(O$25,mission!$D$64:$D$78,0)),0)</f>
        <v>0</v>
      </c>
      <c r="P61" s="2" cm="1">
        <f t="array" ref="P61">IF(VLOOKUP(P$25,mission!$D$64:$F$78,3,FALSE)&lt;=$F$5*60/$C$7*$C$6,INDEX(mission!$E$64:$E$78,MATCH(P$25,mission!$D$64:$D$78,0)),0)</f>
        <v>0</v>
      </c>
      <c r="Q61" s="2" cm="1">
        <f t="array" ref="Q61">IF(VLOOKUP(Q$25,mission!$D$64:$F$78,3,FALSE)&lt;=$F$5*60/$C$7*$C$6,INDEX(mission!$E$64:$E$78,MATCH(Q$25,mission!$D$64:$D$78,0)),0)</f>
        <v>0</v>
      </c>
      <c r="R61" s="2" cm="1">
        <f t="array" ref="R61">IF(VLOOKUP(R$25,mission!$D$64:$F$78,3,FALSE)&lt;=$F$5*60/$C$7*$C$6,INDEX(mission!$E$64:$E$78,MATCH(R$25,mission!$D$64:$D$78,0)),0)</f>
        <v>0</v>
      </c>
      <c r="S61" s="2" cm="1">
        <f t="array" ref="S61">IF(VLOOKUP(S$25,mission!$D$64:$F$78,3,FALSE)&lt;=$F$5*60/$C$7*$C$6*$C$4,INDEX(mission!$E$64:$E$78,MATCH(S$25,mission!$D$64:$D$78,0)),0)</f>
        <v>0</v>
      </c>
      <c r="T61" s="2" cm="1">
        <f t="array" ref="T61">IF(VLOOKUP(T$25,mission!$D$64:$F$78,3,FALSE)&lt;=$F$5*60/$C$7*$C$6*$C$4,INDEX(mission!$E$64:$E$78,MATCH(T$25,mission!$D$64:$D$78,0)),0)</f>
        <v>0</v>
      </c>
      <c r="U61" s="2" cm="1">
        <f t="array" ref="U61">IF(VLOOKUP(U$25,mission!$D$64:$F$78,3,FALSE)&lt;=$F$5*60/$C$7*$C$6*$C$4,INDEX(mission!$E$64:$E$78,MATCH(U$25,mission!$D$64:$D$78,0)),0)</f>
        <v>0</v>
      </c>
      <c r="V61" s="2" cm="1">
        <f t="array" ref="V61">IF(VLOOKUP(V$25,mission!$D$64:$F$78,3,FALSE)&lt;=$F$5*60/$C$7*$C$6*$C$4,INDEX(mission!$E$64:$E$78,MATCH(V$25,mission!$D$64:$D$78,0)),0)</f>
        <v>0</v>
      </c>
      <c r="W61" s="2" cm="1">
        <f t="array" ref="W61">IF(VLOOKUP(W$25,mission!$D$64:$F$78,3,FALSE)&lt;=$F$5*60/$C$7*$C$6*$C$4,INDEX(mission!$E$64:$E$78,MATCH(W$25,mission!$D$64:$D$78,0)),0)</f>
        <v>0</v>
      </c>
      <c r="X61" s="2"/>
      <c r="Y61" s="2"/>
      <c r="Z61" s="2"/>
    </row>
    <row r="62" s="1" customFormat="1" ht="18" customHeight="1" spans="2:26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651</v>
      </c>
      <c r="G62" s="2">
        <f t="shared" si="2"/>
        <v>0</v>
      </c>
      <c r="H62" s="2">
        <f t="shared" si="3"/>
        <v>1000</v>
      </c>
      <c r="I62" s="2" cm="1">
        <f t="array" ref="I62">IF(I61=0,IF(VLOOKUP(I$25,mission!$D$64:$F$78,3,FALSE)&lt;=$F$5*60/$C$7*2,INDEX(mission!$E$64:$E$78,MATCH(I$25,mission!$D$64:$D$78,0)),0))</f>
        <v>0</v>
      </c>
      <c r="J62" s="2" cm="1">
        <f t="array" ref="J62">IF(J61=0,IF(VLOOKUP(J$25,mission!$D$64:$F$78,3,FALSE)&lt;=$F$5*60/$C$7*2,INDEX(mission!$E$64:$E$78,MATCH(J$25,mission!$D$64:$D$78,0)),0))</f>
        <v>0</v>
      </c>
      <c r="K62" s="2" cm="1">
        <f t="array" ref="K62">IF(K61=0,IF(VLOOKUP(K$25,mission!$D$64:$F$78,3,FALSE)&lt;=$F$5*60/$C$7*2,INDEX(mission!$E$64:$E$78,MATCH(K$25,mission!$D$64:$D$78,0)),0))</f>
        <v>0</v>
      </c>
      <c r="L62" s="2" cm="1">
        <f t="array" ref="L62">IF(L61=0,IF(VLOOKUP(L$25,mission!$D$64:$F$78,3,FALSE)&lt;=$F$5*60/$C$7*2,INDEX(mission!$E$64:$E$78,MATCH(L$25,mission!$D$64:$D$78,0)),0))</f>
        <v>0</v>
      </c>
      <c r="M62" s="2" cm="1">
        <f t="array" ref="M62">IF(M61=0,IF(VLOOKUP(M$25,mission!$D$64:$F$78,3,FALSE)&lt;=$F$5*60/$C$7*2,INDEX(mission!$E$64:$E$78,MATCH(M$25,mission!$D$64:$D$78,0)),0))</f>
        <v>0</v>
      </c>
      <c r="N62" s="2" cm="1">
        <f t="array" ref="N62">IF(N61=0,IF(VLOOKUP(N$25,mission!$D$64:$F$78,3,FALSE)&lt;=$F$5*60/$C$7*$C$6*2,INDEX(mission!$E$64:$E$78,MATCH(N$25,mission!$D$64:$D$78,0)),0))</f>
        <v>0</v>
      </c>
      <c r="O62" s="2" cm="1">
        <f t="array" ref="O62">IF(O61=0,IF(VLOOKUP(O$25,mission!$D$64:$F$78,3,FALSE)&lt;=$F$5*60/$C$7*$C$6*2,INDEX(mission!$E$64:$E$78,MATCH(O$25,mission!$D$64:$D$78,0)),0))</f>
        <v>0</v>
      </c>
      <c r="P62" s="2" cm="1">
        <f t="array" ref="P62">IF(P61=0,IF(VLOOKUP(P$25,mission!$D$64:$F$78,3,FALSE)&lt;=$F$5*60/$C$7*$C$6*2,INDEX(mission!$E$64:$E$78,MATCH(P$25,mission!$D$64:$D$78,0)),0))</f>
        <v>0</v>
      </c>
      <c r="Q62" s="2" cm="1">
        <f t="array" ref="Q62">IF(Q61=0,IF(VLOOKUP(Q$25,mission!$D$64:$F$78,3,FALSE)&lt;=$F$5*60/$C$7*$C$6*2,INDEX(mission!$E$64:$E$78,MATCH(Q$25,mission!$D$64:$D$78,0)),0))</f>
        <v>0</v>
      </c>
      <c r="R62" s="2" cm="1">
        <f t="array" ref="R62">IF(R61=0,IF(VLOOKUP(R$25,mission!$D$64:$F$78,3,FALSE)&lt;=$F$5*60/$C$7*$C$6*2,INDEX(mission!$E$64:$E$78,MATCH(R$25,mission!$D$64:$D$78,0)),0))</f>
        <v>0</v>
      </c>
      <c r="S62" s="2" cm="1">
        <f t="array" ref="S62">IF(S61=0,IF(VLOOKUP(S$25,mission!$D$64:$F$78,3,FALSE)&lt;=$F$5*60/$C$7*$C$6*$C$4*2,INDEX(mission!$E$64:$E$78,MATCH(S$25,mission!$D$64:$D$78,0)),0))</f>
        <v>0</v>
      </c>
      <c r="T62" s="2" cm="1">
        <f t="array" ref="T62">IF(T61=0,IF(VLOOKUP(T$25,mission!$D$64:$F$78,3,FALSE)&lt;=$F$5*60/$C$7*$C$6*$C$4*2,INDEX(mission!$E$64:$E$78,MATCH(T$25,mission!$D$64:$D$78,0)),0))</f>
        <v>0</v>
      </c>
      <c r="U62" s="2" cm="1">
        <f t="array" ref="U62">IF(U61=0,IF(VLOOKUP(U$25,mission!$D$64:$F$78,3,FALSE)&lt;=$F$5*60/$C$7*$C$6*$C$4*2,INDEX(mission!$E$64:$E$78,MATCH(U$25,mission!$D$64:$D$78,0)),0))</f>
        <v>0</v>
      </c>
      <c r="V62" s="2" cm="1">
        <f t="array" ref="V62">IF(V61=0,IF(VLOOKUP(V$25,mission!$D$64:$F$78,3,FALSE)&lt;=$F$5*60/$C$7*$C$6*$C$4*2,INDEX(mission!$E$64:$E$78,MATCH(V$25,mission!$D$64:$D$78,0)),0))</f>
        <v>0</v>
      </c>
      <c r="W62" s="2" cm="1">
        <f t="array" ref="W62">IF(W61=0,IF(VLOOKUP(W$25,mission!$D$64:$F$78,3,FALSE)&lt;=$F$5*60/$C$7*$C$6*$C$4*2,INDEX(mission!$E$64:$E$78,MATCH(W$25,mission!$D$64:$D$78,0)),0))</f>
        <v>0</v>
      </c>
      <c r="X62" s="2"/>
      <c r="Y62" s="2"/>
      <c r="Z62" s="2"/>
    </row>
    <row r="63" s="1" customFormat="1" ht="18" customHeight="1" spans="2:26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669</v>
      </c>
      <c r="G63" s="2">
        <f t="shared" si="2"/>
        <v>100</v>
      </c>
      <c r="H63" s="2">
        <f t="shared" si="3"/>
        <v>1100</v>
      </c>
      <c r="I63" s="2" cm="1">
        <f t="array" ref="I63">IF(I62=0,IF(VLOOKUP(I$25,mission!$D$64:$F$78,3,FALSE)&lt;=$F$5*60/$C$7*3,INDEX(mission!$E$64:$E$78,MATCH(I$25,mission!$D$64:$D$78,0)),0))</f>
        <v>25</v>
      </c>
      <c r="J63" s="2" cm="1">
        <f t="array" ref="J63">IF(J62=0,IF(VLOOKUP(J$25,mission!$D$64:$F$78,3,FALSE)&lt;=$F$5*60/$C$7*3,INDEX(mission!$E$64:$E$78,MATCH(J$25,mission!$D$64:$D$78,0)),0))</f>
        <v>0</v>
      </c>
      <c r="K63" s="2" cm="1">
        <f t="array" ref="K63">IF(K62=0,IF(VLOOKUP(K$25,mission!$D$64:$F$78,3,FALSE)&lt;=$F$5*60/$C$7*3,INDEX(mission!$E$64:$E$78,MATCH(K$25,mission!$D$64:$D$78,0)),0))</f>
        <v>0</v>
      </c>
      <c r="L63" s="2" cm="1">
        <f t="array" ref="L63">IF(L62=0,IF(VLOOKUP(L$25,mission!$D$64:$F$78,3,FALSE)&lt;=$F$5*60/$C$7*3,INDEX(mission!$E$64:$E$78,MATCH(L$25,mission!$D$64:$D$78,0)),0))</f>
        <v>0</v>
      </c>
      <c r="M63" s="2" cm="1">
        <f t="array" ref="M63">IF(M62=0,IF(VLOOKUP(M$25,mission!$D$64:$F$78,3,FALSE)&lt;=$F$5*60/$C$7*3,INDEX(mission!$E$64:$E$78,MATCH(M$25,mission!$D$64:$D$78,0)),0))</f>
        <v>0</v>
      </c>
      <c r="N63" s="2" cm="1">
        <f t="array" ref="N63">IF(N62=0,IF(VLOOKUP(N$25,mission!$D$64:$F$78,3,FALSE)&lt;=$F$5*60/$C$7*$C$6*3,INDEX(mission!$E$64:$E$78,MATCH(N$25,mission!$D$64:$D$78,0)),0))</f>
        <v>25</v>
      </c>
      <c r="O63" s="2" cm="1">
        <f t="array" ref="O63">IF(O62=0,IF(VLOOKUP(O$25,mission!$D$64:$F$78,3,FALSE)&lt;=$F$5*60/$C$7*$C$6*3,INDEX(mission!$E$64:$E$78,MATCH(O$25,mission!$D$64:$D$78,0)),0))</f>
        <v>0</v>
      </c>
      <c r="P63" s="2" cm="1">
        <f t="array" ref="P63">IF(P62=0,IF(VLOOKUP(P$25,mission!$D$64:$F$78,3,FALSE)&lt;=$F$5*60/$C$7*$C$6*3,INDEX(mission!$E$64:$E$78,MATCH(P$25,mission!$D$64:$D$78,0)),0))</f>
        <v>0</v>
      </c>
      <c r="Q63" s="2" cm="1">
        <f t="array" ref="Q63">IF(Q62=0,IF(VLOOKUP(Q$25,mission!$D$64:$F$78,3,FALSE)&lt;=$F$5*60/$C$7*$C$6*3,INDEX(mission!$E$64:$E$78,MATCH(Q$25,mission!$D$64:$D$78,0)),0))</f>
        <v>0</v>
      </c>
      <c r="R63" s="2" cm="1">
        <f t="array" ref="R63">IF(R62=0,IF(VLOOKUP(R$25,mission!$D$64:$F$78,3,FALSE)&lt;=$F$5*60/$C$7*$C$6*3,INDEX(mission!$E$64:$E$78,MATCH(R$25,mission!$D$64:$D$78,0)),0))</f>
        <v>0</v>
      </c>
      <c r="S63" s="2" cm="1">
        <f t="array" ref="S63">IF(S62=0,IF(VLOOKUP(S$25,mission!$D$64:$F$78,3,FALSE)&lt;=$F$5*60/$C$7*$C$6*$C$4*3,INDEX(mission!$E$64:$E$78,MATCH(S$25,mission!$D$64:$D$78,0)),0))</f>
        <v>50</v>
      </c>
      <c r="T63" s="2" cm="1">
        <f t="array" ref="T63">IF(T62=0,IF(VLOOKUP(T$25,mission!$D$64:$F$78,3,FALSE)&lt;=$F$5*60/$C$7*$C$6*$C$4*3,INDEX(mission!$E$64:$E$78,MATCH(T$25,mission!$D$64:$D$78,0)),0))</f>
        <v>0</v>
      </c>
      <c r="U63" s="2" cm="1">
        <f t="array" ref="U63">IF(U62=0,IF(VLOOKUP(U$25,mission!$D$64:$F$78,3,FALSE)&lt;=$F$5*60/$C$7*$C$6*$C$4*3,INDEX(mission!$E$64:$E$78,MATCH(U$25,mission!$D$64:$D$78,0)),0))</f>
        <v>0</v>
      </c>
      <c r="V63" s="2" cm="1">
        <f t="array" ref="V63">IF(V62=0,IF(VLOOKUP(V$25,mission!$D$64:$F$78,3,FALSE)&lt;=$F$5*60/$C$7*$C$6*$C$4*3,INDEX(mission!$E$64:$E$78,MATCH(V$25,mission!$D$64:$D$78,0)),0))</f>
        <v>0</v>
      </c>
      <c r="W63" s="2" cm="1">
        <f t="array" ref="W63">IF(W62=0,IF(VLOOKUP(W$25,mission!$D$64:$F$78,3,FALSE)&lt;=$F$5*60/$C$7*$C$6*$C$4*3,INDEX(mission!$E$64:$E$78,MATCH(W$25,mission!$D$64:$D$78,0)),0))</f>
        <v>0</v>
      </c>
      <c r="X63" s="2"/>
      <c r="Y63" s="2"/>
      <c r="Z63" s="2"/>
    </row>
    <row r="64" s="1" customFormat="1" ht="18" customHeight="1" spans="2:26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686</v>
      </c>
      <c r="G64" s="2">
        <f t="shared" si="2"/>
        <v>0</v>
      </c>
      <c r="H64" s="2">
        <f t="shared" si="3"/>
        <v>1100</v>
      </c>
      <c r="I64" s="2" t="b" cm="1">
        <f t="array" ref="I64">IF(I63=0,IF(VLOOKUP(I$25,mission!$D$64:$F$78,3,FALSE)&lt;=$F$5*60/$C$7*4,INDEX(mission!$E$64:$E$78,MATCH(I$25,mission!$D$64:$D$78,0)),0))</f>
        <v>0</v>
      </c>
      <c r="J64" s="2" cm="1">
        <f t="array" ref="J64">IF(J63=0,IF(VLOOKUP(J$25,mission!$D$64:$F$78,3,FALSE)&lt;=$F$5*60/$C$7*4,INDEX(mission!$E$64:$E$78,MATCH(J$25,mission!$D$64:$D$78,0)),0))</f>
        <v>0</v>
      </c>
      <c r="K64" s="2" cm="1">
        <f t="array" ref="K64">IF(K63=0,IF(VLOOKUP(K$25,mission!$D$64:$F$78,3,FALSE)&lt;=$F$5*60/$C$7*4,INDEX(mission!$E$64:$E$78,MATCH(K$25,mission!$D$64:$D$78,0)),0))</f>
        <v>0</v>
      </c>
      <c r="L64" s="2" cm="1">
        <f t="array" ref="L64">IF(L63=0,IF(VLOOKUP(L$25,mission!$D$64:$F$78,3,FALSE)&lt;=$F$5*60/$C$7*4,INDEX(mission!$E$64:$E$78,MATCH(L$25,mission!$D$64:$D$78,0)),0))</f>
        <v>0</v>
      </c>
      <c r="M64" s="2" cm="1">
        <f t="array" ref="M64">IF(M63=0,IF(VLOOKUP(M$25,mission!$D$64:$F$78,3,FALSE)&lt;=$F$5*60/$C$7*4,INDEX(mission!$E$64:$E$78,MATCH(M$25,mission!$D$64:$D$78,0)),0))</f>
        <v>0</v>
      </c>
      <c r="N64" s="2" t="b" cm="1">
        <f t="array" ref="N64">IF(N63=0,IF(VLOOKUP(N$25,mission!$D$64:$F$78,3,FALSE)&lt;=$F$5*60/$C$7*$C$6*4,INDEX(mission!$E$64:$E$78,MATCH(N$25,mission!$D$64:$D$78,0)),0))</f>
        <v>0</v>
      </c>
      <c r="O64" s="2" cm="1">
        <f t="array" ref="O64">IF(O63=0,IF(VLOOKUP(O$25,mission!$D$64:$F$78,3,FALSE)&lt;=$F$5*60/$C$7*$C$6*4,INDEX(mission!$E$64:$E$78,MATCH(O$25,mission!$D$64:$D$78,0)),0))</f>
        <v>0</v>
      </c>
      <c r="P64" s="2" cm="1">
        <f t="array" ref="P64">IF(P63=0,IF(VLOOKUP(P$25,mission!$D$64:$F$78,3,FALSE)&lt;=$F$5*60/$C$7*$C$6*4,INDEX(mission!$E$64:$E$78,MATCH(P$25,mission!$D$64:$D$78,0)),0))</f>
        <v>0</v>
      </c>
      <c r="Q64" s="2" cm="1">
        <f t="array" ref="Q64">IF(Q63=0,IF(VLOOKUP(Q$25,mission!$D$64:$F$78,3,FALSE)&lt;=$F$5*60/$C$7*$C$6*4,INDEX(mission!$E$64:$E$78,MATCH(Q$25,mission!$D$64:$D$78,0)),0))</f>
        <v>0</v>
      </c>
      <c r="R64" s="2" cm="1">
        <f t="array" ref="R64">IF(R63=0,IF(VLOOKUP(R$25,mission!$D$64:$F$78,3,FALSE)&lt;=$F$5*60/$C$7*$C$6*4,INDEX(mission!$E$64:$E$78,MATCH(R$25,mission!$D$64:$D$78,0)),0))</f>
        <v>0</v>
      </c>
      <c r="S64" s="2" t="b" cm="1">
        <f t="array" ref="S64">IF(S63=0,IF(VLOOKUP(S$25,mission!$D$64:$F$78,3,FALSE)&lt;=$F$5*60/$C$7*$C$6*$C$4*4,INDEX(mission!$E$64:$E$78,MATCH(S$25,mission!$D$64:$D$78,0)),0))</f>
        <v>0</v>
      </c>
      <c r="T64" s="2" cm="1">
        <f t="array" ref="T64">IF(T63=0,IF(VLOOKUP(T$25,mission!$D$64:$F$78,3,FALSE)&lt;=$F$5*60/$C$7*$C$6*$C$4*4,INDEX(mission!$E$64:$E$78,MATCH(T$25,mission!$D$64:$D$78,0)),0))</f>
        <v>0</v>
      </c>
      <c r="U64" s="2" cm="1">
        <f t="array" ref="U64">IF(U63=0,IF(VLOOKUP(U$25,mission!$D$64:$F$78,3,FALSE)&lt;=$F$5*60/$C$7*$C$6*$C$4*4,INDEX(mission!$E$64:$E$78,MATCH(U$25,mission!$D$64:$D$78,0)),0))</f>
        <v>0</v>
      </c>
      <c r="V64" s="2" cm="1">
        <f t="array" ref="V64">IF(V63=0,IF(VLOOKUP(V$25,mission!$D$64:$F$78,3,FALSE)&lt;=$F$5*60/$C$7*$C$6*$C$4*4,INDEX(mission!$E$64:$E$78,MATCH(V$25,mission!$D$64:$D$78,0)),0))</f>
        <v>0</v>
      </c>
      <c r="W64" s="2" cm="1">
        <f t="array" ref="W64">IF(W63=0,IF(VLOOKUP(W$25,mission!$D$64:$F$78,3,FALSE)&lt;=$F$5*60/$C$7*$C$6*$C$4*4,INDEX(mission!$E$64:$E$78,MATCH(W$25,mission!$D$64:$D$78,0)),0))</f>
        <v>0</v>
      </c>
      <c r="X64" s="2"/>
      <c r="Y64" s="2"/>
      <c r="Z64" s="2"/>
    </row>
    <row r="65" s="1" customFormat="1" ht="18" customHeight="1" spans="2:26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704</v>
      </c>
      <c r="G65" s="2">
        <f t="shared" si="2"/>
        <v>0</v>
      </c>
      <c r="H65" s="2">
        <f t="shared" si="3"/>
        <v>1100</v>
      </c>
      <c r="I65" s="2" t="b" cm="1">
        <f t="array" ref="I65">IF(I64=0,IF(VLOOKUP(I$25,mission!$D$64:$F$78,3,FALSE)&lt;=$F$5*60/$C$7*5,INDEX(mission!$E$64:$E$78,MATCH(I$25,mission!$D$64:$D$78,0)),0))</f>
        <v>0</v>
      </c>
      <c r="J65" s="2" cm="1">
        <f t="array" ref="J65">IF(J64=0,IF(VLOOKUP(J$25,mission!$D$64:$F$78,3,FALSE)&lt;=$F$5*60/$C$7*5,INDEX(mission!$E$64:$E$78,MATCH(J$25,mission!$D$64:$D$78,0)),0))</f>
        <v>0</v>
      </c>
      <c r="K65" s="2" cm="1">
        <f t="array" ref="K65">IF(K64=0,IF(VLOOKUP(K$25,mission!$D$64:$F$78,3,FALSE)&lt;=$F$5*60/$C$7*5,INDEX(mission!$E$64:$E$78,MATCH(K$25,mission!$D$64:$D$78,0)),0))</f>
        <v>0</v>
      </c>
      <c r="L65" s="2" cm="1">
        <f t="array" ref="L65">IF(L64=0,IF(VLOOKUP(L$25,mission!$D$64:$F$78,3,FALSE)&lt;=$F$5*60/$C$7*5,INDEX(mission!$E$64:$E$78,MATCH(L$25,mission!$D$64:$D$78,0)),0))</f>
        <v>0</v>
      </c>
      <c r="M65" s="2" cm="1">
        <f t="array" ref="M65">IF(M64=0,IF(VLOOKUP(M$25,mission!$D$64:$F$78,3,FALSE)&lt;=$F$5*60/$C$7*5,INDEX(mission!$E$64:$E$78,MATCH(M$25,mission!$D$64:$D$78,0)),0))</f>
        <v>0</v>
      </c>
      <c r="N65" s="2" t="b" cm="1">
        <f t="array" ref="N65">IF(N64=0,IF(VLOOKUP(N$25,mission!$D$64:$F$78,3,FALSE)&lt;=$F$5*60/$C$7*$C$6*5,INDEX(mission!$E$64:$E$78,MATCH(N$25,mission!$D$64:$D$78,0)),0))</f>
        <v>0</v>
      </c>
      <c r="O65" s="2" cm="1">
        <f t="array" ref="O65">IF(O64=0,IF(VLOOKUP(O$25,mission!$D$64:$F$78,3,FALSE)&lt;=$F$5*60/$C$7*$C$6*5,INDEX(mission!$E$64:$E$78,MATCH(O$25,mission!$D$64:$D$78,0)),0))</f>
        <v>0</v>
      </c>
      <c r="P65" s="2" cm="1">
        <f t="array" ref="P65">IF(P64=0,IF(VLOOKUP(P$25,mission!$D$64:$F$78,3,FALSE)&lt;=$F$5*60/$C$7*$C$6*5,INDEX(mission!$E$64:$E$78,MATCH(P$25,mission!$D$64:$D$78,0)),0))</f>
        <v>0</v>
      </c>
      <c r="Q65" s="2" cm="1">
        <f t="array" ref="Q65">IF(Q64=0,IF(VLOOKUP(Q$25,mission!$D$64:$F$78,3,FALSE)&lt;=$F$5*60/$C$7*$C$6*5,INDEX(mission!$E$64:$E$78,MATCH(Q$25,mission!$D$64:$D$78,0)),0))</f>
        <v>0</v>
      </c>
      <c r="R65" s="2" cm="1">
        <f t="array" ref="R65">IF(R64=0,IF(VLOOKUP(R$25,mission!$D$64:$F$78,3,FALSE)&lt;=$F$5*60/$C$7*$C$6*5,INDEX(mission!$E$64:$E$78,MATCH(R$25,mission!$D$64:$D$78,0)),0))</f>
        <v>0</v>
      </c>
      <c r="S65" s="2" t="b" cm="1">
        <f t="array" ref="S65">IF(S64=0,IF(VLOOKUP(S$25,mission!$D$64:$F$78,3,FALSE)&lt;=$F$5*60/$C$7*$C$6*$C$4*5,INDEX(mission!$E$64:$E$78,MATCH(S$25,mission!$D$64:$D$78,0)),0))</f>
        <v>0</v>
      </c>
      <c r="T65" s="2" cm="1">
        <f t="array" ref="T65">IF(T64=0,IF(VLOOKUP(T$25,mission!$D$64:$F$78,3,FALSE)&lt;=$F$5*60/$C$7*$C$6*$C$4*5,INDEX(mission!$E$64:$E$78,MATCH(T$25,mission!$D$64:$D$78,0)),0))</f>
        <v>0</v>
      </c>
      <c r="U65" s="2" cm="1">
        <f t="array" ref="U65">IF(U64=0,IF(VLOOKUP(U$25,mission!$D$64:$F$78,3,FALSE)&lt;=$F$5*60/$C$7*$C$6*$C$4*5,INDEX(mission!$E$64:$E$78,MATCH(U$25,mission!$D$64:$D$78,0)),0))</f>
        <v>0</v>
      </c>
      <c r="V65" s="2" cm="1">
        <f t="array" ref="V65">IF(V64=0,IF(VLOOKUP(V$25,mission!$D$64:$F$78,3,FALSE)&lt;=$F$5*60/$C$7*$C$6*$C$4*5,INDEX(mission!$E$64:$E$78,MATCH(V$25,mission!$D$64:$D$78,0)),0))</f>
        <v>0</v>
      </c>
      <c r="W65" s="2" cm="1">
        <f t="array" ref="W65">IF(W64=0,IF(VLOOKUP(W$25,mission!$D$64:$F$78,3,FALSE)&lt;=$F$5*60/$C$7*$C$6*$C$4*5,INDEX(mission!$E$64:$E$78,MATCH(W$25,mission!$D$64:$D$78,0)),0))</f>
        <v>0</v>
      </c>
      <c r="X65" s="2"/>
      <c r="Y65" s="2"/>
      <c r="Z65" s="2"/>
    </row>
    <row r="66" s="1" customFormat="1" ht="18" customHeight="1" spans="2:26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722</v>
      </c>
      <c r="G66" s="2">
        <f t="shared" si="2"/>
        <v>100</v>
      </c>
      <c r="H66" s="2">
        <f t="shared" si="3"/>
        <v>1200</v>
      </c>
      <c r="I66" s="2" t="b" cm="1">
        <f t="array" ref="I66">IF(I65=0,IF(VLOOKUP(I$25,mission!$D$64:$F$78,3,FALSE)&lt;=$F$5*60/$C$7*6,INDEX(mission!$E$64:$E$78,MATCH(I$25,mission!$D$64:$D$78,0)),0))</f>
        <v>0</v>
      </c>
      <c r="J66" s="2" cm="1">
        <f t="array" ref="J66">IF(J65=0,IF(VLOOKUP(J$25,mission!$D$64:$F$78,3,FALSE)&lt;=$F$5*60/$C$7*6,INDEX(mission!$E$64:$E$78,MATCH(J$25,mission!$D$64:$D$78,0)),0))</f>
        <v>25</v>
      </c>
      <c r="K66" s="2" cm="1">
        <f t="array" ref="K66">IF(K65=0,IF(VLOOKUP(K$25,mission!$D$64:$F$78,3,FALSE)&lt;=$F$5*60/$C$7*6,INDEX(mission!$E$64:$E$78,MATCH(K$25,mission!$D$64:$D$78,0)),0))</f>
        <v>0</v>
      </c>
      <c r="L66" s="2" cm="1">
        <f t="array" ref="L66">IF(L65=0,IF(VLOOKUP(L$25,mission!$D$64:$F$78,3,FALSE)&lt;=$F$5*60/$C$7*6,INDEX(mission!$E$64:$E$78,MATCH(L$25,mission!$D$64:$D$78,0)),0))</f>
        <v>0</v>
      </c>
      <c r="M66" s="2" cm="1">
        <f t="array" ref="M66">IF(M65=0,IF(VLOOKUP(M$25,mission!$D$64:$F$78,3,FALSE)&lt;=$F$5*60/$C$7*6,INDEX(mission!$E$64:$E$78,MATCH(M$25,mission!$D$64:$D$78,0)),0))</f>
        <v>0</v>
      </c>
      <c r="N66" s="2" t="b" cm="1">
        <f t="array" ref="N66">IF(N65=0,IF(VLOOKUP(N$25,mission!$D$64:$F$78,3,FALSE)&lt;=$F$5*60/$C$7*$C$6*6,INDEX(mission!$E$64:$E$78,MATCH(N$25,mission!$D$64:$D$78,0)),0))</f>
        <v>0</v>
      </c>
      <c r="O66" s="2" cm="1">
        <f t="array" ref="O66">IF(O65=0,IF(VLOOKUP(O$25,mission!$D$64:$F$78,3,FALSE)&lt;=$F$5*60/$C$7*$C$6*6,INDEX(mission!$E$64:$E$78,MATCH(O$25,mission!$D$64:$D$78,0)),0))</f>
        <v>25</v>
      </c>
      <c r="P66" s="2" cm="1">
        <f t="array" ref="P66">IF(P65=0,IF(VLOOKUP(P$25,mission!$D$64:$F$78,3,FALSE)&lt;=$F$5*60/$C$7*$C$6*6,INDEX(mission!$E$64:$E$78,MATCH(P$25,mission!$D$64:$D$78,0)),0))</f>
        <v>0</v>
      </c>
      <c r="Q66" s="2" cm="1">
        <f t="array" ref="Q66">IF(Q65=0,IF(VLOOKUP(Q$25,mission!$D$64:$F$78,3,FALSE)&lt;=$F$5*60/$C$7*$C$6*6,INDEX(mission!$E$64:$E$78,MATCH(Q$25,mission!$D$64:$D$78,0)),0))</f>
        <v>0</v>
      </c>
      <c r="R66" s="2" cm="1">
        <f t="array" ref="R66">IF(R65=0,IF(VLOOKUP(R$25,mission!$D$64:$F$78,3,FALSE)&lt;=$F$5*60/$C$7*$C$6*6,INDEX(mission!$E$64:$E$78,MATCH(R$25,mission!$D$64:$D$78,0)),0))</f>
        <v>0</v>
      </c>
      <c r="S66" s="2" t="b" cm="1">
        <f t="array" ref="S66">IF(S65=0,IF(VLOOKUP(S$25,mission!$D$64:$F$78,3,FALSE)&lt;=$F$5*60/$C$7*$C$6*$C$4*6,INDEX(mission!$E$64:$E$78,MATCH(S$25,mission!$D$64:$D$78,0)),0))</f>
        <v>0</v>
      </c>
      <c r="T66" s="2" cm="1">
        <f t="array" ref="T66">IF(T65=0,IF(VLOOKUP(T$25,mission!$D$64:$F$78,3,FALSE)&lt;=$F$5*60/$C$7*$C$6*$C$4*6,INDEX(mission!$E$64:$E$78,MATCH(T$25,mission!$D$64:$D$78,0)),0))</f>
        <v>50</v>
      </c>
      <c r="U66" s="2" cm="1">
        <f t="array" ref="U66">IF(U65=0,IF(VLOOKUP(U$25,mission!$D$64:$F$78,3,FALSE)&lt;=$F$5*60/$C$7*$C$6*$C$4*6,INDEX(mission!$E$64:$E$78,MATCH(U$25,mission!$D$64:$D$78,0)),0))</f>
        <v>0</v>
      </c>
      <c r="V66" s="2" cm="1">
        <f t="array" ref="V66">IF(V65=0,IF(VLOOKUP(V$25,mission!$D$64:$F$78,3,FALSE)&lt;=$F$5*60/$C$7*$C$6*$C$4*6,INDEX(mission!$E$64:$E$78,MATCH(V$25,mission!$D$64:$D$78,0)),0))</f>
        <v>0</v>
      </c>
      <c r="W66" s="2" cm="1">
        <f t="array" ref="W66">IF(W65=0,IF(VLOOKUP(W$25,mission!$D$64:$F$78,3,FALSE)&lt;=$F$5*60/$C$7*$C$6*$C$4*6,INDEX(mission!$E$64:$E$78,MATCH(W$25,mission!$D$64:$D$78,0)),0))</f>
        <v>0</v>
      </c>
      <c r="X66" s="2"/>
      <c r="Y66" s="2"/>
      <c r="Z66" s="2"/>
    </row>
    <row r="67" s="10" customFormat="1" ht="18" customHeight="1" spans="2:26">
      <c r="B67" s="10">
        <v>42</v>
      </c>
      <c r="C67" s="10">
        <f t="shared" si="0"/>
        <v>42000</v>
      </c>
      <c r="D67" s="10">
        <f>ROUND($C$8*$C$5+$C$8*$C$4*(1-$L$5),0)</f>
        <v>88</v>
      </c>
      <c r="E67" s="10">
        <f t="shared" si="1"/>
        <v>3696</v>
      </c>
      <c r="F67" s="10">
        <f>ROUND(E67*VLOOKUP($B$10,总产出!$T$4:$U$14,2,FALSE),0)</f>
        <v>739</v>
      </c>
      <c r="G67" s="10">
        <f t="shared" si="2"/>
        <v>0</v>
      </c>
      <c r="H67" s="10">
        <f t="shared" si="3"/>
        <v>1200</v>
      </c>
      <c r="I67" s="10" t="b" cm="1">
        <f t="array" ref="I67">IF(I66=0,IF(VLOOKUP(I$25,mission!$D$64:$F$78,3,FALSE)&lt;=$F$5*60/$C$7*7,INDEX(mission!$E$64:$E$78,MATCH(I$25,mission!$D$64:$D$78,0)),0))</f>
        <v>0</v>
      </c>
      <c r="J67" s="10" t="b" cm="1">
        <f t="array" ref="J67">IF(J66=0,IF(VLOOKUP(J$25,mission!$D$64:$F$78,3,FALSE)&lt;=$F$5*60/$C$7*7,INDEX(mission!$E$64:$E$78,MATCH(J$25,mission!$D$64:$D$78,0)),0))</f>
        <v>0</v>
      </c>
      <c r="K67" s="10" cm="1">
        <f t="array" ref="K67">IF(K66=0,IF(VLOOKUP(K$25,mission!$D$64:$F$78,3,FALSE)&lt;=$F$5*60/$C$7*7,INDEX(mission!$E$64:$E$78,MATCH(K$25,mission!$D$64:$D$78,0)),0))</f>
        <v>0</v>
      </c>
      <c r="L67" s="10" cm="1">
        <f t="array" ref="L67">IF(L66=0,IF(VLOOKUP(L$25,mission!$D$64:$F$78,3,FALSE)&lt;=$F$5*60/$C$7*7,INDEX(mission!$E$64:$E$78,MATCH(L$25,mission!$D$64:$D$78,0)),0))</f>
        <v>0</v>
      </c>
      <c r="M67" s="10" cm="1">
        <f t="array" ref="M67">IF(M66=0,IF(VLOOKUP(M$25,mission!$D$64:$F$78,3,FALSE)&lt;=$F$5*60/$C$7*7,INDEX(mission!$E$64:$E$78,MATCH(M$25,mission!$D$64:$D$78,0)),0))</f>
        <v>0</v>
      </c>
      <c r="N67" s="10" t="b" cm="1">
        <f t="array" ref="N67">IF(N66=0,IF(VLOOKUP(N$25,mission!$D$64:$F$78,3,FALSE)&lt;=$F$5*60/$C$7*$C$6*7,INDEX(mission!$E$64:$E$78,MATCH(N$25,mission!$D$64:$D$78,0)),0))</f>
        <v>0</v>
      </c>
      <c r="O67" s="10" t="b" cm="1">
        <f t="array" ref="O67">IF(O66=0,IF(VLOOKUP(O$25,mission!$D$64:$F$78,3,FALSE)&lt;=$F$5*60/$C$7*$C$6*7,INDEX(mission!$E$64:$E$78,MATCH(O$25,mission!$D$64:$D$78,0)),0))</f>
        <v>0</v>
      </c>
      <c r="P67" s="10" cm="1">
        <f t="array" ref="P67">IF(P66=0,IF(VLOOKUP(P$25,mission!$D$64:$F$78,3,FALSE)&lt;=$F$5*60/$C$7*$C$6*7,INDEX(mission!$E$64:$E$78,MATCH(P$25,mission!$D$64:$D$78,0)),0))</f>
        <v>0</v>
      </c>
      <c r="Q67" s="10" cm="1">
        <f t="array" ref="Q67">IF(Q66=0,IF(VLOOKUP(Q$25,mission!$D$64:$F$78,3,FALSE)&lt;=$F$5*60/$C$7*$C$6*7,INDEX(mission!$E$64:$E$78,MATCH(Q$25,mission!$D$64:$D$78,0)),0))</f>
        <v>0</v>
      </c>
      <c r="R67" s="10" cm="1">
        <f t="array" ref="R67">IF(R66=0,IF(VLOOKUP(R$25,mission!$D$64:$F$78,3,FALSE)&lt;=$F$5*60/$C$7*$C$6*7,INDEX(mission!$E$64:$E$78,MATCH(R$25,mission!$D$64:$D$78,0)),0))</f>
        <v>0</v>
      </c>
      <c r="S67" s="10" t="b" cm="1">
        <f t="array" ref="S67">IF(S66=0,IF(VLOOKUP(S$25,mission!$D$64:$F$78,3,FALSE)&lt;=$F$5*60/$C$7*$C$6*$C$4*7,INDEX(mission!$E$64:$E$78,MATCH(S$25,mission!$D$64:$D$78,0)),0))</f>
        <v>0</v>
      </c>
      <c r="T67" s="10" t="b" cm="1">
        <f t="array" ref="T67">IF(T66=0,IF(VLOOKUP(T$25,mission!$D$64:$F$78,3,FALSE)&lt;=$F$5*60/$C$7*$C$6*$C$4*7,INDEX(mission!$E$64:$E$78,MATCH(T$25,mission!$D$64:$D$78,0)),0))</f>
        <v>0</v>
      </c>
      <c r="U67" s="10" cm="1">
        <f t="array" ref="U67">IF(U66=0,IF(VLOOKUP(U$25,mission!$D$64:$F$78,3,FALSE)&lt;=$F$5*60/$C$7*$C$6*$C$4*7,INDEX(mission!$E$64:$E$78,MATCH(U$25,mission!$D$64:$D$78,0)),0))</f>
        <v>0</v>
      </c>
      <c r="V67" s="10" cm="1">
        <f t="array" ref="V67">IF(V66=0,IF(VLOOKUP(V$25,mission!$D$64:$F$78,3,FALSE)&lt;=$F$5*60/$C$7*$C$6*$C$4*7,INDEX(mission!$E$64:$E$78,MATCH(V$25,mission!$D$64:$D$78,0)),0))</f>
        <v>0</v>
      </c>
      <c r="W67" s="10" cm="1">
        <f t="array" ref="W67">IF(W66=0,IF(VLOOKUP(W$25,mission!$D$64:$F$78,3,FALSE)&lt;=$F$5*60/$C$7*$C$6*$C$4*7,INDEX(mission!$E$64:$E$78,MATCH(W$25,mission!$D$64:$D$78,0)),0))</f>
        <v>0</v>
      </c>
      <c r="X67" s="2"/>
      <c r="Y67" s="2"/>
      <c r="Z67" s="2"/>
    </row>
    <row r="68" s="1" customFormat="1" ht="18" customHeight="1" spans="2:26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757</v>
      </c>
      <c r="G68" s="2">
        <f t="shared" si="2"/>
        <v>0</v>
      </c>
      <c r="H68" s="2">
        <f t="shared" si="3"/>
        <v>1200</v>
      </c>
      <c r="I68" s="2" cm="1">
        <f t="array" ref="I68">IF(VLOOKUP(I$25,mission!$D$64:$F$78,3,FALSE)&lt;=$F$5*60/$C$7,INDEX(mission!$E$64:$E$78,MATCH(I$25,mission!$D$64:$D$78,0)),0)</f>
        <v>0</v>
      </c>
      <c r="J68" s="2" cm="1">
        <f t="array" ref="J68">IF(VLOOKUP(J$25,mission!$D$64:$F$78,3,FALSE)&lt;=$F$5*60/$C$7,INDEX(mission!$E$64:$E$78,MATCH(J$25,mission!$D$64:$D$78,0)),0)</f>
        <v>0</v>
      </c>
      <c r="K68" s="2" cm="1">
        <f t="array" ref="K68">IF(VLOOKUP(K$25,mission!$D$64:$F$78,3,FALSE)&lt;=$F$5*60/$C$7,INDEX(mission!$E$64:$E$78,MATCH(K$25,mission!$D$64:$D$78,0)),0)</f>
        <v>0</v>
      </c>
      <c r="L68" s="2" cm="1">
        <f t="array" ref="L68">IF(VLOOKUP(L$25,mission!$D$64:$F$78,3,FALSE)&lt;=$F$5*60/$C$7,INDEX(mission!$E$64:$E$78,MATCH(L$25,mission!$D$64:$D$78,0)),0)</f>
        <v>0</v>
      </c>
      <c r="M68" s="2" cm="1">
        <f t="array" ref="M68">IF(VLOOKUP(M$25,mission!$D$64:$F$78,3,FALSE)&lt;=$F$5*60/$C$7,INDEX(mission!$E$64:$E$78,MATCH(M$25,mission!$D$64:$D$78,0)),0)</f>
        <v>0</v>
      </c>
      <c r="N68" s="2" cm="1">
        <f t="array" ref="N68">IF(VLOOKUP(N$25,mission!$D$64:$F$78,3,FALSE)&lt;=$F$5*60/$C$7*$C$6,INDEX(mission!$E$64:$E$78,MATCH(N$25,mission!$D$64:$D$78,0)),0)</f>
        <v>0</v>
      </c>
      <c r="O68" s="2" cm="1">
        <f t="array" ref="O68">IF(VLOOKUP(O$25,mission!$D$64:$F$78,3,FALSE)&lt;=$F$5*60/$C$7*$C$6,INDEX(mission!$E$64:$E$78,MATCH(O$25,mission!$D$64:$D$78,0)),0)</f>
        <v>0</v>
      </c>
      <c r="P68" s="2" cm="1">
        <f t="array" ref="P68">IF(VLOOKUP(P$25,mission!$D$64:$F$78,3,FALSE)&lt;=$F$5*60/$C$7*$C$6,INDEX(mission!$E$64:$E$78,MATCH(P$25,mission!$D$64:$D$78,0)),0)</f>
        <v>0</v>
      </c>
      <c r="Q68" s="2" cm="1">
        <f t="array" ref="Q68">IF(VLOOKUP(Q$25,mission!$D$64:$F$78,3,FALSE)&lt;=$F$5*60/$C$7*$C$6,INDEX(mission!$E$64:$E$78,MATCH(Q$25,mission!$D$64:$D$78,0)),0)</f>
        <v>0</v>
      </c>
      <c r="R68" s="2" cm="1">
        <f t="array" ref="R68">IF(VLOOKUP(R$25,mission!$D$64:$F$78,3,FALSE)&lt;=$F$5*60/$C$7*$C$6,INDEX(mission!$E$64:$E$78,MATCH(R$25,mission!$D$64:$D$78,0)),0)</f>
        <v>0</v>
      </c>
      <c r="S68" s="2" cm="1">
        <f t="array" ref="S68">IF(VLOOKUP(S$25,mission!$D$64:$F$78,3,FALSE)&lt;=$F$5*60/$C$7*$C$6*$C$4,INDEX(mission!$E$64:$E$78,MATCH(S$25,mission!$D$64:$D$78,0)),0)</f>
        <v>0</v>
      </c>
      <c r="T68" s="2" cm="1">
        <f t="array" ref="T68">IF(VLOOKUP(T$25,mission!$D$64:$F$78,3,FALSE)&lt;=$F$5*60/$C$7*$C$6*$C$4,INDEX(mission!$E$64:$E$78,MATCH(T$25,mission!$D$64:$D$78,0)),0)</f>
        <v>0</v>
      </c>
      <c r="U68" s="2" cm="1">
        <f t="array" ref="U68">IF(VLOOKUP(U$25,mission!$D$64:$F$78,3,FALSE)&lt;=$F$5*60/$C$7*$C$6*$C$4,INDEX(mission!$E$64:$E$78,MATCH(U$25,mission!$D$64:$D$78,0)),0)</f>
        <v>0</v>
      </c>
      <c r="V68" s="2" cm="1">
        <f t="array" ref="V68">IF(VLOOKUP(V$25,mission!$D$64:$F$78,3,FALSE)&lt;=$F$5*60/$C$7*$C$6*$C$4,INDEX(mission!$E$64:$E$78,MATCH(V$25,mission!$D$64:$D$78,0)),0)</f>
        <v>0</v>
      </c>
      <c r="W68" s="2" cm="1">
        <f t="array" ref="W68">IF(VLOOKUP(W$25,mission!$D$64:$F$78,3,FALSE)&lt;=$F$5*60/$C$7*$C$6*$C$4,INDEX(mission!$E$64:$E$78,MATCH(W$25,mission!$D$64:$D$78,0)),0)</f>
        <v>0</v>
      </c>
      <c r="X68" s="2"/>
      <c r="Y68" s="2"/>
      <c r="Z68" s="2"/>
    </row>
    <row r="69" s="1" customFormat="1" ht="18" customHeight="1" spans="2:26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774</v>
      </c>
      <c r="G69" s="2">
        <f t="shared" si="2"/>
        <v>0</v>
      </c>
      <c r="H69" s="2">
        <f t="shared" si="3"/>
        <v>1200</v>
      </c>
      <c r="I69" s="2" cm="1">
        <f t="array" ref="I69">IF(I68=0,IF(VLOOKUP(I$25,mission!$D$64:$F$78,3,FALSE)&lt;=$F$5*60/$C$7*2,INDEX(mission!$E$64:$E$78,MATCH(I$25,mission!$D$64:$D$78,0)),0))</f>
        <v>0</v>
      </c>
      <c r="J69" s="2" cm="1">
        <f t="array" ref="J69">IF(J68=0,IF(VLOOKUP(J$25,mission!$D$64:$F$78,3,FALSE)&lt;=$F$5*60/$C$7*2,INDEX(mission!$E$64:$E$78,MATCH(J$25,mission!$D$64:$D$78,0)),0))</f>
        <v>0</v>
      </c>
      <c r="K69" s="2" cm="1">
        <f t="array" ref="K69">IF(K68=0,IF(VLOOKUP(K$25,mission!$D$64:$F$78,3,FALSE)&lt;=$F$5*60/$C$7*2,INDEX(mission!$E$64:$E$78,MATCH(K$25,mission!$D$64:$D$78,0)),0))</f>
        <v>0</v>
      </c>
      <c r="L69" s="2" cm="1">
        <f t="array" ref="L69">IF(L68=0,IF(VLOOKUP(L$25,mission!$D$64:$F$78,3,FALSE)&lt;=$F$5*60/$C$7*2,INDEX(mission!$E$64:$E$78,MATCH(L$25,mission!$D$64:$D$78,0)),0))</f>
        <v>0</v>
      </c>
      <c r="M69" s="2" cm="1">
        <f t="array" ref="M69">IF(M68=0,IF(VLOOKUP(M$25,mission!$D$64:$F$78,3,FALSE)&lt;=$F$5*60/$C$7*2,INDEX(mission!$E$64:$E$78,MATCH(M$25,mission!$D$64:$D$78,0)),0))</f>
        <v>0</v>
      </c>
      <c r="N69" s="2" cm="1">
        <f t="array" ref="N69">IF(N68=0,IF(VLOOKUP(N$25,mission!$D$64:$F$78,3,FALSE)&lt;=$F$5*60/$C$7*$C$6*2,INDEX(mission!$E$64:$E$78,MATCH(N$25,mission!$D$64:$D$78,0)),0))</f>
        <v>0</v>
      </c>
      <c r="O69" s="2" cm="1">
        <f t="array" ref="O69">IF(O68=0,IF(VLOOKUP(O$25,mission!$D$64:$F$78,3,FALSE)&lt;=$F$5*60/$C$7*$C$6*2,INDEX(mission!$E$64:$E$78,MATCH(O$25,mission!$D$64:$D$78,0)),0))</f>
        <v>0</v>
      </c>
      <c r="P69" s="2" cm="1">
        <f t="array" ref="P69">IF(P68=0,IF(VLOOKUP(P$25,mission!$D$64:$F$78,3,FALSE)&lt;=$F$5*60/$C$7*$C$6*2,INDEX(mission!$E$64:$E$78,MATCH(P$25,mission!$D$64:$D$78,0)),0))</f>
        <v>0</v>
      </c>
      <c r="Q69" s="2" cm="1">
        <f t="array" ref="Q69">IF(Q68=0,IF(VLOOKUP(Q$25,mission!$D$64:$F$78,3,FALSE)&lt;=$F$5*60/$C$7*$C$6*2,INDEX(mission!$E$64:$E$78,MATCH(Q$25,mission!$D$64:$D$78,0)),0))</f>
        <v>0</v>
      </c>
      <c r="R69" s="2" cm="1">
        <f t="array" ref="R69">IF(R68=0,IF(VLOOKUP(R$25,mission!$D$64:$F$78,3,FALSE)&lt;=$F$5*60/$C$7*$C$6*2,INDEX(mission!$E$64:$E$78,MATCH(R$25,mission!$D$64:$D$78,0)),0))</f>
        <v>0</v>
      </c>
      <c r="S69" s="2" cm="1">
        <f t="array" ref="S69">IF(S68=0,IF(VLOOKUP(S$25,mission!$D$64:$F$78,3,FALSE)&lt;=$F$5*60/$C$7*$C$6*$C$4*2,INDEX(mission!$E$64:$E$78,MATCH(S$25,mission!$D$64:$D$78,0)),0))</f>
        <v>0</v>
      </c>
      <c r="T69" s="2" cm="1">
        <f t="array" ref="T69">IF(T68=0,IF(VLOOKUP(T$25,mission!$D$64:$F$78,3,FALSE)&lt;=$F$5*60/$C$7*$C$6*$C$4*2,INDEX(mission!$E$64:$E$78,MATCH(T$25,mission!$D$64:$D$78,0)),0))</f>
        <v>0</v>
      </c>
      <c r="U69" s="2" cm="1">
        <f t="array" ref="U69">IF(U68=0,IF(VLOOKUP(U$25,mission!$D$64:$F$78,3,FALSE)&lt;=$F$5*60/$C$7*$C$6*$C$4*2,INDEX(mission!$E$64:$E$78,MATCH(U$25,mission!$D$64:$D$78,0)),0))</f>
        <v>0</v>
      </c>
      <c r="V69" s="2" cm="1">
        <f t="array" ref="V69">IF(V68=0,IF(VLOOKUP(V$25,mission!$D$64:$F$78,3,FALSE)&lt;=$F$5*60/$C$7*$C$6*$C$4*2,INDEX(mission!$E$64:$E$78,MATCH(V$25,mission!$D$64:$D$78,0)),0))</f>
        <v>0</v>
      </c>
      <c r="W69" s="2" cm="1">
        <f t="array" ref="W69">IF(W68=0,IF(VLOOKUP(W$25,mission!$D$64:$F$78,3,FALSE)&lt;=$F$5*60/$C$7*$C$6*$C$4*2,INDEX(mission!$E$64:$E$78,MATCH(W$25,mission!$D$64:$D$78,0)),0))</f>
        <v>0</v>
      </c>
      <c r="X69" s="2"/>
      <c r="Y69" s="2"/>
      <c r="Z69" s="2"/>
    </row>
    <row r="70" s="1" customFormat="1" ht="18" customHeight="1" spans="2:26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792</v>
      </c>
      <c r="G70" s="2">
        <f t="shared" si="2"/>
        <v>100</v>
      </c>
      <c r="H70" s="2">
        <f t="shared" si="3"/>
        <v>1300</v>
      </c>
      <c r="I70" s="2" cm="1">
        <f t="array" ref="I70">IF(I69=0,IF(VLOOKUP(I$25,mission!$D$64:$F$78,3,FALSE)&lt;=$F$5*60/$C$7*3,INDEX(mission!$E$64:$E$78,MATCH(I$25,mission!$D$64:$D$78,0)),0))</f>
        <v>25</v>
      </c>
      <c r="J70" s="2" cm="1">
        <f t="array" ref="J70">IF(J69=0,IF(VLOOKUP(J$25,mission!$D$64:$F$78,3,FALSE)&lt;=$F$5*60/$C$7*3,INDEX(mission!$E$64:$E$78,MATCH(J$25,mission!$D$64:$D$78,0)),0))</f>
        <v>0</v>
      </c>
      <c r="K70" s="2" cm="1">
        <f t="array" ref="K70">IF(K69=0,IF(VLOOKUP(K$25,mission!$D$64:$F$78,3,FALSE)&lt;=$F$5*60/$C$7*3,INDEX(mission!$E$64:$E$78,MATCH(K$25,mission!$D$64:$D$78,0)),0))</f>
        <v>0</v>
      </c>
      <c r="L70" s="2" cm="1">
        <f t="array" ref="L70">IF(L69=0,IF(VLOOKUP(L$25,mission!$D$64:$F$78,3,FALSE)&lt;=$F$5*60/$C$7*3,INDEX(mission!$E$64:$E$78,MATCH(L$25,mission!$D$64:$D$78,0)),0))</f>
        <v>0</v>
      </c>
      <c r="M70" s="2" cm="1">
        <f t="array" ref="M70">IF(M69=0,IF(VLOOKUP(M$25,mission!$D$64:$F$78,3,FALSE)&lt;=$F$5*60/$C$7*3,INDEX(mission!$E$64:$E$78,MATCH(M$25,mission!$D$64:$D$78,0)),0))</f>
        <v>0</v>
      </c>
      <c r="N70" s="2" cm="1">
        <f t="array" ref="N70">IF(N69=0,IF(VLOOKUP(N$25,mission!$D$64:$F$78,3,FALSE)&lt;=$F$5*60/$C$7*$C$6*3,INDEX(mission!$E$64:$E$78,MATCH(N$25,mission!$D$64:$D$78,0)),0))</f>
        <v>25</v>
      </c>
      <c r="O70" s="2" cm="1">
        <f t="array" ref="O70">IF(O69=0,IF(VLOOKUP(O$25,mission!$D$64:$F$78,3,FALSE)&lt;=$F$5*60/$C$7*$C$6*3,INDEX(mission!$E$64:$E$78,MATCH(O$25,mission!$D$64:$D$78,0)),0))</f>
        <v>0</v>
      </c>
      <c r="P70" s="2" cm="1">
        <f t="array" ref="P70">IF(P69=0,IF(VLOOKUP(P$25,mission!$D$64:$F$78,3,FALSE)&lt;=$F$5*60/$C$7*$C$6*3,INDEX(mission!$E$64:$E$78,MATCH(P$25,mission!$D$64:$D$78,0)),0))</f>
        <v>0</v>
      </c>
      <c r="Q70" s="2" cm="1">
        <f t="array" ref="Q70">IF(Q69=0,IF(VLOOKUP(Q$25,mission!$D$64:$F$78,3,FALSE)&lt;=$F$5*60/$C$7*$C$6*3,INDEX(mission!$E$64:$E$78,MATCH(Q$25,mission!$D$64:$D$78,0)),0))</f>
        <v>0</v>
      </c>
      <c r="R70" s="2" cm="1">
        <f t="array" ref="R70">IF(R69=0,IF(VLOOKUP(R$25,mission!$D$64:$F$78,3,FALSE)&lt;=$F$5*60/$C$7*$C$6*3,INDEX(mission!$E$64:$E$78,MATCH(R$25,mission!$D$64:$D$78,0)),0))</f>
        <v>0</v>
      </c>
      <c r="S70" s="2" cm="1">
        <f t="array" ref="S70">IF(S69=0,IF(VLOOKUP(S$25,mission!$D$64:$F$78,3,FALSE)&lt;=$F$5*60/$C$7*$C$6*$C$4*3,INDEX(mission!$E$64:$E$78,MATCH(S$25,mission!$D$64:$D$78,0)),0))</f>
        <v>50</v>
      </c>
      <c r="T70" s="2" cm="1">
        <f t="array" ref="T70">IF(T69=0,IF(VLOOKUP(T$25,mission!$D$64:$F$78,3,FALSE)&lt;=$F$5*60/$C$7*$C$6*$C$4*3,INDEX(mission!$E$64:$E$78,MATCH(T$25,mission!$D$64:$D$78,0)),0))</f>
        <v>0</v>
      </c>
      <c r="U70" s="2" cm="1">
        <f t="array" ref="U70">IF(U69=0,IF(VLOOKUP(U$25,mission!$D$64:$F$78,3,FALSE)&lt;=$F$5*60/$C$7*$C$6*$C$4*3,INDEX(mission!$E$64:$E$78,MATCH(U$25,mission!$D$64:$D$78,0)),0))</f>
        <v>0</v>
      </c>
      <c r="V70" s="2" cm="1">
        <f t="array" ref="V70">IF(V69=0,IF(VLOOKUP(V$25,mission!$D$64:$F$78,3,FALSE)&lt;=$F$5*60/$C$7*$C$6*$C$4*3,INDEX(mission!$E$64:$E$78,MATCH(V$25,mission!$D$64:$D$78,0)),0))</f>
        <v>0</v>
      </c>
      <c r="W70" s="2" cm="1">
        <f t="array" ref="W70">IF(W69=0,IF(VLOOKUP(W$25,mission!$D$64:$F$78,3,FALSE)&lt;=$F$5*60/$C$7*$C$6*$C$4*3,INDEX(mission!$E$64:$E$78,MATCH(W$25,mission!$D$64:$D$78,0)),0))</f>
        <v>0</v>
      </c>
      <c r="X70" s="2"/>
      <c r="Y70" s="2"/>
      <c r="Z70" s="2"/>
    </row>
    <row r="71" s="1" customFormat="1" ht="18" customHeight="1" spans="2:26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810</v>
      </c>
      <c r="G71" s="2">
        <f t="shared" si="2"/>
        <v>0</v>
      </c>
      <c r="H71" s="2">
        <f t="shared" si="3"/>
        <v>1300</v>
      </c>
      <c r="I71" s="2" t="b" cm="1">
        <f t="array" ref="I71">IF(I70=0,IF(VLOOKUP(I$25,mission!$D$64:$F$78,3,FALSE)&lt;=$F$5*60/$C$7*4,INDEX(mission!$E$64:$E$78,MATCH(I$25,mission!$D$64:$D$78,0)),0))</f>
        <v>0</v>
      </c>
      <c r="J71" s="2" cm="1">
        <f t="array" ref="J71">IF(J70=0,IF(VLOOKUP(J$25,mission!$D$64:$F$78,3,FALSE)&lt;=$F$5*60/$C$7*4,INDEX(mission!$E$64:$E$78,MATCH(J$25,mission!$D$64:$D$78,0)),0))</f>
        <v>0</v>
      </c>
      <c r="K71" s="2" cm="1">
        <f t="array" ref="K71">IF(K70=0,IF(VLOOKUP(K$25,mission!$D$64:$F$78,3,FALSE)&lt;=$F$5*60/$C$7*4,INDEX(mission!$E$64:$E$78,MATCH(K$25,mission!$D$64:$D$78,0)),0))</f>
        <v>0</v>
      </c>
      <c r="L71" s="2" cm="1">
        <f t="array" ref="L71">IF(L70=0,IF(VLOOKUP(L$25,mission!$D$64:$F$78,3,FALSE)&lt;=$F$5*60/$C$7*4,INDEX(mission!$E$64:$E$78,MATCH(L$25,mission!$D$64:$D$78,0)),0))</f>
        <v>0</v>
      </c>
      <c r="M71" s="2" cm="1">
        <f t="array" ref="M71">IF(M70=0,IF(VLOOKUP(M$25,mission!$D$64:$F$78,3,FALSE)&lt;=$F$5*60/$C$7*4,INDEX(mission!$E$64:$E$78,MATCH(M$25,mission!$D$64:$D$78,0)),0))</f>
        <v>0</v>
      </c>
      <c r="N71" s="2" t="b" cm="1">
        <f t="array" ref="N71">IF(N70=0,IF(VLOOKUP(N$25,mission!$D$64:$F$78,3,FALSE)&lt;=$F$5*60/$C$7*$C$6*4,INDEX(mission!$E$64:$E$78,MATCH(N$25,mission!$D$64:$D$78,0)),0))</f>
        <v>0</v>
      </c>
      <c r="O71" s="2" cm="1">
        <f t="array" ref="O71">IF(O70=0,IF(VLOOKUP(O$25,mission!$D$64:$F$78,3,FALSE)&lt;=$F$5*60/$C$7*$C$6*4,INDEX(mission!$E$64:$E$78,MATCH(O$25,mission!$D$64:$D$78,0)),0))</f>
        <v>0</v>
      </c>
      <c r="P71" s="2" cm="1">
        <f t="array" ref="P71">IF(P70=0,IF(VLOOKUP(P$25,mission!$D$64:$F$78,3,FALSE)&lt;=$F$5*60/$C$7*$C$6*4,INDEX(mission!$E$64:$E$78,MATCH(P$25,mission!$D$64:$D$78,0)),0))</f>
        <v>0</v>
      </c>
      <c r="Q71" s="2" cm="1">
        <f t="array" ref="Q71">IF(Q70=0,IF(VLOOKUP(Q$25,mission!$D$64:$F$78,3,FALSE)&lt;=$F$5*60/$C$7*$C$6*4,INDEX(mission!$E$64:$E$78,MATCH(Q$25,mission!$D$64:$D$78,0)),0))</f>
        <v>0</v>
      </c>
      <c r="R71" s="2" cm="1">
        <f t="array" ref="R71">IF(R70=0,IF(VLOOKUP(R$25,mission!$D$64:$F$78,3,FALSE)&lt;=$F$5*60/$C$7*$C$6*4,INDEX(mission!$E$64:$E$78,MATCH(R$25,mission!$D$64:$D$78,0)),0))</f>
        <v>0</v>
      </c>
      <c r="S71" s="2" t="b" cm="1">
        <f t="array" ref="S71">IF(S70=0,IF(VLOOKUP(S$25,mission!$D$64:$F$78,3,FALSE)&lt;=$F$5*60/$C$7*$C$6*$C$4*4,INDEX(mission!$E$64:$E$78,MATCH(S$25,mission!$D$64:$D$78,0)),0))</f>
        <v>0</v>
      </c>
      <c r="T71" s="2" cm="1">
        <f t="array" ref="T71">IF(T70=0,IF(VLOOKUP(T$25,mission!$D$64:$F$78,3,FALSE)&lt;=$F$5*60/$C$7*$C$6*$C$4*4,INDEX(mission!$E$64:$E$78,MATCH(T$25,mission!$D$64:$D$78,0)),0))</f>
        <v>0</v>
      </c>
      <c r="U71" s="2" cm="1">
        <f t="array" ref="U71">IF(U70=0,IF(VLOOKUP(U$25,mission!$D$64:$F$78,3,FALSE)&lt;=$F$5*60/$C$7*$C$6*$C$4*4,INDEX(mission!$E$64:$E$78,MATCH(U$25,mission!$D$64:$D$78,0)),0))</f>
        <v>0</v>
      </c>
      <c r="V71" s="2" cm="1">
        <f t="array" ref="V71">IF(V70=0,IF(VLOOKUP(V$25,mission!$D$64:$F$78,3,FALSE)&lt;=$F$5*60/$C$7*$C$6*$C$4*4,INDEX(mission!$E$64:$E$78,MATCH(V$25,mission!$D$64:$D$78,0)),0))</f>
        <v>0</v>
      </c>
      <c r="W71" s="2" cm="1">
        <f t="array" ref="W71">IF(W70=0,IF(VLOOKUP(W$25,mission!$D$64:$F$78,3,FALSE)&lt;=$F$5*60/$C$7*$C$6*$C$4*4,INDEX(mission!$E$64:$E$78,MATCH(W$25,mission!$D$64:$D$78,0)),0))</f>
        <v>0</v>
      </c>
      <c r="X71" s="2"/>
      <c r="Y71" s="2"/>
      <c r="Z71" s="2"/>
    </row>
    <row r="72" s="1" customFormat="1" ht="18" customHeight="1" spans="2:26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827</v>
      </c>
      <c r="G72" s="2">
        <f t="shared" si="2"/>
        <v>0</v>
      </c>
      <c r="H72" s="2">
        <f t="shared" si="3"/>
        <v>1300</v>
      </c>
      <c r="I72" s="2" t="b" cm="1">
        <f t="array" ref="I72">IF(I71=0,IF(VLOOKUP(I$25,mission!$D$64:$F$78,3,FALSE)&lt;=$F$5*60/$C$7*5,INDEX(mission!$E$64:$E$78,MATCH(I$25,mission!$D$64:$D$78,0)),0))</f>
        <v>0</v>
      </c>
      <c r="J72" s="2" cm="1">
        <f t="array" ref="J72">IF(J71=0,IF(VLOOKUP(J$25,mission!$D$64:$F$78,3,FALSE)&lt;=$F$5*60/$C$7*5,INDEX(mission!$E$64:$E$78,MATCH(J$25,mission!$D$64:$D$78,0)),0))</f>
        <v>0</v>
      </c>
      <c r="K72" s="2" cm="1">
        <f t="array" ref="K72">IF(K71=0,IF(VLOOKUP(K$25,mission!$D$64:$F$78,3,FALSE)&lt;=$F$5*60/$C$7*5,INDEX(mission!$E$64:$E$78,MATCH(K$25,mission!$D$64:$D$78,0)),0))</f>
        <v>0</v>
      </c>
      <c r="L72" s="2" cm="1">
        <f t="array" ref="L72">IF(L71=0,IF(VLOOKUP(L$25,mission!$D$64:$F$78,3,FALSE)&lt;=$F$5*60/$C$7*5,INDEX(mission!$E$64:$E$78,MATCH(L$25,mission!$D$64:$D$78,0)),0))</f>
        <v>0</v>
      </c>
      <c r="M72" s="2" cm="1">
        <f t="array" ref="M72">IF(M71=0,IF(VLOOKUP(M$25,mission!$D$64:$F$78,3,FALSE)&lt;=$F$5*60/$C$7*5,INDEX(mission!$E$64:$E$78,MATCH(M$25,mission!$D$64:$D$78,0)),0))</f>
        <v>0</v>
      </c>
      <c r="N72" s="2" t="b" cm="1">
        <f t="array" ref="N72">IF(N71=0,IF(VLOOKUP(N$25,mission!$D$64:$F$78,3,FALSE)&lt;=$F$5*60/$C$7*$C$6*5,INDEX(mission!$E$64:$E$78,MATCH(N$25,mission!$D$64:$D$78,0)),0))</f>
        <v>0</v>
      </c>
      <c r="O72" s="2" cm="1">
        <f t="array" ref="O72">IF(O71=0,IF(VLOOKUP(O$25,mission!$D$64:$F$78,3,FALSE)&lt;=$F$5*60/$C$7*$C$6*5,INDEX(mission!$E$64:$E$78,MATCH(O$25,mission!$D$64:$D$78,0)),0))</f>
        <v>0</v>
      </c>
      <c r="P72" s="2" cm="1">
        <f t="array" ref="P72">IF(P71=0,IF(VLOOKUP(P$25,mission!$D$64:$F$78,3,FALSE)&lt;=$F$5*60/$C$7*$C$6*5,INDEX(mission!$E$64:$E$78,MATCH(P$25,mission!$D$64:$D$78,0)),0))</f>
        <v>0</v>
      </c>
      <c r="Q72" s="2" cm="1">
        <f t="array" ref="Q72">IF(Q71=0,IF(VLOOKUP(Q$25,mission!$D$64:$F$78,3,FALSE)&lt;=$F$5*60/$C$7*$C$6*5,INDEX(mission!$E$64:$E$78,MATCH(Q$25,mission!$D$64:$D$78,0)),0))</f>
        <v>0</v>
      </c>
      <c r="R72" s="2" cm="1">
        <f t="array" ref="R72">IF(R71=0,IF(VLOOKUP(R$25,mission!$D$64:$F$78,3,FALSE)&lt;=$F$5*60/$C$7*$C$6*5,INDEX(mission!$E$64:$E$78,MATCH(R$25,mission!$D$64:$D$78,0)),0))</f>
        <v>0</v>
      </c>
      <c r="S72" s="2" t="b" cm="1">
        <f t="array" ref="S72">IF(S71=0,IF(VLOOKUP(S$25,mission!$D$64:$F$78,3,FALSE)&lt;=$F$5*60/$C$7*$C$6*$C$4*5,INDEX(mission!$E$64:$E$78,MATCH(S$25,mission!$D$64:$D$78,0)),0))</f>
        <v>0</v>
      </c>
      <c r="T72" s="2" cm="1">
        <f t="array" ref="T72">IF(T71=0,IF(VLOOKUP(T$25,mission!$D$64:$F$78,3,FALSE)&lt;=$F$5*60/$C$7*$C$6*$C$4*5,INDEX(mission!$E$64:$E$78,MATCH(T$25,mission!$D$64:$D$78,0)),0))</f>
        <v>0</v>
      </c>
      <c r="U72" s="2" cm="1">
        <f t="array" ref="U72">IF(U71=0,IF(VLOOKUP(U$25,mission!$D$64:$F$78,3,FALSE)&lt;=$F$5*60/$C$7*$C$6*$C$4*5,INDEX(mission!$E$64:$E$78,MATCH(U$25,mission!$D$64:$D$78,0)),0))</f>
        <v>0</v>
      </c>
      <c r="V72" s="2" cm="1">
        <f t="array" ref="V72">IF(V71=0,IF(VLOOKUP(V$25,mission!$D$64:$F$78,3,FALSE)&lt;=$F$5*60/$C$7*$C$6*$C$4*5,INDEX(mission!$E$64:$E$78,MATCH(V$25,mission!$D$64:$D$78,0)),0))</f>
        <v>0</v>
      </c>
      <c r="W72" s="2" cm="1">
        <f t="array" ref="W72">IF(W71=0,IF(VLOOKUP(W$25,mission!$D$64:$F$78,3,FALSE)&lt;=$F$5*60/$C$7*$C$6*$C$4*5,INDEX(mission!$E$64:$E$78,MATCH(W$25,mission!$D$64:$D$78,0)),0))</f>
        <v>0</v>
      </c>
      <c r="X72" s="2"/>
      <c r="Y72" s="2"/>
      <c r="Z72" s="2"/>
    </row>
    <row r="73" s="1" customFormat="1" ht="18" customHeight="1" spans="2:26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845</v>
      </c>
      <c r="G73" s="2">
        <f t="shared" si="2"/>
        <v>100</v>
      </c>
      <c r="H73" s="2">
        <f t="shared" si="3"/>
        <v>1400</v>
      </c>
      <c r="I73" s="2" t="b" cm="1">
        <f t="array" ref="I73">IF(I72=0,IF(VLOOKUP(I$25,mission!$D$64:$F$78,3,FALSE)&lt;=$F$5*60/$C$7*6,INDEX(mission!$E$64:$E$78,MATCH(I$25,mission!$D$64:$D$78,0)),0))</f>
        <v>0</v>
      </c>
      <c r="J73" s="2" cm="1">
        <f t="array" ref="J73">IF(J72=0,IF(VLOOKUP(J$25,mission!$D$64:$F$78,3,FALSE)&lt;=$F$5*60/$C$7*6,INDEX(mission!$E$64:$E$78,MATCH(J$25,mission!$D$64:$D$78,0)),0))</f>
        <v>25</v>
      </c>
      <c r="K73" s="2" cm="1">
        <f t="array" ref="K73">IF(K72=0,IF(VLOOKUP(K$25,mission!$D$64:$F$78,3,FALSE)&lt;=$F$5*60/$C$7*6,INDEX(mission!$E$64:$E$78,MATCH(K$25,mission!$D$64:$D$78,0)),0))</f>
        <v>0</v>
      </c>
      <c r="L73" s="2" cm="1">
        <f t="array" ref="L73">IF(L72=0,IF(VLOOKUP(L$25,mission!$D$64:$F$78,3,FALSE)&lt;=$F$5*60/$C$7*6,INDEX(mission!$E$64:$E$78,MATCH(L$25,mission!$D$64:$D$78,0)),0))</f>
        <v>0</v>
      </c>
      <c r="M73" s="2" cm="1">
        <f t="array" ref="M73">IF(M72=0,IF(VLOOKUP(M$25,mission!$D$64:$F$78,3,FALSE)&lt;=$F$5*60/$C$7*6,INDEX(mission!$E$64:$E$78,MATCH(M$25,mission!$D$64:$D$78,0)),0))</f>
        <v>0</v>
      </c>
      <c r="N73" s="2" t="b" cm="1">
        <f t="array" ref="N73">IF(N72=0,IF(VLOOKUP(N$25,mission!$D$64:$F$78,3,FALSE)&lt;=$F$5*60/$C$7*$C$6*6,INDEX(mission!$E$64:$E$78,MATCH(N$25,mission!$D$64:$D$78,0)),0))</f>
        <v>0</v>
      </c>
      <c r="O73" s="2" cm="1">
        <f t="array" ref="O73">IF(O72=0,IF(VLOOKUP(O$25,mission!$D$64:$F$78,3,FALSE)&lt;=$F$5*60/$C$7*$C$6*6,INDEX(mission!$E$64:$E$78,MATCH(O$25,mission!$D$64:$D$78,0)),0))</f>
        <v>25</v>
      </c>
      <c r="P73" s="2" cm="1">
        <f t="array" ref="P73">IF(P72=0,IF(VLOOKUP(P$25,mission!$D$64:$F$78,3,FALSE)&lt;=$F$5*60/$C$7*$C$6*6,INDEX(mission!$E$64:$E$78,MATCH(P$25,mission!$D$64:$D$78,0)),0))</f>
        <v>0</v>
      </c>
      <c r="Q73" s="2" cm="1">
        <f t="array" ref="Q73">IF(Q72=0,IF(VLOOKUP(Q$25,mission!$D$64:$F$78,3,FALSE)&lt;=$F$5*60/$C$7*$C$6*6,INDEX(mission!$E$64:$E$78,MATCH(Q$25,mission!$D$64:$D$78,0)),0))</f>
        <v>0</v>
      </c>
      <c r="R73" s="2" cm="1">
        <f t="array" ref="R73">IF(R72=0,IF(VLOOKUP(R$25,mission!$D$64:$F$78,3,FALSE)&lt;=$F$5*60/$C$7*$C$6*6,INDEX(mission!$E$64:$E$78,MATCH(R$25,mission!$D$64:$D$78,0)),0))</f>
        <v>0</v>
      </c>
      <c r="S73" s="2" t="b" cm="1">
        <f t="array" ref="S73">IF(S72=0,IF(VLOOKUP(S$25,mission!$D$64:$F$78,3,FALSE)&lt;=$F$5*60/$C$7*$C$6*$C$4*6,INDEX(mission!$E$64:$E$78,MATCH(S$25,mission!$D$64:$D$78,0)),0))</f>
        <v>0</v>
      </c>
      <c r="T73" s="2" cm="1">
        <f t="array" ref="T73">IF(T72=0,IF(VLOOKUP(T$25,mission!$D$64:$F$78,3,FALSE)&lt;=$F$5*60/$C$7*$C$6*$C$4*6,INDEX(mission!$E$64:$E$78,MATCH(T$25,mission!$D$64:$D$78,0)),0))</f>
        <v>50</v>
      </c>
      <c r="U73" s="2" cm="1">
        <f t="array" ref="U73">IF(U72=0,IF(VLOOKUP(U$25,mission!$D$64:$F$78,3,FALSE)&lt;=$F$5*60/$C$7*$C$6*$C$4*6,INDEX(mission!$E$64:$E$78,MATCH(U$25,mission!$D$64:$D$78,0)),0))</f>
        <v>0</v>
      </c>
      <c r="V73" s="2" cm="1">
        <f t="array" ref="V73">IF(V72=0,IF(VLOOKUP(V$25,mission!$D$64:$F$78,3,FALSE)&lt;=$F$5*60/$C$7*$C$6*$C$4*6,INDEX(mission!$E$64:$E$78,MATCH(V$25,mission!$D$64:$D$78,0)),0))</f>
        <v>0</v>
      </c>
      <c r="W73" s="2" cm="1">
        <f t="array" ref="W73">IF(W72=0,IF(VLOOKUP(W$25,mission!$D$64:$F$78,3,FALSE)&lt;=$F$5*60/$C$7*$C$6*$C$4*6,INDEX(mission!$E$64:$E$78,MATCH(W$25,mission!$D$64:$D$78,0)),0))</f>
        <v>0</v>
      </c>
      <c r="X73" s="2"/>
      <c r="Y73" s="2"/>
      <c r="Z73" s="2"/>
    </row>
    <row r="74" s="10" customFormat="1" ht="18" customHeight="1" spans="2:26">
      <c r="B74" s="10">
        <v>49</v>
      </c>
      <c r="C74" s="10">
        <f t="shared" si="0"/>
        <v>49000</v>
      </c>
      <c r="D74" s="10">
        <f>ROUND($C$8*$C$5+$C$8*$C$4*(1-$L$5),0)</f>
        <v>88</v>
      </c>
      <c r="E74" s="10">
        <f t="shared" si="1"/>
        <v>4312</v>
      </c>
      <c r="F74" s="10">
        <f>ROUND(E74*VLOOKUP($B$10,总产出!$T$4:$U$14,2,FALSE),0)</f>
        <v>862</v>
      </c>
      <c r="G74" s="10">
        <f t="shared" si="2"/>
        <v>0</v>
      </c>
      <c r="H74" s="10">
        <f t="shared" si="3"/>
        <v>1400</v>
      </c>
      <c r="I74" s="10" t="b" cm="1">
        <f t="array" ref="I74">IF(I73=0,IF(VLOOKUP(I$25,mission!$D$64:$F$78,3,FALSE)&lt;=$F$5*60/$C$7*7,INDEX(mission!$E$64:$E$78,MATCH(I$25,mission!$D$64:$D$78,0)),0))</f>
        <v>0</v>
      </c>
      <c r="J74" s="10" t="b" cm="1">
        <f t="array" ref="J74">IF(J73=0,IF(VLOOKUP(J$25,mission!$D$64:$F$78,3,FALSE)&lt;=$F$5*60/$C$7*7,INDEX(mission!$E$64:$E$78,MATCH(J$25,mission!$D$64:$D$78,0)),0))</f>
        <v>0</v>
      </c>
      <c r="K74" s="10" cm="1">
        <f t="array" ref="K74">IF(K73=0,IF(VLOOKUP(K$25,mission!$D$64:$F$78,3,FALSE)&lt;=$F$5*60/$C$7*7,INDEX(mission!$E$64:$E$78,MATCH(K$25,mission!$D$64:$D$78,0)),0))</f>
        <v>0</v>
      </c>
      <c r="L74" s="10" cm="1">
        <f t="array" ref="L74">IF(L73=0,IF(VLOOKUP(L$25,mission!$D$64:$F$78,3,FALSE)&lt;=$F$5*60/$C$7*7,INDEX(mission!$E$64:$E$78,MATCH(L$25,mission!$D$64:$D$78,0)),0))</f>
        <v>0</v>
      </c>
      <c r="M74" s="10" cm="1">
        <f t="array" ref="M74">IF(M73=0,IF(VLOOKUP(M$25,mission!$D$64:$F$78,3,FALSE)&lt;=$F$5*60/$C$7*7,INDEX(mission!$E$64:$E$78,MATCH(M$25,mission!$D$64:$D$78,0)),0))</f>
        <v>0</v>
      </c>
      <c r="N74" s="10" t="b" cm="1">
        <f t="array" ref="N74">IF(N73=0,IF(VLOOKUP(N$25,mission!$D$64:$F$78,3,FALSE)&lt;=$F$5*60/$C$7*$C$6*7,INDEX(mission!$E$64:$E$78,MATCH(N$25,mission!$D$64:$D$78,0)),0))</f>
        <v>0</v>
      </c>
      <c r="O74" s="10" t="b" cm="1">
        <f t="array" ref="O74">IF(O73=0,IF(VLOOKUP(O$25,mission!$D$64:$F$78,3,FALSE)&lt;=$F$5*60/$C$7*$C$6*7,INDEX(mission!$E$64:$E$78,MATCH(O$25,mission!$D$64:$D$78,0)),0))</f>
        <v>0</v>
      </c>
      <c r="P74" s="10" cm="1">
        <f t="array" ref="P74">IF(P73=0,IF(VLOOKUP(P$25,mission!$D$64:$F$78,3,FALSE)&lt;=$F$5*60/$C$7*$C$6*7,INDEX(mission!$E$64:$E$78,MATCH(P$25,mission!$D$64:$D$78,0)),0))</f>
        <v>0</v>
      </c>
      <c r="Q74" s="10" cm="1">
        <f t="array" ref="Q74">IF(Q73=0,IF(VLOOKUP(Q$25,mission!$D$64:$F$78,3,FALSE)&lt;=$F$5*60/$C$7*$C$6*7,INDEX(mission!$E$64:$E$78,MATCH(Q$25,mission!$D$64:$D$78,0)),0))</f>
        <v>0</v>
      </c>
      <c r="R74" s="10" cm="1">
        <f t="array" ref="R74">IF(R73=0,IF(VLOOKUP(R$25,mission!$D$64:$F$78,3,FALSE)&lt;=$F$5*60/$C$7*$C$6*7,INDEX(mission!$E$64:$E$78,MATCH(R$25,mission!$D$64:$D$78,0)),0))</f>
        <v>0</v>
      </c>
      <c r="S74" s="10" t="b" cm="1">
        <f t="array" ref="S74">IF(S73=0,IF(VLOOKUP(S$25,mission!$D$64:$F$78,3,FALSE)&lt;=$F$5*60/$C$7*$C$6*$C$4*7,INDEX(mission!$E$64:$E$78,MATCH(S$25,mission!$D$64:$D$78,0)),0))</f>
        <v>0</v>
      </c>
      <c r="T74" s="10" t="b" cm="1">
        <f t="array" ref="T74">IF(T73=0,IF(VLOOKUP(T$25,mission!$D$64:$F$78,3,FALSE)&lt;=$F$5*60/$C$7*$C$6*$C$4*7,INDEX(mission!$E$64:$E$78,MATCH(T$25,mission!$D$64:$D$78,0)),0))</f>
        <v>0</v>
      </c>
      <c r="U74" s="10" cm="1">
        <f t="array" ref="U74">IF(U73=0,IF(VLOOKUP(U$25,mission!$D$64:$F$78,3,FALSE)&lt;=$F$5*60/$C$7*$C$6*$C$4*7,INDEX(mission!$E$64:$E$78,MATCH(U$25,mission!$D$64:$D$78,0)),0))</f>
        <v>0</v>
      </c>
      <c r="V74" s="10" cm="1">
        <f t="array" ref="V74">IF(V73=0,IF(VLOOKUP(V$25,mission!$D$64:$F$78,3,FALSE)&lt;=$F$5*60/$C$7*$C$6*$C$4*7,INDEX(mission!$E$64:$E$78,MATCH(V$25,mission!$D$64:$D$78,0)),0))</f>
        <v>0</v>
      </c>
      <c r="W74" s="10" cm="1">
        <f t="array" ref="W74">IF(W73=0,IF(VLOOKUP(W$25,mission!$D$64:$F$78,3,FALSE)&lt;=$F$5*60/$C$7*$C$6*$C$4*7,INDEX(mission!$E$64:$E$78,MATCH(W$25,mission!$D$64:$D$78,0)),0))</f>
        <v>0</v>
      </c>
      <c r="X74" s="2"/>
      <c r="Y74" s="2"/>
      <c r="Z74" s="2"/>
    </row>
    <row r="75" s="1" customFormat="1" ht="18" customHeight="1" spans="2:26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880</v>
      </c>
      <c r="G75" s="2">
        <f t="shared" si="2"/>
        <v>0</v>
      </c>
      <c r="H75" s="2">
        <f t="shared" si="3"/>
        <v>1400</v>
      </c>
      <c r="I75" s="2" cm="1">
        <f t="array" ref="I75">IF(VLOOKUP(I$25,mission!$D$64:$F$78,3,FALSE)&lt;=$F$5*60/$C$7,INDEX(mission!$E$64:$E$78,MATCH(I$25,mission!$D$64:$D$78,0)),0)</f>
        <v>0</v>
      </c>
      <c r="J75" s="2" cm="1">
        <f t="array" ref="J75">IF(VLOOKUP(J$25,mission!$D$64:$F$78,3,FALSE)&lt;=$F$5*60/$C$7,INDEX(mission!$E$64:$E$78,MATCH(J$25,mission!$D$64:$D$78,0)),0)</f>
        <v>0</v>
      </c>
      <c r="K75" s="2" cm="1">
        <f t="array" ref="K75">IF(VLOOKUP(K$25,mission!$D$64:$F$78,3,FALSE)&lt;=$F$5*60/$C$7,INDEX(mission!$E$64:$E$78,MATCH(K$25,mission!$D$64:$D$78,0)),0)</f>
        <v>0</v>
      </c>
      <c r="L75" s="2" cm="1">
        <f t="array" ref="L75">IF(VLOOKUP(L$25,mission!$D$64:$F$78,3,FALSE)&lt;=$F$5*60/$C$7,INDEX(mission!$E$64:$E$78,MATCH(L$25,mission!$D$64:$D$78,0)),0)</f>
        <v>0</v>
      </c>
      <c r="M75" s="2" cm="1">
        <f t="array" ref="M75">IF(VLOOKUP(M$25,mission!$D$64:$F$78,3,FALSE)&lt;=$F$5*60/$C$7,INDEX(mission!$E$64:$E$78,MATCH(M$25,mission!$D$64:$D$78,0)),0)</f>
        <v>0</v>
      </c>
      <c r="N75" s="2" cm="1">
        <f t="array" ref="N75">IF(VLOOKUP(N$25,mission!$D$64:$F$78,3,FALSE)&lt;=$F$5*60/$C$7*$C$6,INDEX(mission!$E$64:$E$78,MATCH(N$25,mission!$D$64:$D$78,0)),0)</f>
        <v>0</v>
      </c>
      <c r="O75" s="2" cm="1">
        <f t="array" ref="O75">IF(VLOOKUP(O$25,mission!$D$64:$F$78,3,FALSE)&lt;=$F$5*60/$C$7*$C$6,INDEX(mission!$E$64:$E$78,MATCH(O$25,mission!$D$64:$D$78,0)),0)</f>
        <v>0</v>
      </c>
      <c r="P75" s="2" cm="1">
        <f t="array" ref="P75">IF(VLOOKUP(P$25,mission!$D$64:$F$78,3,FALSE)&lt;=$F$5*60/$C$7*$C$6,INDEX(mission!$E$64:$E$78,MATCH(P$25,mission!$D$64:$D$78,0)),0)</f>
        <v>0</v>
      </c>
      <c r="Q75" s="2" cm="1">
        <f t="array" ref="Q75">IF(VLOOKUP(Q$25,mission!$D$64:$F$78,3,FALSE)&lt;=$F$5*60/$C$7*$C$6,INDEX(mission!$E$64:$E$78,MATCH(Q$25,mission!$D$64:$D$78,0)),0)</f>
        <v>0</v>
      </c>
      <c r="R75" s="2" cm="1">
        <f t="array" ref="R75">IF(VLOOKUP(R$25,mission!$D$64:$F$78,3,FALSE)&lt;=$F$5*60/$C$7*$C$6,INDEX(mission!$E$64:$E$78,MATCH(R$25,mission!$D$64:$D$78,0)),0)</f>
        <v>0</v>
      </c>
      <c r="S75" s="2" cm="1">
        <f t="array" ref="S75">IF(VLOOKUP(S$25,mission!$D$64:$F$78,3,FALSE)&lt;=$F$5*60/$C$7*$C$6*$C$4,INDEX(mission!$E$64:$E$78,MATCH(S$25,mission!$D$64:$D$78,0)),0)</f>
        <v>0</v>
      </c>
      <c r="T75" s="2" cm="1">
        <f t="array" ref="T75">IF(VLOOKUP(T$25,mission!$D$64:$F$78,3,FALSE)&lt;=$F$5*60/$C$7*$C$6*$C$4,INDEX(mission!$E$64:$E$78,MATCH(T$25,mission!$D$64:$D$78,0)),0)</f>
        <v>0</v>
      </c>
      <c r="U75" s="2" cm="1">
        <f t="array" ref="U75">IF(VLOOKUP(U$25,mission!$D$64:$F$78,3,FALSE)&lt;=$F$5*60/$C$7*$C$6*$C$4,INDEX(mission!$E$64:$E$78,MATCH(U$25,mission!$D$64:$D$78,0)),0)</f>
        <v>0</v>
      </c>
      <c r="V75" s="2" cm="1">
        <f t="array" ref="V75">IF(VLOOKUP(V$25,mission!$D$64:$F$78,3,FALSE)&lt;=$F$5*60/$C$7*$C$6*$C$4,INDEX(mission!$E$64:$E$78,MATCH(V$25,mission!$D$64:$D$78,0)),0)</f>
        <v>0</v>
      </c>
      <c r="W75" s="2" cm="1">
        <f t="array" ref="W75">IF(VLOOKUP(W$25,mission!$D$64:$F$78,3,FALSE)&lt;=$F$5*60/$C$7*$C$6*$C$4,INDEX(mission!$E$64:$E$78,MATCH(W$25,mission!$D$64:$D$78,0)),0)</f>
        <v>0</v>
      </c>
      <c r="X75" s="2"/>
      <c r="Y75" s="2"/>
      <c r="Z75" s="2"/>
    </row>
    <row r="76" s="1" customFormat="1" ht="18" customHeight="1" spans="2:26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898</v>
      </c>
      <c r="G76" s="2">
        <f t="shared" si="2"/>
        <v>0</v>
      </c>
      <c r="H76" s="2">
        <f t="shared" si="3"/>
        <v>1400</v>
      </c>
      <c r="I76" s="2" cm="1">
        <f t="array" ref="I76">IF(I75=0,IF(VLOOKUP(I$25,mission!$D$64:$F$78,3,FALSE)&lt;=$F$5*60/$C$7*2,INDEX(mission!$E$64:$E$78,MATCH(I$25,mission!$D$64:$D$78,0)),0))</f>
        <v>0</v>
      </c>
      <c r="J76" s="2" cm="1">
        <f t="array" ref="J76">IF(J75=0,IF(VLOOKUP(J$25,mission!$D$64:$F$78,3,FALSE)&lt;=$F$5*60/$C$7*2,INDEX(mission!$E$64:$E$78,MATCH(J$25,mission!$D$64:$D$78,0)),0))</f>
        <v>0</v>
      </c>
      <c r="K76" s="2" cm="1">
        <f t="array" ref="K76">IF(K75=0,IF(VLOOKUP(K$25,mission!$D$64:$F$78,3,FALSE)&lt;=$F$5*60/$C$7*2,INDEX(mission!$E$64:$E$78,MATCH(K$25,mission!$D$64:$D$78,0)),0))</f>
        <v>0</v>
      </c>
      <c r="L76" s="2" cm="1">
        <f t="array" ref="L76">IF(L75=0,IF(VLOOKUP(L$25,mission!$D$64:$F$78,3,FALSE)&lt;=$F$5*60/$C$7*2,INDEX(mission!$E$64:$E$78,MATCH(L$25,mission!$D$64:$D$78,0)),0))</f>
        <v>0</v>
      </c>
      <c r="M76" s="2" cm="1">
        <f t="array" ref="M76">IF(M75=0,IF(VLOOKUP(M$25,mission!$D$64:$F$78,3,FALSE)&lt;=$F$5*60/$C$7*2,INDEX(mission!$E$64:$E$78,MATCH(M$25,mission!$D$64:$D$78,0)),0))</f>
        <v>0</v>
      </c>
      <c r="N76" s="2" cm="1">
        <f t="array" ref="N76">IF(N75=0,IF(VLOOKUP(N$25,mission!$D$64:$F$78,3,FALSE)&lt;=$F$5*60/$C$7*$C$6*2,INDEX(mission!$E$64:$E$78,MATCH(N$25,mission!$D$64:$D$78,0)),0))</f>
        <v>0</v>
      </c>
      <c r="O76" s="2" cm="1">
        <f t="array" ref="O76">IF(O75=0,IF(VLOOKUP(O$25,mission!$D$64:$F$78,3,FALSE)&lt;=$F$5*60/$C$7*$C$6*2,INDEX(mission!$E$64:$E$78,MATCH(O$25,mission!$D$64:$D$78,0)),0))</f>
        <v>0</v>
      </c>
      <c r="P76" s="2" cm="1">
        <f t="array" ref="P76">IF(P75=0,IF(VLOOKUP(P$25,mission!$D$64:$F$78,3,FALSE)&lt;=$F$5*60/$C$7*$C$6*2,INDEX(mission!$E$64:$E$78,MATCH(P$25,mission!$D$64:$D$78,0)),0))</f>
        <v>0</v>
      </c>
      <c r="Q76" s="2" cm="1">
        <f t="array" ref="Q76">IF(Q75=0,IF(VLOOKUP(Q$25,mission!$D$64:$F$78,3,FALSE)&lt;=$F$5*60/$C$7*$C$6*2,INDEX(mission!$E$64:$E$78,MATCH(Q$25,mission!$D$64:$D$78,0)),0))</f>
        <v>0</v>
      </c>
      <c r="R76" s="2" cm="1">
        <f t="array" ref="R76">IF(R75=0,IF(VLOOKUP(R$25,mission!$D$64:$F$78,3,FALSE)&lt;=$F$5*60/$C$7*$C$6*2,INDEX(mission!$E$64:$E$78,MATCH(R$25,mission!$D$64:$D$78,0)),0))</f>
        <v>0</v>
      </c>
      <c r="S76" s="2" cm="1">
        <f t="array" ref="S76">IF(S75=0,IF(VLOOKUP(S$25,mission!$D$64:$F$78,3,FALSE)&lt;=$F$5*60/$C$7*$C$6*$C$4*2,INDEX(mission!$E$64:$E$78,MATCH(S$25,mission!$D$64:$D$78,0)),0))</f>
        <v>0</v>
      </c>
      <c r="T76" s="2" cm="1">
        <f t="array" ref="T76">IF(T75=0,IF(VLOOKUP(T$25,mission!$D$64:$F$78,3,FALSE)&lt;=$F$5*60/$C$7*$C$6*$C$4*2,INDEX(mission!$E$64:$E$78,MATCH(T$25,mission!$D$64:$D$78,0)),0))</f>
        <v>0</v>
      </c>
      <c r="U76" s="2" cm="1">
        <f t="array" ref="U76">IF(U75=0,IF(VLOOKUP(U$25,mission!$D$64:$F$78,3,FALSE)&lt;=$F$5*60/$C$7*$C$6*$C$4*2,INDEX(mission!$E$64:$E$78,MATCH(U$25,mission!$D$64:$D$78,0)),0))</f>
        <v>0</v>
      </c>
      <c r="V76" s="2" cm="1">
        <f t="array" ref="V76">IF(V75=0,IF(VLOOKUP(V$25,mission!$D$64:$F$78,3,FALSE)&lt;=$F$5*60/$C$7*$C$6*$C$4*2,INDEX(mission!$E$64:$E$78,MATCH(V$25,mission!$D$64:$D$78,0)),0))</f>
        <v>0</v>
      </c>
      <c r="W76" s="2" cm="1">
        <f t="array" ref="W76">IF(W75=0,IF(VLOOKUP(W$25,mission!$D$64:$F$78,3,FALSE)&lt;=$F$5*60/$C$7*$C$6*$C$4*2,INDEX(mission!$E$64:$E$78,MATCH(W$25,mission!$D$64:$D$78,0)),0))</f>
        <v>0</v>
      </c>
      <c r="X76" s="2"/>
      <c r="Y76" s="2"/>
      <c r="Z76" s="2"/>
    </row>
    <row r="77" s="1" customFormat="1" ht="18" customHeight="1" spans="2:26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915</v>
      </c>
      <c r="G77" s="2">
        <f t="shared" si="2"/>
        <v>100</v>
      </c>
      <c r="H77" s="2">
        <f t="shared" si="3"/>
        <v>1500</v>
      </c>
      <c r="I77" s="2" cm="1">
        <f t="array" ref="I77">IF(I76=0,IF(VLOOKUP(I$25,mission!$D$64:$F$78,3,FALSE)&lt;=$F$5*60/$C$7*3,INDEX(mission!$E$64:$E$78,MATCH(I$25,mission!$D$64:$D$78,0)),0))</f>
        <v>25</v>
      </c>
      <c r="J77" s="2" cm="1">
        <f t="array" ref="J77">IF(J76=0,IF(VLOOKUP(J$25,mission!$D$64:$F$78,3,FALSE)&lt;=$F$5*60/$C$7*3,INDEX(mission!$E$64:$E$78,MATCH(J$25,mission!$D$64:$D$78,0)),0))</f>
        <v>0</v>
      </c>
      <c r="K77" s="2" cm="1">
        <f t="array" ref="K77">IF(K76=0,IF(VLOOKUP(K$25,mission!$D$64:$F$78,3,FALSE)&lt;=$F$5*60/$C$7*3,INDEX(mission!$E$64:$E$78,MATCH(K$25,mission!$D$64:$D$78,0)),0))</f>
        <v>0</v>
      </c>
      <c r="L77" s="2" cm="1">
        <f t="array" ref="L77">IF(L76=0,IF(VLOOKUP(L$25,mission!$D$64:$F$78,3,FALSE)&lt;=$F$5*60/$C$7*3,INDEX(mission!$E$64:$E$78,MATCH(L$25,mission!$D$64:$D$78,0)),0))</f>
        <v>0</v>
      </c>
      <c r="M77" s="2" cm="1">
        <f t="array" ref="M77">IF(M76=0,IF(VLOOKUP(M$25,mission!$D$64:$F$78,3,FALSE)&lt;=$F$5*60/$C$7*3,INDEX(mission!$E$64:$E$78,MATCH(M$25,mission!$D$64:$D$78,0)),0))</f>
        <v>0</v>
      </c>
      <c r="N77" s="2" cm="1">
        <f t="array" ref="N77">IF(N76=0,IF(VLOOKUP(N$25,mission!$D$64:$F$78,3,FALSE)&lt;=$F$5*60/$C$7*$C$6*3,INDEX(mission!$E$64:$E$78,MATCH(N$25,mission!$D$64:$D$78,0)),0))</f>
        <v>25</v>
      </c>
      <c r="O77" s="2" cm="1">
        <f t="array" ref="O77">IF(O76=0,IF(VLOOKUP(O$25,mission!$D$64:$F$78,3,FALSE)&lt;=$F$5*60/$C$7*$C$6*3,INDEX(mission!$E$64:$E$78,MATCH(O$25,mission!$D$64:$D$78,0)),0))</f>
        <v>0</v>
      </c>
      <c r="P77" s="2" cm="1">
        <f t="array" ref="P77">IF(P76=0,IF(VLOOKUP(P$25,mission!$D$64:$F$78,3,FALSE)&lt;=$F$5*60/$C$7*$C$6*3,INDEX(mission!$E$64:$E$78,MATCH(P$25,mission!$D$64:$D$78,0)),0))</f>
        <v>0</v>
      </c>
      <c r="Q77" s="2" cm="1">
        <f t="array" ref="Q77">IF(Q76=0,IF(VLOOKUP(Q$25,mission!$D$64:$F$78,3,FALSE)&lt;=$F$5*60/$C$7*$C$6*3,INDEX(mission!$E$64:$E$78,MATCH(Q$25,mission!$D$64:$D$78,0)),0))</f>
        <v>0</v>
      </c>
      <c r="R77" s="2" cm="1">
        <f t="array" ref="R77">IF(R76=0,IF(VLOOKUP(R$25,mission!$D$64:$F$78,3,FALSE)&lt;=$F$5*60/$C$7*$C$6*3,INDEX(mission!$E$64:$E$78,MATCH(R$25,mission!$D$64:$D$78,0)),0))</f>
        <v>0</v>
      </c>
      <c r="S77" s="2" cm="1">
        <f t="array" ref="S77">IF(S76=0,IF(VLOOKUP(S$25,mission!$D$64:$F$78,3,FALSE)&lt;=$F$5*60/$C$7*$C$6*$C$4*3,INDEX(mission!$E$64:$E$78,MATCH(S$25,mission!$D$64:$D$78,0)),0))</f>
        <v>50</v>
      </c>
      <c r="T77" s="2" cm="1">
        <f t="array" ref="T77">IF(T76=0,IF(VLOOKUP(T$25,mission!$D$64:$F$78,3,FALSE)&lt;=$F$5*60/$C$7*$C$6*$C$4*3,INDEX(mission!$E$64:$E$78,MATCH(T$25,mission!$D$64:$D$78,0)),0))</f>
        <v>0</v>
      </c>
      <c r="U77" s="2" cm="1">
        <f t="array" ref="U77">IF(U76=0,IF(VLOOKUP(U$25,mission!$D$64:$F$78,3,FALSE)&lt;=$F$5*60/$C$7*$C$6*$C$4*3,INDEX(mission!$E$64:$E$78,MATCH(U$25,mission!$D$64:$D$78,0)),0))</f>
        <v>0</v>
      </c>
      <c r="V77" s="2" cm="1">
        <f t="array" ref="V77">IF(V76=0,IF(VLOOKUP(V$25,mission!$D$64:$F$78,3,FALSE)&lt;=$F$5*60/$C$7*$C$6*$C$4*3,INDEX(mission!$E$64:$E$78,MATCH(V$25,mission!$D$64:$D$78,0)),0))</f>
        <v>0</v>
      </c>
      <c r="W77" s="2" cm="1">
        <f t="array" ref="W77">IF(W76=0,IF(VLOOKUP(W$25,mission!$D$64:$F$78,3,FALSE)&lt;=$F$5*60/$C$7*$C$6*$C$4*3,INDEX(mission!$E$64:$E$78,MATCH(W$25,mission!$D$64:$D$78,0)),0))</f>
        <v>0</v>
      </c>
      <c r="X77" s="2"/>
      <c r="Y77" s="2"/>
      <c r="Z77" s="2"/>
    </row>
    <row r="78" s="1" customFormat="1" ht="18" customHeight="1" spans="2:26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933</v>
      </c>
      <c r="G78" s="2">
        <f t="shared" si="2"/>
        <v>0</v>
      </c>
      <c r="H78" s="2">
        <f t="shared" si="3"/>
        <v>1500</v>
      </c>
      <c r="I78" s="2" t="b" cm="1">
        <f t="array" ref="I78">IF(I77=0,IF(VLOOKUP(I$25,mission!$D$64:$F$78,3,FALSE)&lt;=$F$5*60/$C$7*4,INDEX(mission!$E$64:$E$78,MATCH(I$25,mission!$D$64:$D$78,0)),0))</f>
        <v>0</v>
      </c>
      <c r="J78" s="2" cm="1">
        <f t="array" ref="J78">IF(J77=0,IF(VLOOKUP(J$25,mission!$D$64:$F$78,3,FALSE)&lt;=$F$5*60/$C$7*4,INDEX(mission!$E$64:$E$78,MATCH(J$25,mission!$D$64:$D$78,0)),0))</f>
        <v>0</v>
      </c>
      <c r="K78" s="2" cm="1">
        <f t="array" ref="K78">IF(K77=0,IF(VLOOKUP(K$25,mission!$D$64:$F$78,3,FALSE)&lt;=$F$5*60/$C$7*4,INDEX(mission!$E$64:$E$78,MATCH(K$25,mission!$D$64:$D$78,0)),0))</f>
        <v>0</v>
      </c>
      <c r="L78" s="2" cm="1">
        <f t="array" ref="L78">IF(L77=0,IF(VLOOKUP(L$25,mission!$D$64:$F$78,3,FALSE)&lt;=$F$5*60/$C$7*4,INDEX(mission!$E$64:$E$78,MATCH(L$25,mission!$D$64:$D$78,0)),0))</f>
        <v>0</v>
      </c>
      <c r="M78" s="2" cm="1">
        <f t="array" ref="M78">IF(M77=0,IF(VLOOKUP(M$25,mission!$D$64:$F$78,3,FALSE)&lt;=$F$5*60/$C$7*4,INDEX(mission!$E$64:$E$78,MATCH(M$25,mission!$D$64:$D$78,0)),0))</f>
        <v>0</v>
      </c>
      <c r="N78" s="2" t="b" cm="1">
        <f t="array" ref="N78">IF(N77=0,IF(VLOOKUP(N$25,mission!$D$64:$F$78,3,FALSE)&lt;=$F$5*60/$C$7*$C$6*4,INDEX(mission!$E$64:$E$78,MATCH(N$25,mission!$D$64:$D$78,0)),0))</f>
        <v>0</v>
      </c>
      <c r="O78" s="2" cm="1">
        <f t="array" ref="O78">IF(O77=0,IF(VLOOKUP(O$25,mission!$D$64:$F$78,3,FALSE)&lt;=$F$5*60/$C$7*$C$6*4,INDEX(mission!$E$64:$E$78,MATCH(O$25,mission!$D$64:$D$78,0)),0))</f>
        <v>0</v>
      </c>
      <c r="P78" s="2" cm="1">
        <f t="array" ref="P78">IF(P77=0,IF(VLOOKUP(P$25,mission!$D$64:$F$78,3,FALSE)&lt;=$F$5*60/$C$7*$C$6*4,INDEX(mission!$E$64:$E$78,MATCH(P$25,mission!$D$64:$D$78,0)),0))</f>
        <v>0</v>
      </c>
      <c r="Q78" s="2" cm="1">
        <f t="array" ref="Q78">IF(Q77=0,IF(VLOOKUP(Q$25,mission!$D$64:$F$78,3,FALSE)&lt;=$F$5*60/$C$7*$C$6*4,INDEX(mission!$E$64:$E$78,MATCH(Q$25,mission!$D$64:$D$78,0)),0))</f>
        <v>0</v>
      </c>
      <c r="R78" s="2" cm="1">
        <f t="array" ref="R78">IF(R77=0,IF(VLOOKUP(R$25,mission!$D$64:$F$78,3,FALSE)&lt;=$F$5*60/$C$7*$C$6*4,INDEX(mission!$E$64:$E$78,MATCH(R$25,mission!$D$64:$D$78,0)),0))</f>
        <v>0</v>
      </c>
      <c r="S78" s="2" t="b" cm="1">
        <f t="array" ref="S78">IF(S77=0,IF(VLOOKUP(S$25,mission!$D$64:$F$78,3,FALSE)&lt;=$F$5*60/$C$7*$C$6*$C$4*4,INDEX(mission!$E$64:$E$78,MATCH(S$25,mission!$D$64:$D$78,0)),0))</f>
        <v>0</v>
      </c>
      <c r="T78" s="2" cm="1">
        <f t="array" ref="T78">IF(T77=0,IF(VLOOKUP(T$25,mission!$D$64:$F$78,3,FALSE)&lt;=$F$5*60/$C$7*$C$6*$C$4*4,INDEX(mission!$E$64:$E$78,MATCH(T$25,mission!$D$64:$D$78,0)),0))</f>
        <v>0</v>
      </c>
      <c r="U78" s="2" cm="1">
        <f t="array" ref="U78">IF(U77=0,IF(VLOOKUP(U$25,mission!$D$64:$F$78,3,FALSE)&lt;=$F$5*60/$C$7*$C$6*$C$4*4,INDEX(mission!$E$64:$E$78,MATCH(U$25,mission!$D$64:$D$78,0)),0))</f>
        <v>0</v>
      </c>
      <c r="V78" s="2" cm="1">
        <f t="array" ref="V78">IF(V77=0,IF(VLOOKUP(V$25,mission!$D$64:$F$78,3,FALSE)&lt;=$F$5*60/$C$7*$C$6*$C$4*4,INDEX(mission!$E$64:$E$78,MATCH(V$25,mission!$D$64:$D$78,0)),0))</f>
        <v>0</v>
      </c>
      <c r="W78" s="2" cm="1">
        <f t="array" ref="W78">IF(W77=0,IF(VLOOKUP(W$25,mission!$D$64:$F$78,3,FALSE)&lt;=$F$5*60/$C$7*$C$6*$C$4*4,INDEX(mission!$E$64:$E$78,MATCH(W$25,mission!$D$64:$D$78,0)),0))</f>
        <v>0</v>
      </c>
      <c r="X78" s="2"/>
      <c r="Y78" s="2"/>
      <c r="Z78" s="2"/>
    </row>
    <row r="79" s="1" customFormat="1" ht="18" customHeight="1" spans="2:26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950</v>
      </c>
      <c r="G79" s="2">
        <f t="shared" si="2"/>
        <v>0</v>
      </c>
      <c r="H79" s="2">
        <f t="shared" si="3"/>
        <v>1500</v>
      </c>
      <c r="I79" s="2" t="b" cm="1">
        <f t="array" ref="I79">IF(I78=0,IF(VLOOKUP(I$25,mission!$D$64:$F$78,3,FALSE)&lt;=$F$5*60/$C$7*5,INDEX(mission!$E$64:$E$78,MATCH(I$25,mission!$D$64:$D$78,0)),0))</f>
        <v>0</v>
      </c>
      <c r="J79" s="2" cm="1">
        <f t="array" ref="J79">IF(J78=0,IF(VLOOKUP(J$25,mission!$D$64:$F$78,3,FALSE)&lt;=$F$5*60/$C$7*5,INDEX(mission!$E$64:$E$78,MATCH(J$25,mission!$D$64:$D$78,0)),0))</f>
        <v>0</v>
      </c>
      <c r="K79" s="2" cm="1">
        <f t="array" ref="K79">IF(K78=0,IF(VLOOKUP(K$25,mission!$D$64:$F$78,3,FALSE)&lt;=$F$5*60/$C$7*5,INDEX(mission!$E$64:$E$78,MATCH(K$25,mission!$D$64:$D$78,0)),0))</f>
        <v>0</v>
      </c>
      <c r="L79" s="2" cm="1">
        <f t="array" ref="L79">IF(L78=0,IF(VLOOKUP(L$25,mission!$D$64:$F$78,3,FALSE)&lt;=$F$5*60/$C$7*5,INDEX(mission!$E$64:$E$78,MATCH(L$25,mission!$D$64:$D$78,0)),0))</f>
        <v>0</v>
      </c>
      <c r="M79" s="2" cm="1">
        <f t="array" ref="M79">IF(M78=0,IF(VLOOKUP(M$25,mission!$D$64:$F$78,3,FALSE)&lt;=$F$5*60/$C$7*5,INDEX(mission!$E$64:$E$78,MATCH(M$25,mission!$D$64:$D$78,0)),0))</f>
        <v>0</v>
      </c>
      <c r="N79" s="2" t="b" cm="1">
        <f t="array" ref="N79">IF(N78=0,IF(VLOOKUP(N$25,mission!$D$64:$F$78,3,FALSE)&lt;=$F$5*60/$C$7*$C$6*5,INDEX(mission!$E$64:$E$78,MATCH(N$25,mission!$D$64:$D$78,0)),0))</f>
        <v>0</v>
      </c>
      <c r="O79" s="2" cm="1">
        <f t="array" ref="O79">IF(O78=0,IF(VLOOKUP(O$25,mission!$D$64:$F$78,3,FALSE)&lt;=$F$5*60/$C$7*$C$6*5,INDEX(mission!$E$64:$E$78,MATCH(O$25,mission!$D$64:$D$78,0)),0))</f>
        <v>0</v>
      </c>
      <c r="P79" s="2" cm="1">
        <f t="array" ref="P79">IF(P78=0,IF(VLOOKUP(P$25,mission!$D$64:$F$78,3,FALSE)&lt;=$F$5*60/$C$7*$C$6*5,INDEX(mission!$E$64:$E$78,MATCH(P$25,mission!$D$64:$D$78,0)),0))</f>
        <v>0</v>
      </c>
      <c r="Q79" s="2" cm="1">
        <f t="array" ref="Q79">IF(Q78=0,IF(VLOOKUP(Q$25,mission!$D$64:$F$78,3,FALSE)&lt;=$F$5*60/$C$7*$C$6*5,INDEX(mission!$E$64:$E$78,MATCH(Q$25,mission!$D$64:$D$78,0)),0))</f>
        <v>0</v>
      </c>
      <c r="R79" s="2" cm="1">
        <f t="array" ref="R79">IF(R78=0,IF(VLOOKUP(R$25,mission!$D$64:$F$78,3,FALSE)&lt;=$F$5*60/$C$7*$C$6*5,INDEX(mission!$E$64:$E$78,MATCH(R$25,mission!$D$64:$D$78,0)),0))</f>
        <v>0</v>
      </c>
      <c r="S79" s="2" t="b" cm="1">
        <f t="array" ref="S79">IF(S78=0,IF(VLOOKUP(S$25,mission!$D$64:$F$78,3,FALSE)&lt;=$F$5*60/$C$7*$C$6*$C$4*5,INDEX(mission!$E$64:$E$78,MATCH(S$25,mission!$D$64:$D$78,0)),0))</f>
        <v>0</v>
      </c>
      <c r="T79" s="2" cm="1">
        <f t="array" ref="T79">IF(T78=0,IF(VLOOKUP(T$25,mission!$D$64:$F$78,3,FALSE)&lt;=$F$5*60/$C$7*$C$6*$C$4*5,INDEX(mission!$E$64:$E$78,MATCH(T$25,mission!$D$64:$D$78,0)),0))</f>
        <v>0</v>
      </c>
      <c r="U79" s="2" cm="1">
        <f t="array" ref="U79">IF(U78=0,IF(VLOOKUP(U$25,mission!$D$64:$F$78,3,FALSE)&lt;=$F$5*60/$C$7*$C$6*$C$4*5,INDEX(mission!$E$64:$E$78,MATCH(U$25,mission!$D$64:$D$78,0)),0))</f>
        <v>0</v>
      </c>
      <c r="V79" s="2" cm="1">
        <f t="array" ref="V79">IF(V78=0,IF(VLOOKUP(V$25,mission!$D$64:$F$78,3,FALSE)&lt;=$F$5*60/$C$7*$C$6*$C$4*5,INDEX(mission!$E$64:$E$78,MATCH(V$25,mission!$D$64:$D$78,0)),0))</f>
        <v>0</v>
      </c>
      <c r="W79" s="2" cm="1">
        <f t="array" ref="W79">IF(W78=0,IF(VLOOKUP(W$25,mission!$D$64:$F$78,3,FALSE)&lt;=$F$5*60/$C$7*$C$6*$C$4*5,INDEX(mission!$E$64:$E$78,MATCH(W$25,mission!$D$64:$D$78,0)),0))</f>
        <v>0</v>
      </c>
      <c r="X79" s="2"/>
      <c r="Y79" s="2"/>
      <c r="Z79" s="2"/>
    </row>
    <row r="80" s="1" customFormat="1" ht="18" customHeight="1" spans="2:26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968</v>
      </c>
      <c r="G80" s="2">
        <f t="shared" si="2"/>
        <v>100</v>
      </c>
      <c r="H80" s="2">
        <f t="shared" si="3"/>
        <v>1600</v>
      </c>
      <c r="I80" s="2" t="b" cm="1">
        <f t="array" ref="I80">IF(I79=0,IF(VLOOKUP(I$25,mission!$D$64:$F$78,3,FALSE)&lt;=$F$5*60/$C$7*6,INDEX(mission!$E$64:$E$78,MATCH(I$25,mission!$D$64:$D$78,0)),0))</f>
        <v>0</v>
      </c>
      <c r="J80" s="2" cm="1">
        <f t="array" ref="J80">IF(J79=0,IF(VLOOKUP(J$25,mission!$D$64:$F$78,3,FALSE)&lt;=$F$5*60/$C$7*6,INDEX(mission!$E$64:$E$78,MATCH(J$25,mission!$D$64:$D$78,0)),0))</f>
        <v>25</v>
      </c>
      <c r="K80" s="2" cm="1">
        <f t="array" ref="K80">IF(K79=0,IF(VLOOKUP(K$25,mission!$D$64:$F$78,3,FALSE)&lt;=$F$5*60/$C$7*6,INDEX(mission!$E$64:$E$78,MATCH(K$25,mission!$D$64:$D$78,0)),0))</f>
        <v>0</v>
      </c>
      <c r="L80" s="2" cm="1">
        <f t="array" ref="L80">IF(L79=0,IF(VLOOKUP(L$25,mission!$D$64:$F$78,3,FALSE)&lt;=$F$5*60/$C$7*6,INDEX(mission!$E$64:$E$78,MATCH(L$25,mission!$D$64:$D$78,0)),0))</f>
        <v>0</v>
      </c>
      <c r="M80" s="2" cm="1">
        <f t="array" ref="M80">IF(M79=0,IF(VLOOKUP(M$25,mission!$D$64:$F$78,3,FALSE)&lt;=$F$5*60/$C$7*6,INDEX(mission!$E$64:$E$78,MATCH(M$25,mission!$D$64:$D$78,0)),0))</f>
        <v>0</v>
      </c>
      <c r="N80" s="2" t="b" cm="1">
        <f t="array" ref="N80">IF(N79=0,IF(VLOOKUP(N$25,mission!$D$64:$F$78,3,FALSE)&lt;=$F$5*60/$C$7*$C$6*6,INDEX(mission!$E$64:$E$78,MATCH(N$25,mission!$D$64:$D$78,0)),0))</f>
        <v>0</v>
      </c>
      <c r="O80" s="2" cm="1">
        <f t="array" ref="O80">IF(O79=0,IF(VLOOKUP(O$25,mission!$D$64:$F$78,3,FALSE)&lt;=$F$5*60/$C$7*$C$6*6,INDEX(mission!$E$64:$E$78,MATCH(O$25,mission!$D$64:$D$78,0)),0))</f>
        <v>25</v>
      </c>
      <c r="P80" s="2" cm="1">
        <f t="array" ref="P80">IF(P79=0,IF(VLOOKUP(P$25,mission!$D$64:$F$78,3,FALSE)&lt;=$F$5*60/$C$7*$C$6*6,INDEX(mission!$E$64:$E$78,MATCH(P$25,mission!$D$64:$D$78,0)),0))</f>
        <v>0</v>
      </c>
      <c r="Q80" s="2" cm="1">
        <f t="array" ref="Q80">IF(Q79=0,IF(VLOOKUP(Q$25,mission!$D$64:$F$78,3,FALSE)&lt;=$F$5*60/$C$7*$C$6*6,INDEX(mission!$E$64:$E$78,MATCH(Q$25,mission!$D$64:$D$78,0)),0))</f>
        <v>0</v>
      </c>
      <c r="R80" s="2" cm="1">
        <f t="array" ref="R80">IF(R79=0,IF(VLOOKUP(R$25,mission!$D$64:$F$78,3,FALSE)&lt;=$F$5*60/$C$7*$C$6*6,INDEX(mission!$E$64:$E$78,MATCH(R$25,mission!$D$64:$D$78,0)),0))</f>
        <v>0</v>
      </c>
      <c r="S80" s="2" t="b" cm="1">
        <f t="array" ref="S80">IF(S79=0,IF(VLOOKUP(S$25,mission!$D$64:$F$78,3,FALSE)&lt;=$F$5*60/$C$7*$C$6*$C$4*6,INDEX(mission!$E$64:$E$78,MATCH(S$25,mission!$D$64:$D$78,0)),0))</f>
        <v>0</v>
      </c>
      <c r="T80" s="2" cm="1">
        <f t="array" ref="T80">IF(T79=0,IF(VLOOKUP(T$25,mission!$D$64:$F$78,3,FALSE)&lt;=$F$5*60/$C$7*$C$6*$C$4*6,INDEX(mission!$E$64:$E$78,MATCH(T$25,mission!$D$64:$D$78,0)),0))</f>
        <v>50</v>
      </c>
      <c r="U80" s="2" cm="1">
        <f t="array" ref="U80">IF(U79=0,IF(VLOOKUP(U$25,mission!$D$64:$F$78,3,FALSE)&lt;=$F$5*60/$C$7*$C$6*$C$4*6,INDEX(mission!$E$64:$E$78,MATCH(U$25,mission!$D$64:$D$78,0)),0))</f>
        <v>0</v>
      </c>
      <c r="V80" s="2" cm="1">
        <f t="array" ref="V80">IF(V79=0,IF(VLOOKUP(V$25,mission!$D$64:$F$78,3,FALSE)&lt;=$F$5*60/$C$7*$C$6*$C$4*6,INDEX(mission!$E$64:$E$78,MATCH(V$25,mission!$D$64:$D$78,0)),0))</f>
        <v>0</v>
      </c>
      <c r="W80" s="2" cm="1">
        <f t="array" ref="W80">IF(W79=0,IF(VLOOKUP(W$25,mission!$D$64:$F$78,3,FALSE)&lt;=$F$5*60/$C$7*$C$6*$C$4*6,INDEX(mission!$E$64:$E$78,MATCH(W$25,mission!$D$64:$D$78,0)),0))</f>
        <v>0</v>
      </c>
      <c r="X80" s="2"/>
      <c r="Y80" s="2"/>
      <c r="Z80" s="2"/>
    </row>
    <row r="81" s="10" customFormat="1" ht="18" customHeight="1" spans="2:26">
      <c r="B81" s="10">
        <v>56</v>
      </c>
      <c r="C81" s="10">
        <f t="shared" si="0"/>
        <v>56000</v>
      </c>
      <c r="D81" s="10">
        <f>ROUND($C$8*$C$5+$C$8*$C$4*(1-$L$5),0)</f>
        <v>88</v>
      </c>
      <c r="E81" s="10">
        <f t="shared" si="1"/>
        <v>4928</v>
      </c>
      <c r="F81" s="10">
        <f>ROUND(E81*VLOOKUP($B$10,总产出!$T$4:$U$14,2,FALSE),0)</f>
        <v>986</v>
      </c>
      <c r="G81" s="10">
        <f t="shared" si="2"/>
        <v>0</v>
      </c>
      <c r="H81" s="10">
        <f t="shared" si="3"/>
        <v>1600</v>
      </c>
      <c r="I81" s="10" t="b" cm="1">
        <f t="array" ref="I81">IF(I80=0,IF(VLOOKUP(I$25,mission!$D$64:$F$78,3,FALSE)&lt;=$F$5*60/$C$7*7,INDEX(mission!$E$64:$E$78,MATCH(I$25,mission!$D$64:$D$78,0)),0))</f>
        <v>0</v>
      </c>
      <c r="J81" s="10" t="b" cm="1">
        <f t="array" ref="J81">IF(J80=0,IF(VLOOKUP(J$25,mission!$D$64:$F$78,3,FALSE)&lt;=$F$5*60/$C$7*7,INDEX(mission!$E$64:$E$78,MATCH(J$25,mission!$D$64:$D$78,0)),0))</f>
        <v>0</v>
      </c>
      <c r="K81" s="10" cm="1">
        <f t="array" ref="K81">IF(K80=0,IF(VLOOKUP(K$25,mission!$D$64:$F$78,3,FALSE)&lt;=$F$5*60/$C$7*7,INDEX(mission!$E$64:$E$78,MATCH(K$25,mission!$D$64:$D$78,0)),0))</f>
        <v>0</v>
      </c>
      <c r="L81" s="10" cm="1">
        <f t="array" ref="L81">IF(L80=0,IF(VLOOKUP(L$25,mission!$D$64:$F$78,3,FALSE)&lt;=$F$5*60/$C$7*7,INDEX(mission!$E$64:$E$78,MATCH(L$25,mission!$D$64:$D$78,0)),0))</f>
        <v>0</v>
      </c>
      <c r="M81" s="10" cm="1">
        <f t="array" ref="M81">IF(M80=0,IF(VLOOKUP(M$25,mission!$D$64:$F$78,3,FALSE)&lt;=$F$5*60/$C$7*7,INDEX(mission!$E$64:$E$78,MATCH(M$25,mission!$D$64:$D$78,0)),0))</f>
        <v>0</v>
      </c>
      <c r="N81" s="10" t="b" cm="1">
        <f t="array" ref="N81">IF(N80=0,IF(VLOOKUP(N$25,mission!$D$64:$F$78,3,FALSE)&lt;=$F$5*60/$C$7*$C$6*7,INDEX(mission!$E$64:$E$78,MATCH(N$25,mission!$D$64:$D$78,0)),0))</f>
        <v>0</v>
      </c>
      <c r="O81" s="10" t="b" cm="1">
        <f t="array" ref="O81">IF(O80=0,IF(VLOOKUP(O$25,mission!$D$64:$F$78,3,FALSE)&lt;=$F$5*60/$C$7*$C$6*7,INDEX(mission!$E$64:$E$78,MATCH(O$25,mission!$D$64:$D$78,0)),0))</f>
        <v>0</v>
      </c>
      <c r="P81" s="10" cm="1">
        <f t="array" ref="P81">IF(P80=0,IF(VLOOKUP(P$25,mission!$D$64:$F$78,3,FALSE)&lt;=$F$5*60/$C$7*$C$6*7,INDEX(mission!$E$64:$E$78,MATCH(P$25,mission!$D$64:$D$78,0)),0))</f>
        <v>0</v>
      </c>
      <c r="Q81" s="10" cm="1">
        <f t="array" ref="Q81">IF(Q80=0,IF(VLOOKUP(Q$25,mission!$D$64:$F$78,3,FALSE)&lt;=$F$5*60/$C$7*$C$6*7,INDEX(mission!$E$64:$E$78,MATCH(Q$25,mission!$D$64:$D$78,0)),0))</f>
        <v>0</v>
      </c>
      <c r="R81" s="10" cm="1">
        <f t="array" ref="R81">IF(R80=0,IF(VLOOKUP(R$25,mission!$D$64:$F$78,3,FALSE)&lt;=$F$5*60/$C$7*$C$6*7,INDEX(mission!$E$64:$E$78,MATCH(R$25,mission!$D$64:$D$78,0)),0))</f>
        <v>0</v>
      </c>
      <c r="S81" s="10" t="b" cm="1">
        <f t="array" ref="S81">IF(S80=0,IF(VLOOKUP(S$25,mission!$D$64:$F$78,3,FALSE)&lt;=$F$5*60/$C$7*$C$6*$C$4*7,INDEX(mission!$E$64:$E$78,MATCH(S$25,mission!$D$64:$D$78,0)),0))</f>
        <v>0</v>
      </c>
      <c r="T81" s="10" t="b" cm="1">
        <f t="array" ref="T81">IF(T80=0,IF(VLOOKUP(T$25,mission!$D$64:$F$78,3,FALSE)&lt;=$F$5*60/$C$7*$C$6*$C$4*7,INDEX(mission!$E$64:$E$78,MATCH(T$25,mission!$D$64:$D$78,0)),0))</f>
        <v>0</v>
      </c>
      <c r="U81" s="10" cm="1">
        <f t="array" ref="U81">IF(U80=0,IF(VLOOKUP(U$25,mission!$D$64:$F$78,3,FALSE)&lt;=$F$5*60/$C$7*$C$6*$C$4*7,INDEX(mission!$E$64:$E$78,MATCH(U$25,mission!$D$64:$D$78,0)),0))</f>
        <v>0</v>
      </c>
      <c r="V81" s="10" cm="1">
        <f t="array" ref="V81">IF(V80=0,IF(VLOOKUP(V$25,mission!$D$64:$F$78,3,FALSE)&lt;=$F$5*60/$C$7*$C$6*$C$4*7,INDEX(mission!$E$64:$E$78,MATCH(V$25,mission!$D$64:$D$78,0)),0))</f>
        <v>0</v>
      </c>
      <c r="W81" s="10" cm="1">
        <f t="array" ref="W81">IF(W80=0,IF(VLOOKUP(W$25,mission!$D$64:$F$78,3,FALSE)&lt;=$F$5*60/$C$7*$C$6*$C$4*7,INDEX(mission!$E$64:$E$78,MATCH(W$25,mission!$D$64:$D$78,0)),0))</f>
        <v>0</v>
      </c>
      <c r="X81" s="2"/>
      <c r="Y81" s="2"/>
      <c r="Z81" s="2"/>
    </row>
    <row r="82" s="1" customFormat="1" ht="18" customHeight="1" spans="2:26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1003</v>
      </c>
      <c r="G82" s="2">
        <f t="shared" si="2"/>
        <v>0</v>
      </c>
      <c r="H82" s="2">
        <f t="shared" si="3"/>
        <v>1600</v>
      </c>
      <c r="I82" s="2" cm="1">
        <f t="array" ref="I82">IF(VLOOKUP(I$25,mission!$D$64:$F$78,3,FALSE)&lt;=$F$5*60/$C$7,INDEX(mission!$E$64:$E$78,MATCH(I$25,mission!$D$64:$D$78,0)),0)</f>
        <v>0</v>
      </c>
      <c r="J82" s="2" cm="1">
        <f t="array" ref="J82">IF(VLOOKUP(J$25,mission!$D$64:$F$78,3,FALSE)&lt;=$F$5*60/$C$7,INDEX(mission!$E$64:$E$78,MATCH(J$25,mission!$D$64:$D$78,0)),0)</f>
        <v>0</v>
      </c>
      <c r="K82" s="2" cm="1">
        <f t="array" ref="K82">IF(VLOOKUP(K$25,mission!$D$64:$F$78,3,FALSE)&lt;=$F$5*60/$C$7,INDEX(mission!$E$64:$E$78,MATCH(K$25,mission!$D$64:$D$78,0)),0)</f>
        <v>0</v>
      </c>
      <c r="L82" s="2" cm="1">
        <f t="array" ref="L82">IF(VLOOKUP(L$25,mission!$D$64:$F$78,3,FALSE)&lt;=$F$5*60/$C$7,INDEX(mission!$E$64:$E$78,MATCH(L$25,mission!$D$64:$D$78,0)),0)</f>
        <v>0</v>
      </c>
      <c r="M82" s="2" cm="1">
        <f t="array" ref="M82">IF(VLOOKUP(M$25,mission!$D$64:$F$78,3,FALSE)&lt;=$F$5*60/$C$7,INDEX(mission!$E$64:$E$78,MATCH(M$25,mission!$D$64:$D$78,0)),0)</f>
        <v>0</v>
      </c>
      <c r="N82" s="2" cm="1">
        <f t="array" ref="N82">IF(VLOOKUP(N$25,mission!$D$64:$F$78,3,FALSE)&lt;=$F$5*60/$C$7*$C$6,INDEX(mission!$E$64:$E$78,MATCH(N$25,mission!$D$64:$D$78,0)),0)</f>
        <v>0</v>
      </c>
      <c r="O82" s="2" cm="1">
        <f t="array" ref="O82">IF(VLOOKUP(O$25,mission!$D$64:$F$78,3,FALSE)&lt;=$F$5*60/$C$7*$C$6,INDEX(mission!$E$64:$E$78,MATCH(O$25,mission!$D$64:$D$78,0)),0)</f>
        <v>0</v>
      </c>
      <c r="P82" s="2" cm="1">
        <f t="array" ref="P82">IF(VLOOKUP(P$25,mission!$D$64:$F$78,3,FALSE)&lt;=$F$5*60/$C$7*$C$6,INDEX(mission!$E$64:$E$78,MATCH(P$25,mission!$D$64:$D$78,0)),0)</f>
        <v>0</v>
      </c>
      <c r="Q82" s="2" cm="1">
        <f t="array" ref="Q82">IF(VLOOKUP(Q$25,mission!$D$64:$F$78,3,FALSE)&lt;=$F$5*60/$C$7*$C$6,INDEX(mission!$E$64:$E$78,MATCH(Q$25,mission!$D$64:$D$78,0)),0)</f>
        <v>0</v>
      </c>
      <c r="R82" s="2" cm="1">
        <f t="array" ref="R82">IF(VLOOKUP(R$25,mission!$D$64:$F$78,3,FALSE)&lt;=$F$5*60/$C$7*$C$6,INDEX(mission!$E$64:$E$78,MATCH(R$25,mission!$D$64:$D$78,0)),0)</f>
        <v>0</v>
      </c>
      <c r="S82" s="2" cm="1">
        <f t="array" ref="S82">IF(VLOOKUP(S$25,mission!$D$64:$F$78,3,FALSE)&lt;=$F$5*60/$C$7*$C$6*$C$4,INDEX(mission!$E$64:$E$78,MATCH(S$25,mission!$D$64:$D$78,0)),0)</f>
        <v>0</v>
      </c>
      <c r="T82" s="2" cm="1">
        <f t="array" ref="T82">IF(VLOOKUP(T$25,mission!$D$64:$F$78,3,FALSE)&lt;=$F$5*60/$C$7*$C$6*$C$4,INDEX(mission!$E$64:$E$78,MATCH(T$25,mission!$D$64:$D$78,0)),0)</f>
        <v>0</v>
      </c>
      <c r="U82" s="2" cm="1">
        <f t="array" ref="U82">IF(VLOOKUP(U$25,mission!$D$64:$F$78,3,FALSE)&lt;=$F$5*60/$C$7*$C$6*$C$4,INDEX(mission!$E$64:$E$78,MATCH(U$25,mission!$D$64:$D$78,0)),0)</f>
        <v>0</v>
      </c>
      <c r="V82" s="2" cm="1">
        <f t="array" ref="V82">IF(VLOOKUP(V$25,mission!$D$64:$F$78,3,FALSE)&lt;=$F$5*60/$C$7*$C$6*$C$4,INDEX(mission!$E$64:$E$78,MATCH(V$25,mission!$D$64:$D$78,0)),0)</f>
        <v>0</v>
      </c>
      <c r="W82" s="2" cm="1">
        <f t="array" ref="W82">IF(VLOOKUP(W$25,mission!$D$64:$F$78,3,FALSE)&lt;=$F$5*60/$C$7*$C$6*$C$4,INDEX(mission!$E$64:$E$78,MATCH(W$25,mission!$D$64:$D$78,0)),0)</f>
        <v>0</v>
      </c>
      <c r="X82" s="2"/>
      <c r="Y82" s="2"/>
      <c r="Z82" s="2"/>
    </row>
    <row r="83" s="1" customFormat="1" ht="18" customHeight="1" spans="2:26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1021</v>
      </c>
      <c r="G83" s="2">
        <f t="shared" si="2"/>
        <v>0</v>
      </c>
      <c r="H83" s="2">
        <f t="shared" si="3"/>
        <v>1600</v>
      </c>
      <c r="I83" s="2" cm="1">
        <f t="array" ref="I83">IF(I82=0,IF(VLOOKUP(I$25,mission!$D$64:$F$78,3,FALSE)&lt;=$F$5*60/$C$7*2,INDEX(mission!$E$64:$E$78,MATCH(I$25,mission!$D$64:$D$78,0)),0))</f>
        <v>0</v>
      </c>
      <c r="J83" s="2" cm="1">
        <f t="array" ref="J83">IF(J82=0,IF(VLOOKUP(J$25,mission!$D$64:$F$78,3,FALSE)&lt;=$F$5*60/$C$7*2,INDEX(mission!$E$64:$E$78,MATCH(J$25,mission!$D$64:$D$78,0)),0))</f>
        <v>0</v>
      </c>
      <c r="K83" s="2" cm="1">
        <f t="array" ref="K83">IF(K82=0,IF(VLOOKUP(K$25,mission!$D$64:$F$78,3,FALSE)&lt;=$F$5*60/$C$7*2,INDEX(mission!$E$64:$E$78,MATCH(K$25,mission!$D$64:$D$78,0)),0))</f>
        <v>0</v>
      </c>
      <c r="L83" s="2" cm="1">
        <f t="array" ref="L83">IF(L82=0,IF(VLOOKUP(L$25,mission!$D$64:$F$78,3,FALSE)&lt;=$F$5*60/$C$7*2,INDEX(mission!$E$64:$E$78,MATCH(L$25,mission!$D$64:$D$78,0)),0))</f>
        <v>0</v>
      </c>
      <c r="M83" s="2" cm="1">
        <f t="array" ref="M83">IF(M82=0,IF(VLOOKUP(M$25,mission!$D$64:$F$78,3,FALSE)&lt;=$F$5*60/$C$7*2,INDEX(mission!$E$64:$E$78,MATCH(M$25,mission!$D$64:$D$78,0)),0))</f>
        <v>0</v>
      </c>
      <c r="N83" s="2" cm="1">
        <f t="array" ref="N83">IF(N82=0,IF(VLOOKUP(N$25,mission!$D$64:$F$78,3,FALSE)&lt;=$F$5*60/$C$7*$C$6*2,INDEX(mission!$E$64:$E$78,MATCH(N$25,mission!$D$64:$D$78,0)),0))</f>
        <v>0</v>
      </c>
      <c r="O83" s="2" cm="1">
        <f t="array" ref="O83">IF(O82=0,IF(VLOOKUP(O$25,mission!$D$64:$F$78,3,FALSE)&lt;=$F$5*60/$C$7*$C$6*2,INDEX(mission!$E$64:$E$78,MATCH(O$25,mission!$D$64:$D$78,0)),0))</f>
        <v>0</v>
      </c>
      <c r="P83" s="2" cm="1">
        <f t="array" ref="P83">IF(P82=0,IF(VLOOKUP(P$25,mission!$D$64:$F$78,3,FALSE)&lt;=$F$5*60/$C$7*$C$6*2,INDEX(mission!$E$64:$E$78,MATCH(P$25,mission!$D$64:$D$78,0)),0))</f>
        <v>0</v>
      </c>
      <c r="Q83" s="2" cm="1">
        <f t="array" ref="Q83">IF(Q82=0,IF(VLOOKUP(Q$25,mission!$D$64:$F$78,3,FALSE)&lt;=$F$5*60/$C$7*$C$6*2,INDEX(mission!$E$64:$E$78,MATCH(Q$25,mission!$D$64:$D$78,0)),0))</f>
        <v>0</v>
      </c>
      <c r="R83" s="2" cm="1">
        <f t="array" ref="R83">IF(R82=0,IF(VLOOKUP(R$25,mission!$D$64:$F$78,3,FALSE)&lt;=$F$5*60/$C$7*$C$6*2,INDEX(mission!$E$64:$E$78,MATCH(R$25,mission!$D$64:$D$78,0)),0))</f>
        <v>0</v>
      </c>
      <c r="S83" s="2" cm="1">
        <f t="array" ref="S83">IF(S82=0,IF(VLOOKUP(S$25,mission!$D$64:$F$78,3,FALSE)&lt;=$F$5*60/$C$7*$C$6*$C$4*2,INDEX(mission!$E$64:$E$78,MATCH(S$25,mission!$D$64:$D$78,0)),0))</f>
        <v>0</v>
      </c>
      <c r="T83" s="2" cm="1">
        <f t="array" ref="T83">IF(T82=0,IF(VLOOKUP(T$25,mission!$D$64:$F$78,3,FALSE)&lt;=$F$5*60/$C$7*$C$6*$C$4*2,INDEX(mission!$E$64:$E$78,MATCH(T$25,mission!$D$64:$D$78,0)),0))</f>
        <v>0</v>
      </c>
      <c r="U83" s="2" cm="1">
        <f t="array" ref="U83">IF(U82=0,IF(VLOOKUP(U$25,mission!$D$64:$F$78,3,FALSE)&lt;=$F$5*60/$C$7*$C$6*$C$4*2,INDEX(mission!$E$64:$E$78,MATCH(U$25,mission!$D$64:$D$78,0)),0))</f>
        <v>0</v>
      </c>
      <c r="V83" s="2" cm="1">
        <f t="array" ref="V83">IF(V82=0,IF(VLOOKUP(V$25,mission!$D$64:$F$78,3,FALSE)&lt;=$F$5*60/$C$7*$C$6*$C$4*2,INDEX(mission!$E$64:$E$78,MATCH(V$25,mission!$D$64:$D$78,0)),0))</f>
        <v>0</v>
      </c>
      <c r="W83" s="2" cm="1">
        <f t="array" ref="W83">IF(W82=0,IF(VLOOKUP(W$25,mission!$D$64:$F$78,3,FALSE)&lt;=$F$5*60/$C$7*$C$6*$C$4*2,INDEX(mission!$E$64:$E$78,MATCH(W$25,mission!$D$64:$D$78,0)),0))</f>
        <v>0</v>
      </c>
      <c r="X83" s="2"/>
      <c r="Y83" s="2"/>
      <c r="Z83" s="2"/>
    </row>
    <row r="84" s="1" customFormat="1" ht="18" customHeight="1" spans="2:26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1038</v>
      </c>
      <c r="G84" s="2">
        <f t="shared" si="2"/>
        <v>100</v>
      </c>
      <c r="H84" s="2">
        <f t="shared" si="3"/>
        <v>1700</v>
      </c>
      <c r="I84" s="2" cm="1">
        <f t="array" ref="I84">IF(I83=0,IF(VLOOKUP(I$25,mission!$D$64:$F$78,3,FALSE)&lt;=$F$5*60/$C$7*3,INDEX(mission!$E$64:$E$78,MATCH(I$25,mission!$D$64:$D$78,0)),0))</f>
        <v>25</v>
      </c>
      <c r="J84" s="2" cm="1">
        <f t="array" ref="J84">IF(J83=0,IF(VLOOKUP(J$25,mission!$D$64:$F$78,3,FALSE)&lt;=$F$5*60/$C$7*3,INDEX(mission!$E$64:$E$78,MATCH(J$25,mission!$D$64:$D$78,0)),0))</f>
        <v>0</v>
      </c>
      <c r="K84" s="2" cm="1">
        <f t="array" ref="K84">IF(K83=0,IF(VLOOKUP(K$25,mission!$D$64:$F$78,3,FALSE)&lt;=$F$5*60/$C$7*3,INDEX(mission!$E$64:$E$78,MATCH(K$25,mission!$D$64:$D$78,0)),0))</f>
        <v>0</v>
      </c>
      <c r="L84" s="2" cm="1">
        <f t="array" ref="L84">IF(L83=0,IF(VLOOKUP(L$25,mission!$D$64:$F$78,3,FALSE)&lt;=$F$5*60/$C$7*3,INDEX(mission!$E$64:$E$78,MATCH(L$25,mission!$D$64:$D$78,0)),0))</f>
        <v>0</v>
      </c>
      <c r="M84" s="2" cm="1">
        <f t="array" ref="M84">IF(M83=0,IF(VLOOKUP(M$25,mission!$D$64:$F$78,3,FALSE)&lt;=$F$5*60/$C$7*3,INDEX(mission!$E$64:$E$78,MATCH(M$25,mission!$D$64:$D$78,0)),0))</f>
        <v>0</v>
      </c>
      <c r="N84" s="2" cm="1">
        <f t="array" ref="N84">IF(N83=0,IF(VLOOKUP(N$25,mission!$D$64:$F$78,3,FALSE)&lt;=$F$5*60/$C$7*$C$6*3,INDEX(mission!$E$64:$E$78,MATCH(N$25,mission!$D$64:$D$78,0)),0))</f>
        <v>25</v>
      </c>
      <c r="O84" s="2" cm="1">
        <f t="array" ref="O84">IF(O83=0,IF(VLOOKUP(O$25,mission!$D$64:$F$78,3,FALSE)&lt;=$F$5*60/$C$7*$C$6*3,INDEX(mission!$E$64:$E$78,MATCH(O$25,mission!$D$64:$D$78,0)),0))</f>
        <v>0</v>
      </c>
      <c r="P84" s="2" cm="1">
        <f t="array" ref="P84">IF(P83=0,IF(VLOOKUP(P$25,mission!$D$64:$F$78,3,FALSE)&lt;=$F$5*60/$C$7*$C$6*3,INDEX(mission!$E$64:$E$78,MATCH(P$25,mission!$D$64:$D$78,0)),0))</f>
        <v>0</v>
      </c>
      <c r="Q84" s="2" cm="1">
        <f t="array" ref="Q84">IF(Q83=0,IF(VLOOKUP(Q$25,mission!$D$64:$F$78,3,FALSE)&lt;=$F$5*60/$C$7*$C$6*3,INDEX(mission!$E$64:$E$78,MATCH(Q$25,mission!$D$64:$D$78,0)),0))</f>
        <v>0</v>
      </c>
      <c r="R84" s="2" cm="1">
        <f t="array" ref="R84">IF(R83=0,IF(VLOOKUP(R$25,mission!$D$64:$F$78,3,FALSE)&lt;=$F$5*60/$C$7*$C$6*3,INDEX(mission!$E$64:$E$78,MATCH(R$25,mission!$D$64:$D$78,0)),0))</f>
        <v>0</v>
      </c>
      <c r="S84" s="2" cm="1">
        <f t="array" ref="S84">IF(S83=0,IF(VLOOKUP(S$25,mission!$D$64:$F$78,3,FALSE)&lt;=$F$5*60/$C$7*$C$6*$C$4*3,INDEX(mission!$E$64:$E$78,MATCH(S$25,mission!$D$64:$D$78,0)),0))</f>
        <v>50</v>
      </c>
      <c r="T84" s="2" cm="1">
        <f t="array" ref="T84">IF(T83=0,IF(VLOOKUP(T$25,mission!$D$64:$F$78,3,FALSE)&lt;=$F$5*60/$C$7*$C$6*$C$4*3,INDEX(mission!$E$64:$E$78,MATCH(T$25,mission!$D$64:$D$78,0)),0))</f>
        <v>0</v>
      </c>
      <c r="U84" s="2" cm="1">
        <f t="array" ref="U84">IF(U83=0,IF(VLOOKUP(U$25,mission!$D$64:$F$78,3,FALSE)&lt;=$F$5*60/$C$7*$C$6*$C$4*3,INDEX(mission!$E$64:$E$78,MATCH(U$25,mission!$D$64:$D$78,0)),0))</f>
        <v>0</v>
      </c>
      <c r="V84" s="2" cm="1">
        <f t="array" ref="V84">IF(V83=0,IF(VLOOKUP(V$25,mission!$D$64:$F$78,3,FALSE)&lt;=$F$5*60/$C$7*$C$6*$C$4*3,INDEX(mission!$E$64:$E$78,MATCH(V$25,mission!$D$64:$D$78,0)),0))</f>
        <v>0</v>
      </c>
      <c r="W84" s="2" cm="1">
        <f t="array" ref="W84">IF(W83=0,IF(VLOOKUP(W$25,mission!$D$64:$F$78,3,FALSE)&lt;=$F$5*60/$C$7*$C$6*$C$4*3,INDEX(mission!$E$64:$E$78,MATCH(W$25,mission!$D$64:$D$78,0)),0))</f>
        <v>0</v>
      </c>
      <c r="X84" s="2"/>
      <c r="Y84" s="2"/>
      <c r="Z84" s="2"/>
    </row>
    <row r="85" s="1" customFormat="1" ht="18" customHeight="1" spans="2:26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1056</v>
      </c>
      <c r="G85" s="2">
        <f t="shared" si="2"/>
        <v>0</v>
      </c>
      <c r="H85" s="2">
        <f t="shared" si="3"/>
        <v>1700</v>
      </c>
      <c r="I85" s="2" t="b" cm="1">
        <f t="array" ref="I85">IF(I84=0,IF(VLOOKUP(I$25,mission!$D$64:$F$78,3,FALSE)&lt;=$F$5*60/$C$7*4,INDEX(mission!$E$64:$E$78,MATCH(I$25,mission!$D$64:$D$78,0)),0))</f>
        <v>0</v>
      </c>
      <c r="J85" s="2" cm="1">
        <f t="array" ref="J85">IF(J84=0,IF(VLOOKUP(J$25,mission!$D$64:$F$78,3,FALSE)&lt;=$F$5*60/$C$7*4,INDEX(mission!$E$64:$E$78,MATCH(J$25,mission!$D$64:$D$78,0)),0))</f>
        <v>0</v>
      </c>
      <c r="K85" s="2" cm="1">
        <f t="array" ref="K85">IF(K84=0,IF(VLOOKUP(K$25,mission!$D$64:$F$78,3,FALSE)&lt;=$F$5*60/$C$7*4,INDEX(mission!$E$64:$E$78,MATCH(K$25,mission!$D$64:$D$78,0)),0))</f>
        <v>0</v>
      </c>
      <c r="L85" s="2" cm="1">
        <f t="array" ref="L85">IF(L84=0,IF(VLOOKUP(L$25,mission!$D$64:$F$78,3,FALSE)&lt;=$F$5*60/$C$7*4,INDEX(mission!$E$64:$E$78,MATCH(L$25,mission!$D$64:$D$78,0)),0))</f>
        <v>0</v>
      </c>
      <c r="M85" s="2" cm="1">
        <f t="array" ref="M85">IF(M84=0,IF(VLOOKUP(M$25,mission!$D$64:$F$78,3,FALSE)&lt;=$F$5*60/$C$7*4,INDEX(mission!$E$64:$E$78,MATCH(M$25,mission!$D$64:$D$78,0)),0))</f>
        <v>0</v>
      </c>
      <c r="N85" s="2" t="b" cm="1">
        <f t="array" ref="N85">IF(N84=0,IF(VLOOKUP(N$25,mission!$D$64:$F$78,3,FALSE)&lt;=$F$5*60/$C$7*$C$6*4,INDEX(mission!$E$64:$E$78,MATCH(N$25,mission!$D$64:$D$78,0)),0))</f>
        <v>0</v>
      </c>
      <c r="O85" s="2" cm="1">
        <f t="array" ref="O85">IF(O84=0,IF(VLOOKUP(O$25,mission!$D$64:$F$78,3,FALSE)&lt;=$F$5*60/$C$7*$C$6*4,INDEX(mission!$E$64:$E$78,MATCH(O$25,mission!$D$64:$D$78,0)),0))</f>
        <v>0</v>
      </c>
      <c r="P85" s="2" cm="1">
        <f t="array" ref="P85">IF(P84=0,IF(VLOOKUP(P$25,mission!$D$64:$F$78,3,FALSE)&lt;=$F$5*60/$C$7*$C$6*4,INDEX(mission!$E$64:$E$78,MATCH(P$25,mission!$D$64:$D$78,0)),0))</f>
        <v>0</v>
      </c>
      <c r="Q85" s="2" cm="1">
        <f t="array" ref="Q85">IF(Q84=0,IF(VLOOKUP(Q$25,mission!$D$64:$F$78,3,FALSE)&lt;=$F$5*60/$C$7*$C$6*4,INDEX(mission!$E$64:$E$78,MATCH(Q$25,mission!$D$64:$D$78,0)),0))</f>
        <v>0</v>
      </c>
      <c r="R85" s="2" cm="1">
        <f t="array" ref="R85">IF(R84=0,IF(VLOOKUP(R$25,mission!$D$64:$F$78,3,FALSE)&lt;=$F$5*60/$C$7*$C$6*4,INDEX(mission!$E$64:$E$78,MATCH(R$25,mission!$D$64:$D$78,0)),0))</f>
        <v>0</v>
      </c>
      <c r="S85" s="2" t="b" cm="1">
        <f t="array" ref="S85">IF(S84=0,IF(VLOOKUP(S$25,mission!$D$64:$F$78,3,FALSE)&lt;=$F$5*60/$C$7*$C$6*$C$4*4,INDEX(mission!$E$64:$E$78,MATCH(S$25,mission!$D$64:$D$78,0)),0))</f>
        <v>0</v>
      </c>
      <c r="T85" s="2" cm="1">
        <f t="array" ref="T85">IF(T84=0,IF(VLOOKUP(T$25,mission!$D$64:$F$78,3,FALSE)&lt;=$F$5*60/$C$7*$C$6*$C$4*4,INDEX(mission!$E$64:$E$78,MATCH(T$25,mission!$D$64:$D$78,0)),0))</f>
        <v>0</v>
      </c>
      <c r="U85" s="2" cm="1">
        <f t="array" ref="U85">IF(U84=0,IF(VLOOKUP(U$25,mission!$D$64:$F$78,3,FALSE)&lt;=$F$5*60/$C$7*$C$6*$C$4*4,INDEX(mission!$E$64:$E$78,MATCH(U$25,mission!$D$64:$D$78,0)),0))</f>
        <v>0</v>
      </c>
      <c r="V85" s="2" cm="1">
        <f t="array" ref="V85">IF(V84=0,IF(VLOOKUP(V$25,mission!$D$64:$F$78,3,FALSE)&lt;=$F$5*60/$C$7*$C$6*$C$4*4,INDEX(mission!$E$64:$E$78,MATCH(V$25,mission!$D$64:$D$78,0)),0))</f>
        <v>0</v>
      </c>
      <c r="W85" s="2" cm="1">
        <f t="array" ref="W85">IF(W84=0,IF(VLOOKUP(W$25,mission!$D$64:$F$78,3,FALSE)&lt;=$F$5*60/$C$7*$C$6*$C$4*4,INDEX(mission!$E$64:$E$78,MATCH(W$25,mission!$D$64:$D$78,0)),0))</f>
        <v>0</v>
      </c>
      <c r="X85" s="2"/>
      <c r="Y85" s="2"/>
      <c r="Z85" s="2"/>
    </row>
    <row r="86" s="1" customFormat="1" ht="18" customHeight="1" spans="2:26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1074</v>
      </c>
      <c r="G86" s="2">
        <f t="shared" si="2"/>
        <v>0</v>
      </c>
      <c r="H86" s="2">
        <f t="shared" si="3"/>
        <v>1700</v>
      </c>
      <c r="I86" s="2" t="b" cm="1">
        <f t="array" ref="I86">IF(I85=0,IF(VLOOKUP(I$25,mission!$D$64:$F$78,3,FALSE)&lt;=$F$5*60/$C$7*5,INDEX(mission!$E$64:$E$78,MATCH(I$25,mission!$D$64:$D$78,0)),0))</f>
        <v>0</v>
      </c>
      <c r="J86" s="2" cm="1">
        <f t="array" ref="J86">IF(J85=0,IF(VLOOKUP(J$25,mission!$D$64:$F$78,3,FALSE)&lt;=$F$5*60/$C$7*5,INDEX(mission!$E$64:$E$78,MATCH(J$25,mission!$D$64:$D$78,0)),0))</f>
        <v>0</v>
      </c>
      <c r="K86" s="2" cm="1">
        <f t="array" ref="K86">IF(K85=0,IF(VLOOKUP(K$25,mission!$D$64:$F$78,3,FALSE)&lt;=$F$5*60/$C$7*5,INDEX(mission!$E$64:$E$78,MATCH(K$25,mission!$D$64:$D$78,0)),0))</f>
        <v>0</v>
      </c>
      <c r="L86" s="2" cm="1">
        <f t="array" ref="L86">IF(L85=0,IF(VLOOKUP(L$25,mission!$D$64:$F$78,3,FALSE)&lt;=$F$5*60/$C$7*5,INDEX(mission!$E$64:$E$78,MATCH(L$25,mission!$D$64:$D$78,0)),0))</f>
        <v>0</v>
      </c>
      <c r="M86" s="2" cm="1">
        <f t="array" ref="M86">IF(M85=0,IF(VLOOKUP(M$25,mission!$D$64:$F$78,3,FALSE)&lt;=$F$5*60/$C$7*5,INDEX(mission!$E$64:$E$78,MATCH(M$25,mission!$D$64:$D$78,0)),0))</f>
        <v>0</v>
      </c>
      <c r="N86" s="2" t="b" cm="1">
        <f t="array" ref="N86">IF(N85=0,IF(VLOOKUP(N$25,mission!$D$64:$F$78,3,FALSE)&lt;=$F$5*60/$C$7*$C$6*5,INDEX(mission!$E$64:$E$78,MATCH(N$25,mission!$D$64:$D$78,0)),0))</f>
        <v>0</v>
      </c>
      <c r="O86" s="2" cm="1">
        <f t="array" ref="O86">IF(O85=0,IF(VLOOKUP(O$25,mission!$D$64:$F$78,3,FALSE)&lt;=$F$5*60/$C$7*$C$6*5,INDEX(mission!$E$64:$E$78,MATCH(O$25,mission!$D$64:$D$78,0)),0))</f>
        <v>0</v>
      </c>
      <c r="P86" s="2" cm="1">
        <f t="array" ref="P86">IF(P85=0,IF(VLOOKUP(P$25,mission!$D$64:$F$78,3,FALSE)&lt;=$F$5*60/$C$7*$C$6*5,INDEX(mission!$E$64:$E$78,MATCH(P$25,mission!$D$64:$D$78,0)),0))</f>
        <v>0</v>
      </c>
      <c r="Q86" s="2" cm="1">
        <f t="array" ref="Q86">IF(Q85=0,IF(VLOOKUP(Q$25,mission!$D$64:$F$78,3,FALSE)&lt;=$F$5*60/$C$7*$C$6*5,INDEX(mission!$E$64:$E$78,MATCH(Q$25,mission!$D$64:$D$78,0)),0))</f>
        <v>0</v>
      </c>
      <c r="R86" s="2" cm="1">
        <f t="array" ref="R86">IF(R85=0,IF(VLOOKUP(R$25,mission!$D$64:$F$78,3,FALSE)&lt;=$F$5*60/$C$7*$C$6*5,INDEX(mission!$E$64:$E$78,MATCH(R$25,mission!$D$64:$D$78,0)),0))</f>
        <v>0</v>
      </c>
      <c r="S86" s="2" t="b" cm="1">
        <f t="array" ref="S86">IF(S85=0,IF(VLOOKUP(S$25,mission!$D$64:$F$78,3,FALSE)&lt;=$F$5*60/$C$7*$C$6*$C$4*5,INDEX(mission!$E$64:$E$78,MATCH(S$25,mission!$D$64:$D$78,0)),0))</f>
        <v>0</v>
      </c>
      <c r="T86" s="2" cm="1">
        <f t="array" ref="T86">IF(T85=0,IF(VLOOKUP(T$25,mission!$D$64:$F$78,3,FALSE)&lt;=$F$5*60/$C$7*$C$6*$C$4*5,INDEX(mission!$E$64:$E$78,MATCH(T$25,mission!$D$64:$D$78,0)),0))</f>
        <v>0</v>
      </c>
      <c r="U86" s="2" cm="1">
        <f t="array" ref="U86">IF(U85=0,IF(VLOOKUP(U$25,mission!$D$64:$F$78,3,FALSE)&lt;=$F$5*60/$C$7*$C$6*$C$4*5,INDEX(mission!$E$64:$E$78,MATCH(U$25,mission!$D$64:$D$78,0)),0))</f>
        <v>0</v>
      </c>
      <c r="V86" s="2" cm="1">
        <f t="array" ref="V86">IF(V85=0,IF(VLOOKUP(V$25,mission!$D$64:$F$78,3,FALSE)&lt;=$F$5*60/$C$7*$C$6*$C$4*5,INDEX(mission!$E$64:$E$78,MATCH(V$25,mission!$D$64:$D$78,0)),0))</f>
        <v>0</v>
      </c>
      <c r="W86" s="2" cm="1">
        <f t="array" ref="W86">IF(W85=0,IF(VLOOKUP(W$25,mission!$D$64:$F$78,3,FALSE)&lt;=$F$5*60/$C$7*$C$6*$C$4*5,INDEX(mission!$E$64:$E$78,MATCH(W$25,mission!$D$64:$D$78,0)),0))</f>
        <v>0</v>
      </c>
      <c r="X86" s="2"/>
      <c r="Y86" s="2"/>
      <c r="Z86" s="2"/>
    </row>
    <row r="87" s="1" customFormat="1" ht="18" customHeight="1" spans="2:26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1091</v>
      </c>
      <c r="G87" s="2">
        <f t="shared" si="2"/>
        <v>100</v>
      </c>
      <c r="H87" s="2">
        <f t="shared" si="3"/>
        <v>1800</v>
      </c>
      <c r="I87" s="2" t="b" cm="1">
        <f t="array" ref="I87">IF(I86=0,IF(VLOOKUP(I$25,mission!$D$64:$F$78,3,FALSE)&lt;=$F$5*60/$C$7*6,INDEX(mission!$E$64:$E$78,MATCH(I$25,mission!$D$64:$D$78,0)),0))</f>
        <v>0</v>
      </c>
      <c r="J87" s="2" cm="1">
        <f t="array" ref="J87">IF(J86=0,IF(VLOOKUP(J$25,mission!$D$64:$F$78,3,FALSE)&lt;=$F$5*60/$C$7*6,INDEX(mission!$E$64:$E$78,MATCH(J$25,mission!$D$64:$D$78,0)),0))</f>
        <v>25</v>
      </c>
      <c r="K87" s="2" cm="1">
        <f t="array" ref="K87">IF(K86=0,IF(VLOOKUP(K$25,mission!$D$64:$F$78,3,FALSE)&lt;=$F$5*60/$C$7*6,INDEX(mission!$E$64:$E$78,MATCH(K$25,mission!$D$64:$D$78,0)),0))</f>
        <v>0</v>
      </c>
      <c r="L87" s="2" cm="1">
        <f t="array" ref="L87">IF(L86=0,IF(VLOOKUP(L$25,mission!$D$64:$F$78,3,FALSE)&lt;=$F$5*60/$C$7*6,INDEX(mission!$E$64:$E$78,MATCH(L$25,mission!$D$64:$D$78,0)),0))</f>
        <v>0</v>
      </c>
      <c r="M87" s="2" cm="1">
        <f t="array" ref="M87">IF(M86=0,IF(VLOOKUP(M$25,mission!$D$64:$F$78,3,FALSE)&lt;=$F$5*60/$C$7*6,INDEX(mission!$E$64:$E$78,MATCH(M$25,mission!$D$64:$D$78,0)),0))</f>
        <v>0</v>
      </c>
      <c r="N87" s="2" t="b" cm="1">
        <f t="array" ref="N87">IF(N86=0,IF(VLOOKUP(N$25,mission!$D$64:$F$78,3,FALSE)&lt;=$F$5*60/$C$7*$C$6*6,INDEX(mission!$E$64:$E$78,MATCH(N$25,mission!$D$64:$D$78,0)),0))</f>
        <v>0</v>
      </c>
      <c r="O87" s="2" cm="1">
        <f t="array" ref="O87">IF(O86=0,IF(VLOOKUP(O$25,mission!$D$64:$F$78,3,FALSE)&lt;=$F$5*60/$C$7*$C$6*6,INDEX(mission!$E$64:$E$78,MATCH(O$25,mission!$D$64:$D$78,0)),0))</f>
        <v>25</v>
      </c>
      <c r="P87" s="2" cm="1">
        <f t="array" ref="P87">IF(P86=0,IF(VLOOKUP(P$25,mission!$D$64:$F$78,3,FALSE)&lt;=$F$5*60/$C$7*$C$6*6,INDEX(mission!$E$64:$E$78,MATCH(P$25,mission!$D$64:$D$78,0)),0))</f>
        <v>0</v>
      </c>
      <c r="Q87" s="2" cm="1">
        <f t="array" ref="Q87">IF(Q86=0,IF(VLOOKUP(Q$25,mission!$D$64:$F$78,3,FALSE)&lt;=$F$5*60/$C$7*$C$6*6,INDEX(mission!$E$64:$E$78,MATCH(Q$25,mission!$D$64:$D$78,0)),0))</f>
        <v>0</v>
      </c>
      <c r="R87" s="2" cm="1">
        <f t="array" ref="R87">IF(R86=0,IF(VLOOKUP(R$25,mission!$D$64:$F$78,3,FALSE)&lt;=$F$5*60/$C$7*$C$6*6,INDEX(mission!$E$64:$E$78,MATCH(R$25,mission!$D$64:$D$78,0)),0))</f>
        <v>0</v>
      </c>
      <c r="S87" s="2" t="b" cm="1">
        <f t="array" ref="S87">IF(S86=0,IF(VLOOKUP(S$25,mission!$D$64:$F$78,3,FALSE)&lt;=$F$5*60/$C$7*$C$6*$C$4*6,INDEX(mission!$E$64:$E$78,MATCH(S$25,mission!$D$64:$D$78,0)),0))</f>
        <v>0</v>
      </c>
      <c r="T87" s="2" cm="1">
        <f t="array" ref="T87">IF(T86=0,IF(VLOOKUP(T$25,mission!$D$64:$F$78,3,FALSE)&lt;=$F$5*60/$C$7*$C$6*$C$4*6,INDEX(mission!$E$64:$E$78,MATCH(T$25,mission!$D$64:$D$78,0)),0))</f>
        <v>50</v>
      </c>
      <c r="U87" s="2" cm="1">
        <f t="array" ref="U87">IF(U86=0,IF(VLOOKUP(U$25,mission!$D$64:$F$78,3,FALSE)&lt;=$F$5*60/$C$7*$C$6*$C$4*6,INDEX(mission!$E$64:$E$78,MATCH(U$25,mission!$D$64:$D$78,0)),0))</f>
        <v>0</v>
      </c>
      <c r="V87" s="2" cm="1">
        <f t="array" ref="V87">IF(V86=0,IF(VLOOKUP(V$25,mission!$D$64:$F$78,3,FALSE)&lt;=$F$5*60/$C$7*$C$6*$C$4*6,INDEX(mission!$E$64:$E$78,MATCH(V$25,mission!$D$64:$D$78,0)),0))</f>
        <v>0</v>
      </c>
      <c r="W87" s="2" cm="1">
        <f t="array" ref="W87">IF(W86=0,IF(VLOOKUP(W$25,mission!$D$64:$F$78,3,FALSE)&lt;=$F$5*60/$C$7*$C$6*$C$4*6,INDEX(mission!$E$64:$E$78,MATCH(W$25,mission!$D$64:$D$78,0)),0))</f>
        <v>0</v>
      </c>
      <c r="X87" s="2"/>
      <c r="Y87" s="2"/>
      <c r="Z87" s="2"/>
    </row>
    <row r="88" s="10" customFormat="1" ht="18" customHeight="1" spans="2:26">
      <c r="B88" s="10">
        <v>63</v>
      </c>
      <c r="C88" s="10">
        <f t="shared" si="0"/>
        <v>63000</v>
      </c>
      <c r="D88" s="10">
        <f>ROUND($C$8*$C$5+$C$8*$C$4*(1-$L$5),0)</f>
        <v>88</v>
      </c>
      <c r="E88" s="10">
        <f t="shared" si="1"/>
        <v>5544</v>
      </c>
      <c r="F88" s="10">
        <f>ROUND(E88*VLOOKUP($B$10,总产出!$T$4:$U$14,2,FALSE),0)</f>
        <v>1109</v>
      </c>
      <c r="G88" s="10">
        <f t="shared" si="2"/>
        <v>0</v>
      </c>
      <c r="H88" s="10">
        <f t="shared" si="3"/>
        <v>1800</v>
      </c>
      <c r="I88" s="10" t="b" cm="1">
        <f t="array" ref="I88">IF(I87=0,IF(VLOOKUP(I$25,mission!$D$64:$F$78,3,FALSE)&lt;=$F$5*60/$C$7*7,INDEX(mission!$E$64:$E$78,MATCH(I$25,mission!$D$64:$D$78,0)),0))</f>
        <v>0</v>
      </c>
      <c r="J88" s="10" t="b" cm="1">
        <f t="array" ref="J88">IF(J87=0,IF(VLOOKUP(J$25,mission!$D$64:$F$78,3,FALSE)&lt;=$F$5*60/$C$7*7,INDEX(mission!$E$64:$E$78,MATCH(J$25,mission!$D$64:$D$78,0)),0))</f>
        <v>0</v>
      </c>
      <c r="K88" s="10" cm="1">
        <f t="array" ref="K88">IF(K87=0,IF(VLOOKUP(K$25,mission!$D$64:$F$78,3,FALSE)&lt;=$F$5*60/$C$7*7,INDEX(mission!$E$64:$E$78,MATCH(K$25,mission!$D$64:$D$78,0)),0))</f>
        <v>0</v>
      </c>
      <c r="L88" s="10" cm="1">
        <f t="array" ref="L88">IF(L87=0,IF(VLOOKUP(L$25,mission!$D$64:$F$78,3,FALSE)&lt;=$F$5*60/$C$7*7,INDEX(mission!$E$64:$E$78,MATCH(L$25,mission!$D$64:$D$78,0)),0))</f>
        <v>0</v>
      </c>
      <c r="M88" s="10" cm="1">
        <f t="array" ref="M88">IF(M87=0,IF(VLOOKUP(M$25,mission!$D$64:$F$78,3,FALSE)&lt;=$F$5*60/$C$7*7,INDEX(mission!$E$64:$E$78,MATCH(M$25,mission!$D$64:$D$78,0)),0))</f>
        <v>0</v>
      </c>
      <c r="N88" s="10" t="b" cm="1">
        <f t="array" ref="N88">IF(N87=0,IF(VLOOKUP(N$25,mission!$D$64:$F$78,3,FALSE)&lt;=$F$5*60/$C$7*$C$6*7,INDEX(mission!$E$64:$E$78,MATCH(N$25,mission!$D$64:$D$78,0)),0))</f>
        <v>0</v>
      </c>
      <c r="O88" s="10" t="b" cm="1">
        <f t="array" ref="O88">IF(O87=0,IF(VLOOKUP(O$25,mission!$D$64:$F$78,3,FALSE)&lt;=$F$5*60/$C$7*$C$6*7,INDEX(mission!$E$64:$E$78,MATCH(O$25,mission!$D$64:$D$78,0)),0))</f>
        <v>0</v>
      </c>
      <c r="P88" s="10" cm="1">
        <f t="array" ref="P88">IF(P87=0,IF(VLOOKUP(P$25,mission!$D$64:$F$78,3,FALSE)&lt;=$F$5*60/$C$7*$C$6*7,INDEX(mission!$E$64:$E$78,MATCH(P$25,mission!$D$64:$D$78,0)),0))</f>
        <v>0</v>
      </c>
      <c r="Q88" s="10" cm="1">
        <f t="array" ref="Q88">IF(Q87=0,IF(VLOOKUP(Q$25,mission!$D$64:$F$78,3,FALSE)&lt;=$F$5*60/$C$7*$C$6*7,INDEX(mission!$E$64:$E$78,MATCH(Q$25,mission!$D$64:$D$78,0)),0))</f>
        <v>0</v>
      </c>
      <c r="R88" s="10" cm="1">
        <f t="array" ref="R88">IF(R87=0,IF(VLOOKUP(R$25,mission!$D$64:$F$78,3,FALSE)&lt;=$F$5*60/$C$7*$C$6*7,INDEX(mission!$E$64:$E$78,MATCH(R$25,mission!$D$64:$D$78,0)),0))</f>
        <v>0</v>
      </c>
      <c r="S88" s="10" t="b" cm="1">
        <f t="array" ref="S88">IF(S87=0,IF(VLOOKUP(S$25,mission!$D$64:$F$78,3,FALSE)&lt;=$F$5*60/$C$7*$C$6*$C$4*7,INDEX(mission!$E$64:$E$78,MATCH(S$25,mission!$D$64:$D$78,0)),0))</f>
        <v>0</v>
      </c>
      <c r="T88" s="10" t="b" cm="1">
        <f t="array" ref="T88">IF(T87=0,IF(VLOOKUP(T$25,mission!$D$64:$F$78,3,FALSE)&lt;=$F$5*60/$C$7*$C$6*$C$4*7,INDEX(mission!$E$64:$E$78,MATCH(T$25,mission!$D$64:$D$78,0)),0))</f>
        <v>0</v>
      </c>
      <c r="U88" s="10" cm="1">
        <f t="array" ref="U88">IF(U87=0,IF(VLOOKUP(U$25,mission!$D$64:$F$78,3,FALSE)&lt;=$F$5*60/$C$7*$C$6*$C$4*7,INDEX(mission!$E$64:$E$78,MATCH(U$25,mission!$D$64:$D$78,0)),0))</f>
        <v>0</v>
      </c>
      <c r="V88" s="10" cm="1">
        <f t="array" ref="V88">IF(V87=0,IF(VLOOKUP(V$25,mission!$D$64:$F$78,3,FALSE)&lt;=$F$5*60/$C$7*$C$6*$C$4*7,INDEX(mission!$E$64:$E$78,MATCH(V$25,mission!$D$64:$D$78,0)),0))</f>
        <v>0</v>
      </c>
      <c r="W88" s="10" cm="1">
        <f t="array" ref="W88">IF(W87=0,IF(VLOOKUP(W$25,mission!$D$64:$F$78,3,FALSE)&lt;=$F$5*60/$C$7*$C$6*$C$4*7,INDEX(mission!$E$64:$E$78,MATCH(W$25,mission!$D$64:$D$78,0)),0))</f>
        <v>0</v>
      </c>
      <c r="X88" s="2"/>
      <c r="Y88" s="2"/>
      <c r="Z88" s="2"/>
    </row>
    <row r="89" s="1" customFormat="1" ht="18" customHeight="1" spans="2:26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1126</v>
      </c>
      <c r="G89" s="2">
        <f t="shared" si="2"/>
        <v>0</v>
      </c>
      <c r="H89" s="2">
        <f t="shared" si="3"/>
        <v>1800</v>
      </c>
      <c r="I89" s="2" cm="1">
        <f t="array" ref="I89">IF(VLOOKUP(I$25,mission!$D$64:$F$78,3,FALSE)&lt;=$F$5*60/$C$7,INDEX(mission!$E$64:$E$78,MATCH(I$25,mission!$D$64:$D$78,0)),0)</f>
        <v>0</v>
      </c>
      <c r="J89" s="2" cm="1">
        <f t="array" ref="J89">IF(VLOOKUP(J$25,mission!$D$64:$F$78,3,FALSE)&lt;=$F$5*60/$C$7,INDEX(mission!$E$64:$E$78,MATCH(J$25,mission!$D$64:$D$78,0)),0)</f>
        <v>0</v>
      </c>
      <c r="K89" s="2" cm="1">
        <f t="array" ref="K89">IF(VLOOKUP(K$25,mission!$D$64:$F$78,3,FALSE)&lt;=$F$5*60/$C$7,INDEX(mission!$E$64:$E$78,MATCH(K$25,mission!$D$64:$D$78,0)),0)</f>
        <v>0</v>
      </c>
      <c r="L89" s="2" cm="1">
        <f t="array" ref="L89">IF(VLOOKUP(L$25,mission!$D$64:$F$78,3,FALSE)&lt;=$F$5*60/$C$7,INDEX(mission!$E$64:$E$78,MATCH(L$25,mission!$D$64:$D$78,0)),0)</f>
        <v>0</v>
      </c>
      <c r="M89" s="2" cm="1">
        <f t="array" ref="M89">IF(VLOOKUP(M$25,mission!$D$64:$F$78,3,FALSE)&lt;=$F$5*60/$C$7,INDEX(mission!$E$64:$E$78,MATCH(M$25,mission!$D$64:$D$78,0)),0)</f>
        <v>0</v>
      </c>
      <c r="N89" s="2" cm="1">
        <f t="array" ref="N89">IF(VLOOKUP(N$25,mission!$D$64:$F$78,3,FALSE)&lt;=$F$5*60/$C$7*$C$6,INDEX(mission!$E$64:$E$78,MATCH(N$25,mission!$D$64:$D$78,0)),0)</f>
        <v>0</v>
      </c>
      <c r="O89" s="2" cm="1">
        <f t="array" ref="O89">IF(VLOOKUP(O$25,mission!$D$64:$F$78,3,FALSE)&lt;=$F$5*60/$C$7*$C$6,INDEX(mission!$E$64:$E$78,MATCH(O$25,mission!$D$64:$D$78,0)),0)</f>
        <v>0</v>
      </c>
      <c r="P89" s="2" cm="1">
        <f t="array" ref="P89">IF(VLOOKUP(P$25,mission!$D$64:$F$78,3,FALSE)&lt;=$F$5*60/$C$7*$C$6,INDEX(mission!$E$64:$E$78,MATCH(P$25,mission!$D$64:$D$78,0)),0)</f>
        <v>0</v>
      </c>
      <c r="Q89" s="2" cm="1">
        <f t="array" ref="Q89">IF(VLOOKUP(Q$25,mission!$D$64:$F$78,3,FALSE)&lt;=$F$5*60/$C$7*$C$6,INDEX(mission!$E$64:$E$78,MATCH(Q$25,mission!$D$64:$D$78,0)),0)</f>
        <v>0</v>
      </c>
      <c r="R89" s="2" cm="1">
        <f t="array" ref="R89">IF(VLOOKUP(R$25,mission!$D$64:$F$78,3,FALSE)&lt;=$F$5*60/$C$7*$C$6,INDEX(mission!$E$64:$E$78,MATCH(R$25,mission!$D$64:$D$78,0)),0)</f>
        <v>0</v>
      </c>
      <c r="S89" s="2" cm="1">
        <f t="array" ref="S89">IF(VLOOKUP(S$25,mission!$D$64:$F$78,3,FALSE)&lt;=$F$5*60/$C$7*$C$6*$C$4,INDEX(mission!$E$64:$E$78,MATCH(S$25,mission!$D$64:$D$78,0)),0)</f>
        <v>0</v>
      </c>
      <c r="T89" s="2" cm="1">
        <f t="array" ref="T89">IF(VLOOKUP(T$25,mission!$D$64:$F$78,3,FALSE)&lt;=$F$5*60/$C$7*$C$6*$C$4,INDEX(mission!$E$64:$E$78,MATCH(T$25,mission!$D$64:$D$78,0)),0)</f>
        <v>0</v>
      </c>
      <c r="U89" s="2" cm="1">
        <f t="array" ref="U89">IF(VLOOKUP(U$25,mission!$D$64:$F$78,3,FALSE)&lt;=$F$5*60/$C$7*$C$6*$C$4,INDEX(mission!$E$64:$E$78,MATCH(U$25,mission!$D$64:$D$78,0)),0)</f>
        <v>0</v>
      </c>
      <c r="V89" s="2" cm="1">
        <f t="array" ref="V89">IF(VLOOKUP(V$25,mission!$D$64:$F$78,3,FALSE)&lt;=$F$5*60/$C$7*$C$6*$C$4,INDEX(mission!$E$64:$E$78,MATCH(V$25,mission!$D$64:$D$78,0)),0)</f>
        <v>0</v>
      </c>
      <c r="W89" s="2" cm="1">
        <f t="array" ref="W89">IF(VLOOKUP(W$25,mission!$D$64:$F$78,3,FALSE)&lt;=$F$5*60/$C$7*$C$6*$C$4,INDEX(mission!$E$64:$E$78,MATCH(W$25,mission!$D$64:$D$78,0)),0)</f>
        <v>0</v>
      </c>
      <c r="X89" s="2"/>
      <c r="Y89" s="2"/>
      <c r="Z89" s="2"/>
    </row>
    <row r="90" s="1" customFormat="1" ht="18" customHeight="1" spans="2:26">
      <c r="B90" s="2">
        <v>65</v>
      </c>
      <c r="C90" s="2">
        <f t="shared" ref="C90:C125" si="6">$C$8*B90</f>
        <v>65000</v>
      </c>
      <c r="D90" s="2">
        <f>ROUND($C$8*$C$5+$C$8*$C$4*(1-$L$5),0)</f>
        <v>88</v>
      </c>
      <c r="E90" s="2">
        <f t="shared" ref="E90:E125" si="7">D90*B90</f>
        <v>5720</v>
      </c>
      <c r="F90" s="2">
        <f>ROUND(E90*VLOOKUP($B$10,总产出!$T$4:$U$14,2,FALSE),0)</f>
        <v>1144</v>
      </c>
      <c r="G90" s="2">
        <f t="shared" ref="G90:G125" si="8">SUM(I90:W90)</f>
        <v>0</v>
      </c>
      <c r="H90" s="2">
        <f t="shared" si="3"/>
        <v>1800</v>
      </c>
      <c r="I90" s="2" cm="1">
        <f t="array" ref="I90">IF(I89=0,IF(VLOOKUP(I$25,mission!$D$64:$F$78,3,FALSE)&lt;=$F$5*60/$C$7*2,INDEX(mission!$E$64:$E$78,MATCH(I$25,mission!$D$64:$D$78,0)),0))</f>
        <v>0</v>
      </c>
      <c r="J90" s="2" cm="1">
        <f t="array" ref="J90">IF(J89=0,IF(VLOOKUP(J$25,mission!$D$64:$F$78,3,FALSE)&lt;=$F$5*60/$C$7*2,INDEX(mission!$E$64:$E$78,MATCH(J$25,mission!$D$64:$D$78,0)),0))</f>
        <v>0</v>
      </c>
      <c r="K90" s="2" cm="1">
        <f t="array" ref="K90">IF(K89=0,IF(VLOOKUP(K$25,mission!$D$64:$F$78,3,FALSE)&lt;=$F$5*60/$C$7*2,INDEX(mission!$E$64:$E$78,MATCH(K$25,mission!$D$64:$D$78,0)),0))</f>
        <v>0</v>
      </c>
      <c r="L90" s="2" cm="1">
        <f t="array" ref="L90">IF(L89=0,IF(VLOOKUP(L$25,mission!$D$64:$F$78,3,FALSE)&lt;=$F$5*60/$C$7*2,INDEX(mission!$E$64:$E$78,MATCH(L$25,mission!$D$64:$D$78,0)),0))</f>
        <v>0</v>
      </c>
      <c r="M90" s="2" cm="1">
        <f t="array" ref="M90">IF(M89=0,IF(VLOOKUP(M$25,mission!$D$64:$F$78,3,FALSE)&lt;=$F$5*60/$C$7*2,INDEX(mission!$E$64:$E$78,MATCH(M$25,mission!$D$64:$D$78,0)),0))</f>
        <v>0</v>
      </c>
      <c r="N90" s="2" cm="1">
        <f t="array" ref="N90">IF(N89=0,IF(VLOOKUP(N$25,mission!$D$64:$F$78,3,FALSE)&lt;=$F$5*60/$C$7*$C$6*2,INDEX(mission!$E$64:$E$78,MATCH(N$25,mission!$D$64:$D$78,0)),0))</f>
        <v>0</v>
      </c>
      <c r="O90" s="2" cm="1">
        <f t="array" ref="O90">IF(O89=0,IF(VLOOKUP(O$25,mission!$D$64:$F$78,3,FALSE)&lt;=$F$5*60/$C$7*$C$6*2,INDEX(mission!$E$64:$E$78,MATCH(O$25,mission!$D$64:$D$78,0)),0))</f>
        <v>0</v>
      </c>
      <c r="P90" s="2" cm="1">
        <f t="array" ref="P90">IF(P89=0,IF(VLOOKUP(P$25,mission!$D$64:$F$78,3,FALSE)&lt;=$F$5*60/$C$7*$C$6*2,INDEX(mission!$E$64:$E$78,MATCH(P$25,mission!$D$64:$D$78,0)),0))</f>
        <v>0</v>
      </c>
      <c r="Q90" s="2" cm="1">
        <f t="array" ref="Q90">IF(Q89=0,IF(VLOOKUP(Q$25,mission!$D$64:$F$78,3,FALSE)&lt;=$F$5*60/$C$7*$C$6*2,INDEX(mission!$E$64:$E$78,MATCH(Q$25,mission!$D$64:$D$78,0)),0))</f>
        <v>0</v>
      </c>
      <c r="R90" s="2" cm="1">
        <f t="array" ref="R90">IF(R89=0,IF(VLOOKUP(R$25,mission!$D$64:$F$78,3,FALSE)&lt;=$F$5*60/$C$7*$C$6*2,INDEX(mission!$E$64:$E$78,MATCH(R$25,mission!$D$64:$D$78,0)),0))</f>
        <v>0</v>
      </c>
      <c r="S90" s="2" cm="1">
        <f t="array" ref="S90">IF(S89=0,IF(VLOOKUP(S$25,mission!$D$64:$F$78,3,FALSE)&lt;=$F$5*60/$C$7*$C$6*$C$4*2,INDEX(mission!$E$64:$E$78,MATCH(S$25,mission!$D$64:$D$78,0)),0))</f>
        <v>0</v>
      </c>
      <c r="T90" s="2" cm="1">
        <f t="array" ref="T90">IF(T89=0,IF(VLOOKUP(T$25,mission!$D$64:$F$78,3,FALSE)&lt;=$F$5*60/$C$7*$C$6*$C$4*2,INDEX(mission!$E$64:$E$78,MATCH(T$25,mission!$D$64:$D$78,0)),0))</f>
        <v>0</v>
      </c>
      <c r="U90" s="2" cm="1">
        <f t="array" ref="U90">IF(U89=0,IF(VLOOKUP(U$25,mission!$D$64:$F$78,3,FALSE)&lt;=$F$5*60/$C$7*$C$6*$C$4*2,INDEX(mission!$E$64:$E$78,MATCH(U$25,mission!$D$64:$D$78,0)),0))</f>
        <v>0</v>
      </c>
      <c r="V90" s="2" cm="1">
        <f t="array" ref="V90">IF(V89=0,IF(VLOOKUP(V$25,mission!$D$64:$F$78,3,FALSE)&lt;=$F$5*60/$C$7*$C$6*$C$4*2,INDEX(mission!$E$64:$E$78,MATCH(V$25,mission!$D$64:$D$78,0)),0))</f>
        <v>0</v>
      </c>
      <c r="W90" s="2" cm="1">
        <f t="array" ref="W90">IF(W89=0,IF(VLOOKUP(W$25,mission!$D$64:$F$78,3,FALSE)&lt;=$F$5*60/$C$7*$C$6*$C$4*2,INDEX(mission!$E$64:$E$78,MATCH(W$25,mission!$D$64:$D$78,0)),0))</f>
        <v>0</v>
      </c>
      <c r="X90" s="2"/>
      <c r="Y90" s="2"/>
      <c r="Z90" s="2"/>
    </row>
    <row r="91" s="1" customFormat="1" ht="18" customHeight="1" spans="2:26">
      <c r="B91" s="2">
        <v>66</v>
      </c>
      <c r="C91" s="2">
        <f t="shared" si="6"/>
        <v>66000</v>
      </c>
      <c r="D91" s="2">
        <f>ROUND($C$8*$C$5+$C$8*$C$4*(1-$L$5),0)</f>
        <v>88</v>
      </c>
      <c r="E91" s="2">
        <f t="shared" si="7"/>
        <v>5808</v>
      </c>
      <c r="F91" s="2">
        <f>ROUND(E91*VLOOKUP($B$10,总产出!$T$4:$U$14,2,FALSE),0)</f>
        <v>1162</v>
      </c>
      <c r="G91" s="2">
        <f t="shared" si="8"/>
        <v>100</v>
      </c>
      <c r="H91" s="2">
        <f t="shared" ref="H91:H125" si="9">G91+H90</f>
        <v>1900</v>
      </c>
      <c r="I91" s="2" cm="1">
        <f t="array" ref="I91">IF(I90=0,IF(VLOOKUP(I$25,mission!$D$64:$F$78,3,FALSE)&lt;=$F$5*60/$C$7*3,INDEX(mission!$E$64:$E$78,MATCH(I$25,mission!$D$64:$D$78,0)),0))</f>
        <v>25</v>
      </c>
      <c r="J91" s="2" cm="1">
        <f t="array" ref="J91">IF(J90=0,IF(VLOOKUP(J$25,mission!$D$64:$F$78,3,FALSE)&lt;=$F$5*60/$C$7*3,INDEX(mission!$E$64:$E$78,MATCH(J$25,mission!$D$64:$D$78,0)),0))</f>
        <v>0</v>
      </c>
      <c r="K91" s="2" cm="1">
        <f t="array" ref="K91">IF(K90=0,IF(VLOOKUP(K$25,mission!$D$64:$F$78,3,FALSE)&lt;=$F$5*60/$C$7*3,INDEX(mission!$E$64:$E$78,MATCH(K$25,mission!$D$64:$D$78,0)),0))</f>
        <v>0</v>
      </c>
      <c r="L91" s="2" cm="1">
        <f t="array" ref="L91">IF(L90=0,IF(VLOOKUP(L$25,mission!$D$64:$F$78,3,FALSE)&lt;=$F$5*60/$C$7*3,INDEX(mission!$E$64:$E$78,MATCH(L$25,mission!$D$64:$D$78,0)),0))</f>
        <v>0</v>
      </c>
      <c r="M91" s="2" cm="1">
        <f t="array" ref="M91">IF(M90=0,IF(VLOOKUP(M$25,mission!$D$64:$F$78,3,FALSE)&lt;=$F$5*60/$C$7*3,INDEX(mission!$E$64:$E$78,MATCH(M$25,mission!$D$64:$D$78,0)),0))</f>
        <v>0</v>
      </c>
      <c r="N91" s="2" cm="1">
        <f t="array" ref="N91">IF(N90=0,IF(VLOOKUP(N$25,mission!$D$64:$F$78,3,FALSE)&lt;=$F$5*60/$C$7*$C$6*3,INDEX(mission!$E$64:$E$78,MATCH(N$25,mission!$D$64:$D$78,0)),0))</f>
        <v>25</v>
      </c>
      <c r="O91" s="2" cm="1">
        <f t="array" ref="O91">IF(O90=0,IF(VLOOKUP(O$25,mission!$D$64:$F$78,3,FALSE)&lt;=$F$5*60/$C$7*$C$6*3,INDEX(mission!$E$64:$E$78,MATCH(O$25,mission!$D$64:$D$78,0)),0))</f>
        <v>0</v>
      </c>
      <c r="P91" s="2" cm="1">
        <f t="array" ref="P91">IF(P90=0,IF(VLOOKUP(P$25,mission!$D$64:$F$78,3,FALSE)&lt;=$F$5*60/$C$7*$C$6*3,INDEX(mission!$E$64:$E$78,MATCH(P$25,mission!$D$64:$D$78,0)),0))</f>
        <v>0</v>
      </c>
      <c r="Q91" s="2" cm="1">
        <f t="array" ref="Q91">IF(Q90=0,IF(VLOOKUP(Q$25,mission!$D$64:$F$78,3,FALSE)&lt;=$F$5*60/$C$7*$C$6*3,INDEX(mission!$E$64:$E$78,MATCH(Q$25,mission!$D$64:$D$78,0)),0))</f>
        <v>0</v>
      </c>
      <c r="R91" s="2" cm="1">
        <f t="array" ref="R91">IF(R90=0,IF(VLOOKUP(R$25,mission!$D$64:$F$78,3,FALSE)&lt;=$F$5*60/$C$7*$C$6*3,INDEX(mission!$E$64:$E$78,MATCH(R$25,mission!$D$64:$D$78,0)),0))</f>
        <v>0</v>
      </c>
      <c r="S91" s="2" cm="1">
        <f t="array" ref="S91">IF(S90=0,IF(VLOOKUP(S$25,mission!$D$64:$F$78,3,FALSE)&lt;=$F$5*60/$C$7*$C$6*$C$4*3,INDEX(mission!$E$64:$E$78,MATCH(S$25,mission!$D$64:$D$78,0)),0))</f>
        <v>50</v>
      </c>
      <c r="T91" s="2" cm="1">
        <f t="array" ref="T91">IF(T90=0,IF(VLOOKUP(T$25,mission!$D$64:$F$78,3,FALSE)&lt;=$F$5*60/$C$7*$C$6*$C$4*3,INDEX(mission!$E$64:$E$78,MATCH(T$25,mission!$D$64:$D$78,0)),0))</f>
        <v>0</v>
      </c>
      <c r="U91" s="2" cm="1">
        <f t="array" ref="U91">IF(U90=0,IF(VLOOKUP(U$25,mission!$D$64:$F$78,3,FALSE)&lt;=$F$5*60/$C$7*$C$6*$C$4*3,INDEX(mission!$E$64:$E$78,MATCH(U$25,mission!$D$64:$D$78,0)),0))</f>
        <v>0</v>
      </c>
      <c r="V91" s="2" cm="1">
        <f t="array" ref="V91">IF(V90=0,IF(VLOOKUP(V$25,mission!$D$64:$F$78,3,FALSE)&lt;=$F$5*60/$C$7*$C$6*$C$4*3,INDEX(mission!$E$64:$E$78,MATCH(V$25,mission!$D$64:$D$78,0)),0))</f>
        <v>0</v>
      </c>
      <c r="W91" s="2" cm="1">
        <f t="array" ref="W91">IF(W90=0,IF(VLOOKUP(W$25,mission!$D$64:$F$78,3,FALSE)&lt;=$F$5*60/$C$7*$C$6*$C$4*3,INDEX(mission!$E$64:$E$78,MATCH(W$25,mission!$D$64:$D$78,0)),0))</f>
        <v>0</v>
      </c>
      <c r="X91" s="2"/>
      <c r="Y91" s="2"/>
      <c r="Z91" s="2"/>
    </row>
    <row r="92" s="1" customFormat="1" ht="18" customHeight="1" spans="2:26">
      <c r="B92" s="2">
        <v>67</v>
      </c>
      <c r="C92" s="2">
        <f t="shared" si="6"/>
        <v>67000</v>
      </c>
      <c r="D92" s="2">
        <f>ROUND($C$8*$C$5+$C$8*$C$4*(1-$L$5),0)</f>
        <v>88</v>
      </c>
      <c r="E92" s="2">
        <f t="shared" si="7"/>
        <v>5896</v>
      </c>
      <c r="F92" s="2">
        <f>ROUND(E92*VLOOKUP($B$10,总产出!$T$4:$U$14,2,FALSE),0)</f>
        <v>1179</v>
      </c>
      <c r="G92" s="2">
        <f t="shared" si="8"/>
        <v>0</v>
      </c>
      <c r="H92" s="2">
        <f t="shared" si="9"/>
        <v>1900</v>
      </c>
      <c r="I92" s="2" t="b" cm="1">
        <f t="array" ref="I92">IF(I91=0,IF(VLOOKUP(I$25,mission!$D$64:$F$78,3,FALSE)&lt;=$F$5*60/$C$7*4,INDEX(mission!$E$64:$E$78,MATCH(I$25,mission!$D$64:$D$78,0)),0))</f>
        <v>0</v>
      </c>
      <c r="J92" s="2" cm="1">
        <f t="array" ref="J92">IF(J91=0,IF(VLOOKUP(J$25,mission!$D$64:$F$78,3,FALSE)&lt;=$F$5*60/$C$7*4,INDEX(mission!$E$64:$E$78,MATCH(J$25,mission!$D$64:$D$78,0)),0))</f>
        <v>0</v>
      </c>
      <c r="K92" s="2" cm="1">
        <f t="array" ref="K92">IF(K91=0,IF(VLOOKUP(K$25,mission!$D$64:$F$78,3,FALSE)&lt;=$F$5*60/$C$7*4,INDEX(mission!$E$64:$E$78,MATCH(K$25,mission!$D$64:$D$78,0)),0))</f>
        <v>0</v>
      </c>
      <c r="L92" s="2" cm="1">
        <f t="array" ref="L92">IF(L91=0,IF(VLOOKUP(L$25,mission!$D$64:$F$78,3,FALSE)&lt;=$F$5*60/$C$7*4,INDEX(mission!$E$64:$E$78,MATCH(L$25,mission!$D$64:$D$78,0)),0))</f>
        <v>0</v>
      </c>
      <c r="M92" s="2" cm="1">
        <f t="array" ref="M92">IF(M91=0,IF(VLOOKUP(M$25,mission!$D$64:$F$78,3,FALSE)&lt;=$F$5*60/$C$7*4,INDEX(mission!$E$64:$E$78,MATCH(M$25,mission!$D$64:$D$78,0)),0))</f>
        <v>0</v>
      </c>
      <c r="N92" s="2" t="b" cm="1">
        <f t="array" ref="N92">IF(N91=0,IF(VLOOKUP(N$25,mission!$D$64:$F$78,3,FALSE)&lt;=$F$5*60/$C$7*$C$6*4,INDEX(mission!$E$64:$E$78,MATCH(N$25,mission!$D$64:$D$78,0)),0))</f>
        <v>0</v>
      </c>
      <c r="O92" s="2" cm="1">
        <f t="array" ref="O92">IF(O91=0,IF(VLOOKUP(O$25,mission!$D$64:$F$78,3,FALSE)&lt;=$F$5*60/$C$7*$C$6*4,INDEX(mission!$E$64:$E$78,MATCH(O$25,mission!$D$64:$D$78,0)),0))</f>
        <v>0</v>
      </c>
      <c r="P92" s="2" cm="1">
        <f t="array" ref="P92">IF(P91=0,IF(VLOOKUP(P$25,mission!$D$64:$F$78,3,FALSE)&lt;=$F$5*60/$C$7*$C$6*4,INDEX(mission!$E$64:$E$78,MATCH(P$25,mission!$D$64:$D$78,0)),0))</f>
        <v>0</v>
      </c>
      <c r="Q92" s="2" cm="1">
        <f t="array" ref="Q92">IF(Q91=0,IF(VLOOKUP(Q$25,mission!$D$64:$F$78,3,FALSE)&lt;=$F$5*60/$C$7*$C$6*4,INDEX(mission!$E$64:$E$78,MATCH(Q$25,mission!$D$64:$D$78,0)),0))</f>
        <v>0</v>
      </c>
      <c r="R92" s="2" cm="1">
        <f t="array" ref="R92">IF(R91=0,IF(VLOOKUP(R$25,mission!$D$64:$F$78,3,FALSE)&lt;=$F$5*60/$C$7*$C$6*4,INDEX(mission!$E$64:$E$78,MATCH(R$25,mission!$D$64:$D$78,0)),0))</f>
        <v>0</v>
      </c>
      <c r="S92" s="2" t="b" cm="1">
        <f t="array" ref="S92">IF(S91=0,IF(VLOOKUP(S$25,mission!$D$64:$F$78,3,FALSE)&lt;=$F$5*60/$C$7*$C$6*$C$4*4,INDEX(mission!$E$64:$E$78,MATCH(S$25,mission!$D$64:$D$78,0)),0))</f>
        <v>0</v>
      </c>
      <c r="T92" s="2" cm="1">
        <f t="array" ref="T92">IF(T91=0,IF(VLOOKUP(T$25,mission!$D$64:$F$78,3,FALSE)&lt;=$F$5*60/$C$7*$C$6*$C$4*4,INDEX(mission!$E$64:$E$78,MATCH(T$25,mission!$D$64:$D$78,0)),0))</f>
        <v>0</v>
      </c>
      <c r="U92" s="2" cm="1">
        <f t="array" ref="U92">IF(U91=0,IF(VLOOKUP(U$25,mission!$D$64:$F$78,3,FALSE)&lt;=$F$5*60/$C$7*$C$6*$C$4*4,INDEX(mission!$E$64:$E$78,MATCH(U$25,mission!$D$64:$D$78,0)),0))</f>
        <v>0</v>
      </c>
      <c r="V92" s="2" cm="1">
        <f t="array" ref="V92">IF(V91=0,IF(VLOOKUP(V$25,mission!$D$64:$F$78,3,FALSE)&lt;=$F$5*60/$C$7*$C$6*$C$4*4,INDEX(mission!$E$64:$E$78,MATCH(V$25,mission!$D$64:$D$78,0)),0))</f>
        <v>0</v>
      </c>
      <c r="W92" s="2" cm="1">
        <f t="array" ref="W92">IF(W91=0,IF(VLOOKUP(W$25,mission!$D$64:$F$78,3,FALSE)&lt;=$F$5*60/$C$7*$C$6*$C$4*4,INDEX(mission!$E$64:$E$78,MATCH(W$25,mission!$D$64:$D$78,0)),0))</f>
        <v>0</v>
      </c>
      <c r="X92" s="2"/>
      <c r="Y92" s="2"/>
      <c r="Z92" s="2"/>
    </row>
    <row r="93" s="1" customFormat="1" ht="18" customHeight="1" spans="2:26">
      <c r="B93" s="2">
        <v>68</v>
      </c>
      <c r="C93" s="2">
        <f t="shared" si="6"/>
        <v>68000</v>
      </c>
      <c r="D93" s="2">
        <f>ROUND($C$8*$C$5+$C$8*$C$4*(1-$L$5),0)</f>
        <v>88</v>
      </c>
      <c r="E93" s="2">
        <f t="shared" si="7"/>
        <v>5984</v>
      </c>
      <c r="F93" s="2">
        <f>ROUND(E93*VLOOKUP($B$10,总产出!$T$4:$U$14,2,FALSE),0)</f>
        <v>1197</v>
      </c>
      <c r="G93" s="2">
        <f t="shared" si="8"/>
        <v>0</v>
      </c>
      <c r="H93" s="2">
        <f t="shared" si="9"/>
        <v>1900</v>
      </c>
      <c r="I93" s="2" t="b" cm="1">
        <f t="array" ref="I93">IF(I92=0,IF(VLOOKUP(I$25,mission!$D$64:$F$78,3,FALSE)&lt;=$F$5*60/$C$7*5,INDEX(mission!$E$64:$E$78,MATCH(I$25,mission!$D$64:$D$78,0)),0))</f>
        <v>0</v>
      </c>
      <c r="J93" s="2" cm="1">
        <f t="array" ref="J93">IF(J92=0,IF(VLOOKUP(J$25,mission!$D$64:$F$78,3,FALSE)&lt;=$F$5*60/$C$7*5,INDEX(mission!$E$64:$E$78,MATCH(J$25,mission!$D$64:$D$78,0)),0))</f>
        <v>0</v>
      </c>
      <c r="K93" s="2" cm="1">
        <f t="array" ref="K93">IF(K92=0,IF(VLOOKUP(K$25,mission!$D$64:$F$78,3,FALSE)&lt;=$F$5*60/$C$7*5,INDEX(mission!$E$64:$E$78,MATCH(K$25,mission!$D$64:$D$78,0)),0))</f>
        <v>0</v>
      </c>
      <c r="L93" s="2" cm="1">
        <f t="array" ref="L93">IF(L92=0,IF(VLOOKUP(L$25,mission!$D$64:$F$78,3,FALSE)&lt;=$F$5*60/$C$7*5,INDEX(mission!$E$64:$E$78,MATCH(L$25,mission!$D$64:$D$78,0)),0))</f>
        <v>0</v>
      </c>
      <c r="M93" s="2" cm="1">
        <f t="array" ref="M93">IF(M92=0,IF(VLOOKUP(M$25,mission!$D$64:$F$78,3,FALSE)&lt;=$F$5*60/$C$7*5,INDEX(mission!$E$64:$E$78,MATCH(M$25,mission!$D$64:$D$78,0)),0))</f>
        <v>0</v>
      </c>
      <c r="N93" s="2" t="b" cm="1">
        <f t="array" ref="N93">IF(N92=0,IF(VLOOKUP(N$25,mission!$D$64:$F$78,3,FALSE)&lt;=$F$5*60/$C$7*$C$6*5,INDEX(mission!$E$64:$E$78,MATCH(N$25,mission!$D$64:$D$78,0)),0))</f>
        <v>0</v>
      </c>
      <c r="O93" s="2" cm="1">
        <f t="array" ref="O93">IF(O92=0,IF(VLOOKUP(O$25,mission!$D$64:$F$78,3,FALSE)&lt;=$F$5*60/$C$7*$C$6*5,INDEX(mission!$E$64:$E$78,MATCH(O$25,mission!$D$64:$D$78,0)),0))</f>
        <v>0</v>
      </c>
      <c r="P93" s="2" cm="1">
        <f t="array" ref="P93">IF(P92=0,IF(VLOOKUP(P$25,mission!$D$64:$F$78,3,FALSE)&lt;=$F$5*60/$C$7*$C$6*5,INDEX(mission!$E$64:$E$78,MATCH(P$25,mission!$D$64:$D$78,0)),0))</f>
        <v>0</v>
      </c>
      <c r="Q93" s="2" cm="1">
        <f t="array" ref="Q93">IF(Q92=0,IF(VLOOKUP(Q$25,mission!$D$64:$F$78,3,FALSE)&lt;=$F$5*60/$C$7*$C$6*5,INDEX(mission!$E$64:$E$78,MATCH(Q$25,mission!$D$64:$D$78,0)),0))</f>
        <v>0</v>
      </c>
      <c r="R93" s="2" cm="1">
        <f t="array" ref="R93">IF(R92=0,IF(VLOOKUP(R$25,mission!$D$64:$F$78,3,FALSE)&lt;=$F$5*60/$C$7*$C$6*5,INDEX(mission!$E$64:$E$78,MATCH(R$25,mission!$D$64:$D$78,0)),0))</f>
        <v>0</v>
      </c>
      <c r="S93" s="2" t="b" cm="1">
        <f t="array" ref="S93">IF(S92=0,IF(VLOOKUP(S$25,mission!$D$64:$F$78,3,FALSE)&lt;=$F$5*60/$C$7*$C$6*$C$4*5,INDEX(mission!$E$64:$E$78,MATCH(S$25,mission!$D$64:$D$78,0)),0))</f>
        <v>0</v>
      </c>
      <c r="T93" s="2" cm="1">
        <f t="array" ref="T93">IF(T92=0,IF(VLOOKUP(T$25,mission!$D$64:$F$78,3,FALSE)&lt;=$F$5*60/$C$7*$C$6*$C$4*5,INDEX(mission!$E$64:$E$78,MATCH(T$25,mission!$D$64:$D$78,0)),0))</f>
        <v>0</v>
      </c>
      <c r="U93" s="2" cm="1">
        <f t="array" ref="U93">IF(U92=0,IF(VLOOKUP(U$25,mission!$D$64:$F$78,3,FALSE)&lt;=$F$5*60/$C$7*$C$6*$C$4*5,INDEX(mission!$E$64:$E$78,MATCH(U$25,mission!$D$64:$D$78,0)),0))</f>
        <v>0</v>
      </c>
      <c r="V93" s="2" cm="1">
        <f t="array" ref="V93">IF(V92=0,IF(VLOOKUP(V$25,mission!$D$64:$F$78,3,FALSE)&lt;=$F$5*60/$C$7*$C$6*$C$4*5,INDEX(mission!$E$64:$E$78,MATCH(V$25,mission!$D$64:$D$78,0)),0))</f>
        <v>0</v>
      </c>
      <c r="W93" s="2" cm="1">
        <f t="array" ref="W93">IF(W92=0,IF(VLOOKUP(W$25,mission!$D$64:$F$78,3,FALSE)&lt;=$F$5*60/$C$7*$C$6*$C$4*5,INDEX(mission!$E$64:$E$78,MATCH(W$25,mission!$D$64:$D$78,0)),0))</f>
        <v>0</v>
      </c>
      <c r="X93" s="2"/>
      <c r="Y93" s="2"/>
      <c r="Z93" s="2"/>
    </row>
    <row r="94" s="1" customFormat="1" ht="18" customHeight="1" spans="2:26">
      <c r="B94" s="2">
        <v>69</v>
      </c>
      <c r="C94" s="2">
        <f t="shared" si="6"/>
        <v>69000</v>
      </c>
      <c r="D94" s="2">
        <f>ROUND($C$8*$C$5+$C$8*$C$4*(1-$L$5),0)</f>
        <v>88</v>
      </c>
      <c r="E94" s="2">
        <f t="shared" si="7"/>
        <v>6072</v>
      </c>
      <c r="F94" s="2">
        <f>ROUND(E94*VLOOKUP($B$10,总产出!$T$4:$U$14,2,FALSE),0)</f>
        <v>1214</v>
      </c>
      <c r="G94" s="2">
        <f t="shared" si="8"/>
        <v>100</v>
      </c>
      <c r="H94" s="2">
        <f t="shared" si="9"/>
        <v>2000</v>
      </c>
      <c r="I94" s="2" t="b" cm="1">
        <f t="array" ref="I94">IF(I93=0,IF(VLOOKUP(I$25,mission!$D$64:$F$78,3,FALSE)&lt;=$F$5*60/$C$7*6,INDEX(mission!$E$64:$E$78,MATCH(I$25,mission!$D$64:$D$78,0)),0))</f>
        <v>0</v>
      </c>
      <c r="J94" s="2" cm="1">
        <f t="array" ref="J94">IF(J93=0,IF(VLOOKUP(J$25,mission!$D$64:$F$78,3,FALSE)&lt;=$F$5*60/$C$7*6,INDEX(mission!$E$64:$E$78,MATCH(J$25,mission!$D$64:$D$78,0)),0))</f>
        <v>25</v>
      </c>
      <c r="K94" s="2" cm="1">
        <f t="array" ref="K94">IF(K93=0,IF(VLOOKUP(K$25,mission!$D$64:$F$78,3,FALSE)&lt;=$F$5*60/$C$7*6,INDEX(mission!$E$64:$E$78,MATCH(K$25,mission!$D$64:$D$78,0)),0))</f>
        <v>0</v>
      </c>
      <c r="L94" s="2" cm="1">
        <f t="array" ref="L94">IF(L93=0,IF(VLOOKUP(L$25,mission!$D$64:$F$78,3,FALSE)&lt;=$F$5*60/$C$7*6,INDEX(mission!$E$64:$E$78,MATCH(L$25,mission!$D$64:$D$78,0)),0))</f>
        <v>0</v>
      </c>
      <c r="M94" s="2" cm="1">
        <f t="array" ref="M94">IF(M93=0,IF(VLOOKUP(M$25,mission!$D$64:$F$78,3,FALSE)&lt;=$F$5*60/$C$7*6,INDEX(mission!$E$64:$E$78,MATCH(M$25,mission!$D$64:$D$78,0)),0))</f>
        <v>0</v>
      </c>
      <c r="N94" s="2" t="b" cm="1">
        <f t="array" ref="N94">IF(N93=0,IF(VLOOKUP(N$25,mission!$D$64:$F$78,3,FALSE)&lt;=$F$5*60/$C$7*$C$6*6,INDEX(mission!$E$64:$E$78,MATCH(N$25,mission!$D$64:$D$78,0)),0))</f>
        <v>0</v>
      </c>
      <c r="O94" s="2" cm="1">
        <f t="array" ref="O94">IF(O93=0,IF(VLOOKUP(O$25,mission!$D$64:$F$78,3,FALSE)&lt;=$F$5*60/$C$7*$C$6*6,INDEX(mission!$E$64:$E$78,MATCH(O$25,mission!$D$64:$D$78,0)),0))</f>
        <v>25</v>
      </c>
      <c r="P94" s="2" cm="1">
        <f t="array" ref="P94">IF(P93=0,IF(VLOOKUP(P$25,mission!$D$64:$F$78,3,FALSE)&lt;=$F$5*60/$C$7*$C$6*6,INDEX(mission!$E$64:$E$78,MATCH(P$25,mission!$D$64:$D$78,0)),0))</f>
        <v>0</v>
      </c>
      <c r="Q94" s="2" cm="1">
        <f t="array" ref="Q94">IF(Q93=0,IF(VLOOKUP(Q$25,mission!$D$64:$F$78,3,FALSE)&lt;=$F$5*60/$C$7*$C$6*6,INDEX(mission!$E$64:$E$78,MATCH(Q$25,mission!$D$64:$D$78,0)),0))</f>
        <v>0</v>
      </c>
      <c r="R94" s="2" cm="1">
        <f t="array" ref="R94">IF(R93=0,IF(VLOOKUP(R$25,mission!$D$64:$F$78,3,FALSE)&lt;=$F$5*60/$C$7*$C$6*6,INDEX(mission!$E$64:$E$78,MATCH(R$25,mission!$D$64:$D$78,0)),0))</f>
        <v>0</v>
      </c>
      <c r="S94" s="2" t="b" cm="1">
        <f t="array" ref="S94">IF(S93=0,IF(VLOOKUP(S$25,mission!$D$64:$F$78,3,FALSE)&lt;=$F$5*60/$C$7*$C$6*$C$4*6,INDEX(mission!$E$64:$E$78,MATCH(S$25,mission!$D$64:$D$78,0)),0))</f>
        <v>0</v>
      </c>
      <c r="T94" s="2" cm="1">
        <f t="array" ref="T94">IF(T93=0,IF(VLOOKUP(T$25,mission!$D$64:$F$78,3,FALSE)&lt;=$F$5*60/$C$7*$C$6*$C$4*6,INDEX(mission!$E$64:$E$78,MATCH(T$25,mission!$D$64:$D$78,0)),0))</f>
        <v>50</v>
      </c>
      <c r="U94" s="2" cm="1">
        <f t="array" ref="U94">IF(U93=0,IF(VLOOKUP(U$25,mission!$D$64:$F$78,3,FALSE)&lt;=$F$5*60/$C$7*$C$6*$C$4*6,INDEX(mission!$E$64:$E$78,MATCH(U$25,mission!$D$64:$D$78,0)),0))</f>
        <v>0</v>
      </c>
      <c r="V94" s="2" cm="1">
        <f t="array" ref="V94">IF(V93=0,IF(VLOOKUP(V$25,mission!$D$64:$F$78,3,FALSE)&lt;=$F$5*60/$C$7*$C$6*$C$4*6,INDEX(mission!$E$64:$E$78,MATCH(V$25,mission!$D$64:$D$78,0)),0))</f>
        <v>0</v>
      </c>
      <c r="W94" s="2" cm="1">
        <f t="array" ref="W94">IF(W93=0,IF(VLOOKUP(W$25,mission!$D$64:$F$78,3,FALSE)&lt;=$F$5*60/$C$7*$C$6*$C$4*6,INDEX(mission!$E$64:$E$78,MATCH(W$25,mission!$D$64:$D$78,0)),0))</f>
        <v>0</v>
      </c>
      <c r="X94" s="2"/>
      <c r="Y94" s="2"/>
      <c r="Z94" s="2"/>
    </row>
    <row r="95" s="10" customFormat="1" ht="18" customHeight="1" spans="2:26">
      <c r="B95" s="10">
        <v>70</v>
      </c>
      <c r="C95" s="10">
        <f t="shared" si="6"/>
        <v>70000</v>
      </c>
      <c r="D95" s="10">
        <f>ROUND($C$8*$C$5+$C$8*$C$4*(1-$L$5),0)</f>
        <v>88</v>
      </c>
      <c r="E95" s="10">
        <f t="shared" si="7"/>
        <v>6160</v>
      </c>
      <c r="F95" s="10">
        <f>ROUND(E95*VLOOKUP($B$10,总产出!$T$4:$U$14,2,FALSE),0)</f>
        <v>1232</v>
      </c>
      <c r="G95" s="10">
        <f t="shared" si="8"/>
        <v>0</v>
      </c>
      <c r="H95" s="10">
        <f t="shared" si="9"/>
        <v>2000</v>
      </c>
      <c r="I95" s="10" t="b" cm="1">
        <f t="array" ref="I95">IF(I94=0,IF(VLOOKUP(I$25,mission!$D$64:$F$78,3,FALSE)&lt;=$F$5*60/$C$7*7,INDEX(mission!$E$64:$E$78,MATCH(I$25,mission!$D$64:$D$78,0)),0))</f>
        <v>0</v>
      </c>
      <c r="J95" s="10" t="b" cm="1">
        <f t="array" ref="J95">IF(J94=0,IF(VLOOKUP(J$25,mission!$D$64:$F$78,3,FALSE)&lt;=$F$5*60/$C$7*7,INDEX(mission!$E$64:$E$78,MATCH(J$25,mission!$D$64:$D$78,0)),0))</f>
        <v>0</v>
      </c>
      <c r="K95" s="10" cm="1">
        <f t="array" ref="K95">IF(K94=0,IF(VLOOKUP(K$25,mission!$D$64:$F$78,3,FALSE)&lt;=$F$5*60/$C$7*7,INDEX(mission!$E$64:$E$78,MATCH(K$25,mission!$D$64:$D$78,0)),0))</f>
        <v>0</v>
      </c>
      <c r="L95" s="10" cm="1">
        <f t="array" ref="L95">IF(L94=0,IF(VLOOKUP(L$25,mission!$D$64:$F$78,3,FALSE)&lt;=$F$5*60/$C$7*7,INDEX(mission!$E$64:$E$78,MATCH(L$25,mission!$D$64:$D$78,0)),0))</f>
        <v>0</v>
      </c>
      <c r="M95" s="10" cm="1">
        <f t="array" ref="M95">IF(M94=0,IF(VLOOKUP(M$25,mission!$D$64:$F$78,3,FALSE)&lt;=$F$5*60/$C$7*7,INDEX(mission!$E$64:$E$78,MATCH(M$25,mission!$D$64:$D$78,0)),0))</f>
        <v>0</v>
      </c>
      <c r="N95" s="10" t="b" cm="1">
        <f t="array" ref="N95">IF(N94=0,IF(VLOOKUP(N$25,mission!$D$64:$F$78,3,FALSE)&lt;=$F$5*60/$C$7*$C$6*7,INDEX(mission!$E$64:$E$78,MATCH(N$25,mission!$D$64:$D$78,0)),0))</f>
        <v>0</v>
      </c>
      <c r="O95" s="10" t="b" cm="1">
        <f t="array" ref="O95">IF(O94=0,IF(VLOOKUP(O$25,mission!$D$64:$F$78,3,FALSE)&lt;=$F$5*60/$C$7*$C$6*7,INDEX(mission!$E$64:$E$78,MATCH(O$25,mission!$D$64:$D$78,0)),0))</f>
        <v>0</v>
      </c>
      <c r="P95" s="10" cm="1">
        <f t="array" ref="P95">IF(P94=0,IF(VLOOKUP(P$25,mission!$D$64:$F$78,3,FALSE)&lt;=$F$5*60/$C$7*$C$6*7,INDEX(mission!$E$64:$E$78,MATCH(P$25,mission!$D$64:$D$78,0)),0))</f>
        <v>0</v>
      </c>
      <c r="Q95" s="10" cm="1">
        <f t="array" ref="Q95">IF(Q94=0,IF(VLOOKUP(Q$25,mission!$D$64:$F$78,3,FALSE)&lt;=$F$5*60/$C$7*$C$6*7,INDEX(mission!$E$64:$E$78,MATCH(Q$25,mission!$D$64:$D$78,0)),0))</f>
        <v>0</v>
      </c>
      <c r="R95" s="10" cm="1">
        <f t="array" ref="R95">IF(R94=0,IF(VLOOKUP(R$25,mission!$D$64:$F$78,3,FALSE)&lt;=$F$5*60/$C$7*$C$6*7,INDEX(mission!$E$64:$E$78,MATCH(R$25,mission!$D$64:$D$78,0)),0))</f>
        <v>0</v>
      </c>
      <c r="S95" s="10" t="b" cm="1">
        <f t="array" ref="S95">IF(S94=0,IF(VLOOKUP(S$25,mission!$D$64:$F$78,3,FALSE)&lt;=$F$5*60/$C$7*$C$6*$C$4*7,INDEX(mission!$E$64:$E$78,MATCH(S$25,mission!$D$64:$D$78,0)),0))</f>
        <v>0</v>
      </c>
      <c r="T95" s="10" t="b" cm="1">
        <f t="array" ref="T95">IF(T94=0,IF(VLOOKUP(T$25,mission!$D$64:$F$78,3,FALSE)&lt;=$F$5*60/$C$7*$C$6*$C$4*7,INDEX(mission!$E$64:$E$78,MATCH(T$25,mission!$D$64:$D$78,0)),0))</f>
        <v>0</v>
      </c>
      <c r="U95" s="10" cm="1">
        <f t="array" ref="U95">IF(U94=0,IF(VLOOKUP(U$25,mission!$D$64:$F$78,3,FALSE)&lt;=$F$5*60/$C$7*$C$6*$C$4*7,INDEX(mission!$E$64:$E$78,MATCH(U$25,mission!$D$64:$D$78,0)),0))</f>
        <v>0</v>
      </c>
      <c r="V95" s="10" cm="1">
        <f t="array" ref="V95">IF(V94=0,IF(VLOOKUP(V$25,mission!$D$64:$F$78,3,FALSE)&lt;=$F$5*60/$C$7*$C$6*$C$4*7,INDEX(mission!$E$64:$E$78,MATCH(V$25,mission!$D$64:$D$78,0)),0))</f>
        <v>0</v>
      </c>
      <c r="W95" s="10" cm="1">
        <f t="array" ref="W95">IF(W94=0,IF(VLOOKUP(W$25,mission!$D$64:$F$78,3,FALSE)&lt;=$F$5*60/$C$7*$C$6*$C$4*7,INDEX(mission!$E$64:$E$78,MATCH(W$25,mission!$D$64:$D$78,0)),0))</f>
        <v>0</v>
      </c>
      <c r="X95" s="2"/>
      <c r="Y95" s="2"/>
      <c r="Z95" s="2"/>
    </row>
    <row r="96" s="1" customFormat="1" ht="18" customHeight="1" spans="2:26">
      <c r="B96" s="2">
        <v>71</v>
      </c>
      <c r="C96" s="2">
        <f t="shared" si="6"/>
        <v>71000</v>
      </c>
      <c r="D96" s="2">
        <f>ROUND($C$8*$C$5+$C$8*$C$4*(1-$L$5),0)</f>
        <v>88</v>
      </c>
      <c r="E96" s="2">
        <f t="shared" si="7"/>
        <v>6248</v>
      </c>
      <c r="F96" s="2">
        <f>ROUND(E96*VLOOKUP($B$10,总产出!$T$4:$U$14,2,FALSE),0)</f>
        <v>1250</v>
      </c>
      <c r="G96" s="2">
        <f t="shared" si="8"/>
        <v>0</v>
      </c>
      <c r="H96" s="2">
        <f t="shared" si="9"/>
        <v>2000</v>
      </c>
      <c r="I96" s="2" cm="1">
        <f t="array" ref="I96">IF(VLOOKUP(I$25,mission!$D$64:$F$78,3,FALSE)&lt;=$F$5*60/$C$7,INDEX(mission!$E$64:$E$78,MATCH(I$25,mission!$D$64:$D$78,0)),0)</f>
        <v>0</v>
      </c>
      <c r="J96" s="2" cm="1">
        <f t="array" ref="J96">IF(VLOOKUP(J$25,mission!$D$64:$F$78,3,FALSE)&lt;=$F$5*60/$C$7,INDEX(mission!$E$64:$E$78,MATCH(J$25,mission!$D$64:$D$78,0)),0)</f>
        <v>0</v>
      </c>
      <c r="K96" s="2" cm="1">
        <f t="array" ref="K96">IF(VLOOKUP(K$25,mission!$D$64:$F$78,3,FALSE)&lt;=$F$5*60/$C$7,INDEX(mission!$E$64:$E$78,MATCH(K$25,mission!$D$64:$D$78,0)),0)</f>
        <v>0</v>
      </c>
      <c r="L96" s="2" cm="1">
        <f t="array" ref="L96">IF(VLOOKUP(L$25,mission!$D$64:$F$78,3,FALSE)&lt;=$F$5*60/$C$7,INDEX(mission!$E$64:$E$78,MATCH(L$25,mission!$D$64:$D$78,0)),0)</f>
        <v>0</v>
      </c>
      <c r="M96" s="2" cm="1">
        <f t="array" ref="M96">IF(VLOOKUP(M$25,mission!$D$64:$F$78,3,FALSE)&lt;=$F$5*60/$C$7,INDEX(mission!$E$64:$E$78,MATCH(M$25,mission!$D$64:$D$78,0)),0)</f>
        <v>0</v>
      </c>
      <c r="N96" s="2" cm="1">
        <f t="array" ref="N96">IF(VLOOKUP(N$25,mission!$D$64:$F$78,3,FALSE)&lt;=$F$5*60/$C$7*$C$6,INDEX(mission!$E$64:$E$78,MATCH(N$25,mission!$D$64:$D$78,0)),0)</f>
        <v>0</v>
      </c>
      <c r="O96" s="2" cm="1">
        <f t="array" ref="O96">IF(VLOOKUP(O$25,mission!$D$64:$F$78,3,FALSE)&lt;=$F$5*60/$C$7*$C$6,INDEX(mission!$E$64:$E$78,MATCH(O$25,mission!$D$64:$D$78,0)),0)</f>
        <v>0</v>
      </c>
      <c r="P96" s="2" cm="1">
        <f t="array" ref="P96">IF(VLOOKUP(P$25,mission!$D$64:$F$78,3,FALSE)&lt;=$F$5*60/$C$7*$C$6,INDEX(mission!$E$64:$E$78,MATCH(P$25,mission!$D$64:$D$78,0)),0)</f>
        <v>0</v>
      </c>
      <c r="Q96" s="2" cm="1">
        <f t="array" ref="Q96">IF(VLOOKUP(Q$25,mission!$D$64:$F$78,3,FALSE)&lt;=$F$5*60/$C$7*$C$6,INDEX(mission!$E$64:$E$78,MATCH(Q$25,mission!$D$64:$D$78,0)),0)</f>
        <v>0</v>
      </c>
      <c r="R96" s="2" cm="1">
        <f t="array" ref="R96">IF(VLOOKUP(R$25,mission!$D$64:$F$78,3,FALSE)&lt;=$F$5*60/$C$7*$C$6,INDEX(mission!$E$64:$E$78,MATCH(R$25,mission!$D$64:$D$78,0)),0)</f>
        <v>0</v>
      </c>
      <c r="S96" s="2" cm="1">
        <f t="array" ref="S96">IF(VLOOKUP(S$25,mission!$D$64:$F$78,3,FALSE)&lt;=$F$5*60/$C$7*$C$6*$C$4,INDEX(mission!$E$64:$E$78,MATCH(S$25,mission!$D$64:$D$78,0)),0)</f>
        <v>0</v>
      </c>
      <c r="T96" s="2" cm="1">
        <f t="array" ref="T96">IF(VLOOKUP(T$25,mission!$D$64:$F$78,3,FALSE)&lt;=$F$5*60/$C$7*$C$6*$C$4,INDEX(mission!$E$64:$E$78,MATCH(T$25,mission!$D$64:$D$78,0)),0)</f>
        <v>0</v>
      </c>
      <c r="U96" s="2" cm="1">
        <f t="array" ref="U96">IF(VLOOKUP(U$25,mission!$D$64:$F$78,3,FALSE)&lt;=$F$5*60/$C$7*$C$6*$C$4,INDEX(mission!$E$64:$E$78,MATCH(U$25,mission!$D$64:$D$78,0)),0)</f>
        <v>0</v>
      </c>
      <c r="V96" s="2" cm="1">
        <f t="array" ref="V96">IF(VLOOKUP(V$25,mission!$D$64:$F$78,3,FALSE)&lt;=$F$5*60/$C$7*$C$6*$C$4,INDEX(mission!$E$64:$E$78,MATCH(V$25,mission!$D$64:$D$78,0)),0)</f>
        <v>0</v>
      </c>
      <c r="W96" s="2" cm="1">
        <f t="array" ref="W96">IF(VLOOKUP(W$25,mission!$D$64:$F$78,3,FALSE)&lt;=$F$5*60/$C$7*$C$6*$C$4,INDEX(mission!$E$64:$E$78,MATCH(W$25,mission!$D$64:$D$78,0)),0)</f>
        <v>0</v>
      </c>
      <c r="X96" s="2"/>
      <c r="Y96" s="2"/>
      <c r="Z96" s="2"/>
    </row>
    <row r="97" s="1" customFormat="1" ht="18" customHeight="1" spans="2:26">
      <c r="B97" s="2">
        <v>72</v>
      </c>
      <c r="C97" s="2">
        <f t="shared" si="6"/>
        <v>72000</v>
      </c>
      <c r="D97" s="2">
        <f>ROUND($C$8*$C$5+$C$8*$C$4*(1-$L$5),0)</f>
        <v>88</v>
      </c>
      <c r="E97" s="2">
        <f t="shared" si="7"/>
        <v>6336</v>
      </c>
      <c r="F97" s="2">
        <f>ROUND(E97*VLOOKUP($B$10,总产出!$T$4:$U$14,2,FALSE),0)</f>
        <v>1267</v>
      </c>
      <c r="G97" s="2">
        <f t="shared" si="8"/>
        <v>0</v>
      </c>
      <c r="H97" s="2">
        <f t="shared" si="9"/>
        <v>2000</v>
      </c>
      <c r="I97" s="2" cm="1">
        <f t="array" ref="I97">IF(I96=0,IF(VLOOKUP(I$25,mission!$D$64:$F$78,3,FALSE)&lt;=$F$5*60/$C$7*2,INDEX(mission!$E$64:$E$78,MATCH(I$25,mission!$D$64:$D$78,0)),0))</f>
        <v>0</v>
      </c>
      <c r="J97" s="2" cm="1">
        <f t="array" ref="J97">IF(J96=0,IF(VLOOKUP(J$25,mission!$D$64:$F$78,3,FALSE)&lt;=$F$5*60/$C$7*2,INDEX(mission!$E$64:$E$78,MATCH(J$25,mission!$D$64:$D$78,0)),0))</f>
        <v>0</v>
      </c>
      <c r="K97" s="2" cm="1">
        <f t="array" ref="K97">IF(K96=0,IF(VLOOKUP(K$25,mission!$D$64:$F$78,3,FALSE)&lt;=$F$5*60/$C$7*2,INDEX(mission!$E$64:$E$78,MATCH(K$25,mission!$D$64:$D$78,0)),0))</f>
        <v>0</v>
      </c>
      <c r="L97" s="2" cm="1">
        <f t="array" ref="L97">IF(L96=0,IF(VLOOKUP(L$25,mission!$D$64:$F$78,3,FALSE)&lt;=$F$5*60/$C$7*2,INDEX(mission!$E$64:$E$78,MATCH(L$25,mission!$D$64:$D$78,0)),0))</f>
        <v>0</v>
      </c>
      <c r="M97" s="2" cm="1">
        <f t="array" ref="M97">IF(M96=0,IF(VLOOKUP(M$25,mission!$D$64:$F$78,3,FALSE)&lt;=$F$5*60/$C$7*2,INDEX(mission!$E$64:$E$78,MATCH(M$25,mission!$D$64:$D$78,0)),0))</f>
        <v>0</v>
      </c>
      <c r="N97" s="2" cm="1">
        <f t="array" ref="N97">IF(N96=0,IF(VLOOKUP(N$25,mission!$D$64:$F$78,3,FALSE)&lt;=$F$5*60/$C$7*$C$6*2,INDEX(mission!$E$64:$E$78,MATCH(N$25,mission!$D$64:$D$78,0)),0))</f>
        <v>0</v>
      </c>
      <c r="O97" s="2" cm="1">
        <f t="array" ref="O97">IF(O96=0,IF(VLOOKUP(O$25,mission!$D$64:$F$78,3,FALSE)&lt;=$F$5*60/$C$7*$C$6*2,INDEX(mission!$E$64:$E$78,MATCH(O$25,mission!$D$64:$D$78,0)),0))</f>
        <v>0</v>
      </c>
      <c r="P97" s="2" cm="1">
        <f t="array" ref="P97">IF(P96=0,IF(VLOOKUP(P$25,mission!$D$64:$F$78,3,FALSE)&lt;=$F$5*60/$C$7*$C$6*2,INDEX(mission!$E$64:$E$78,MATCH(P$25,mission!$D$64:$D$78,0)),0))</f>
        <v>0</v>
      </c>
      <c r="Q97" s="2" cm="1">
        <f t="array" ref="Q97">IF(Q96=0,IF(VLOOKUP(Q$25,mission!$D$64:$F$78,3,FALSE)&lt;=$F$5*60/$C$7*$C$6*2,INDEX(mission!$E$64:$E$78,MATCH(Q$25,mission!$D$64:$D$78,0)),0))</f>
        <v>0</v>
      </c>
      <c r="R97" s="2" cm="1">
        <f t="array" ref="R97">IF(R96=0,IF(VLOOKUP(R$25,mission!$D$64:$F$78,3,FALSE)&lt;=$F$5*60/$C$7*$C$6*2,INDEX(mission!$E$64:$E$78,MATCH(R$25,mission!$D$64:$D$78,0)),0))</f>
        <v>0</v>
      </c>
      <c r="S97" s="2" cm="1">
        <f t="array" ref="S97">IF(S96=0,IF(VLOOKUP(S$25,mission!$D$64:$F$78,3,FALSE)&lt;=$F$5*60/$C$7*$C$6*$C$4*2,INDEX(mission!$E$64:$E$78,MATCH(S$25,mission!$D$64:$D$78,0)),0))</f>
        <v>0</v>
      </c>
      <c r="T97" s="2" cm="1">
        <f t="array" ref="T97">IF(T96=0,IF(VLOOKUP(T$25,mission!$D$64:$F$78,3,FALSE)&lt;=$F$5*60/$C$7*$C$6*$C$4*2,INDEX(mission!$E$64:$E$78,MATCH(T$25,mission!$D$64:$D$78,0)),0))</f>
        <v>0</v>
      </c>
      <c r="U97" s="2" cm="1">
        <f t="array" ref="U97">IF(U96=0,IF(VLOOKUP(U$25,mission!$D$64:$F$78,3,FALSE)&lt;=$F$5*60/$C$7*$C$6*$C$4*2,INDEX(mission!$E$64:$E$78,MATCH(U$25,mission!$D$64:$D$78,0)),0))</f>
        <v>0</v>
      </c>
      <c r="V97" s="2" cm="1">
        <f t="array" ref="V97">IF(V96=0,IF(VLOOKUP(V$25,mission!$D$64:$F$78,3,FALSE)&lt;=$F$5*60/$C$7*$C$6*$C$4*2,INDEX(mission!$E$64:$E$78,MATCH(V$25,mission!$D$64:$D$78,0)),0))</f>
        <v>0</v>
      </c>
      <c r="W97" s="2" cm="1">
        <f t="array" ref="W97">IF(W96=0,IF(VLOOKUP(W$25,mission!$D$64:$F$78,3,FALSE)&lt;=$F$5*60/$C$7*$C$6*$C$4*2,INDEX(mission!$E$64:$E$78,MATCH(W$25,mission!$D$64:$D$78,0)),0))</f>
        <v>0</v>
      </c>
      <c r="X97" s="2"/>
      <c r="Y97" s="2"/>
      <c r="Z97" s="2"/>
    </row>
    <row r="98" s="1" customFormat="1" ht="18" customHeight="1" spans="2:26">
      <c r="B98" s="2">
        <v>73</v>
      </c>
      <c r="C98" s="2">
        <f t="shared" si="6"/>
        <v>73000</v>
      </c>
      <c r="D98" s="2">
        <f>ROUND($C$8*$C$5+$C$8*$C$4*(1-$L$5),0)</f>
        <v>88</v>
      </c>
      <c r="E98" s="2">
        <f t="shared" si="7"/>
        <v>6424</v>
      </c>
      <c r="F98" s="2">
        <f>ROUND(E98*VLOOKUP($B$10,总产出!$T$4:$U$14,2,FALSE),0)</f>
        <v>1285</v>
      </c>
      <c r="G98" s="2">
        <f t="shared" si="8"/>
        <v>100</v>
      </c>
      <c r="H98" s="2">
        <f t="shared" si="9"/>
        <v>2100</v>
      </c>
      <c r="I98" s="2" cm="1">
        <f t="array" ref="I98">IF(I97=0,IF(VLOOKUP(I$25,mission!$D$64:$F$78,3,FALSE)&lt;=$F$5*60/$C$7*3,INDEX(mission!$E$64:$E$78,MATCH(I$25,mission!$D$64:$D$78,0)),0))</f>
        <v>25</v>
      </c>
      <c r="J98" s="2" cm="1">
        <f t="array" ref="J98">IF(J97=0,IF(VLOOKUP(J$25,mission!$D$64:$F$78,3,FALSE)&lt;=$F$5*60/$C$7*3,INDEX(mission!$E$64:$E$78,MATCH(J$25,mission!$D$64:$D$78,0)),0))</f>
        <v>0</v>
      </c>
      <c r="K98" s="2" cm="1">
        <f t="array" ref="K98">IF(K97=0,IF(VLOOKUP(K$25,mission!$D$64:$F$78,3,FALSE)&lt;=$F$5*60/$C$7*3,INDEX(mission!$E$64:$E$78,MATCH(K$25,mission!$D$64:$D$78,0)),0))</f>
        <v>0</v>
      </c>
      <c r="L98" s="2" cm="1">
        <f t="array" ref="L98">IF(L97=0,IF(VLOOKUP(L$25,mission!$D$64:$F$78,3,FALSE)&lt;=$F$5*60/$C$7*3,INDEX(mission!$E$64:$E$78,MATCH(L$25,mission!$D$64:$D$78,0)),0))</f>
        <v>0</v>
      </c>
      <c r="M98" s="2" cm="1">
        <f t="array" ref="M98">IF(M97=0,IF(VLOOKUP(M$25,mission!$D$64:$F$78,3,FALSE)&lt;=$F$5*60/$C$7*3,INDEX(mission!$E$64:$E$78,MATCH(M$25,mission!$D$64:$D$78,0)),0))</f>
        <v>0</v>
      </c>
      <c r="N98" s="2" cm="1">
        <f t="array" ref="N98">IF(N97=0,IF(VLOOKUP(N$25,mission!$D$64:$F$78,3,FALSE)&lt;=$F$5*60/$C$7*$C$6*3,INDEX(mission!$E$64:$E$78,MATCH(N$25,mission!$D$64:$D$78,0)),0))</f>
        <v>25</v>
      </c>
      <c r="O98" s="2" cm="1">
        <f t="array" ref="O98">IF(O97=0,IF(VLOOKUP(O$25,mission!$D$64:$F$78,3,FALSE)&lt;=$F$5*60/$C$7*$C$6*3,INDEX(mission!$E$64:$E$78,MATCH(O$25,mission!$D$64:$D$78,0)),0))</f>
        <v>0</v>
      </c>
      <c r="P98" s="2" cm="1">
        <f t="array" ref="P98">IF(P97=0,IF(VLOOKUP(P$25,mission!$D$64:$F$78,3,FALSE)&lt;=$F$5*60/$C$7*$C$6*3,INDEX(mission!$E$64:$E$78,MATCH(P$25,mission!$D$64:$D$78,0)),0))</f>
        <v>0</v>
      </c>
      <c r="Q98" s="2" cm="1">
        <f t="array" ref="Q98">IF(Q97=0,IF(VLOOKUP(Q$25,mission!$D$64:$F$78,3,FALSE)&lt;=$F$5*60/$C$7*$C$6*3,INDEX(mission!$E$64:$E$78,MATCH(Q$25,mission!$D$64:$D$78,0)),0))</f>
        <v>0</v>
      </c>
      <c r="R98" s="2" cm="1">
        <f t="array" ref="R98">IF(R97=0,IF(VLOOKUP(R$25,mission!$D$64:$F$78,3,FALSE)&lt;=$F$5*60/$C$7*$C$6*3,INDEX(mission!$E$64:$E$78,MATCH(R$25,mission!$D$64:$D$78,0)),0))</f>
        <v>0</v>
      </c>
      <c r="S98" s="2" cm="1">
        <f t="array" ref="S98">IF(S97=0,IF(VLOOKUP(S$25,mission!$D$64:$F$78,3,FALSE)&lt;=$F$5*60/$C$7*$C$6*$C$4*3,INDEX(mission!$E$64:$E$78,MATCH(S$25,mission!$D$64:$D$78,0)),0))</f>
        <v>50</v>
      </c>
      <c r="T98" s="2" cm="1">
        <f t="array" ref="T98">IF(T97=0,IF(VLOOKUP(T$25,mission!$D$64:$F$78,3,FALSE)&lt;=$F$5*60/$C$7*$C$6*$C$4*3,INDEX(mission!$E$64:$E$78,MATCH(T$25,mission!$D$64:$D$78,0)),0))</f>
        <v>0</v>
      </c>
      <c r="U98" s="2" cm="1">
        <f t="array" ref="U98">IF(U97=0,IF(VLOOKUP(U$25,mission!$D$64:$F$78,3,FALSE)&lt;=$F$5*60/$C$7*$C$6*$C$4*3,INDEX(mission!$E$64:$E$78,MATCH(U$25,mission!$D$64:$D$78,0)),0))</f>
        <v>0</v>
      </c>
      <c r="V98" s="2" cm="1">
        <f t="array" ref="V98">IF(V97=0,IF(VLOOKUP(V$25,mission!$D$64:$F$78,3,FALSE)&lt;=$F$5*60/$C$7*$C$6*$C$4*3,INDEX(mission!$E$64:$E$78,MATCH(V$25,mission!$D$64:$D$78,0)),0))</f>
        <v>0</v>
      </c>
      <c r="W98" s="2" cm="1">
        <f t="array" ref="W98">IF(W97=0,IF(VLOOKUP(W$25,mission!$D$64:$F$78,3,FALSE)&lt;=$F$5*60/$C$7*$C$6*$C$4*3,INDEX(mission!$E$64:$E$78,MATCH(W$25,mission!$D$64:$D$78,0)),0))</f>
        <v>0</v>
      </c>
      <c r="X98" s="2"/>
      <c r="Y98" s="2"/>
      <c r="Z98" s="2"/>
    </row>
    <row r="99" s="1" customFormat="1" ht="18" customHeight="1" spans="2:26">
      <c r="B99" s="2">
        <v>74</v>
      </c>
      <c r="C99" s="2">
        <f t="shared" si="6"/>
        <v>74000</v>
      </c>
      <c r="D99" s="2">
        <f>ROUND($C$8*$C$5+$C$8*$C$4*(1-$L$5),0)</f>
        <v>88</v>
      </c>
      <c r="E99" s="2">
        <f t="shared" si="7"/>
        <v>6512</v>
      </c>
      <c r="F99" s="2">
        <f>ROUND(E99*VLOOKUP($B$10,总产出!$T$4:$U$14,2,FALSE),0)</f>
        <v>1302</v>
      </c>
      <c r="G99" s="2">
        <f t="shared" si="8"/>
        <v>0</v>
      </c>
      <c r="H99" s="2">
        <f t="shared" si="9"/>
        <v>2100</v>
      </c>
      <c r="I99" s="2" t="b" cm="1">
        <f t="array" ref="I99">IF(I98=0,IF(VLOOKUP(I$25,mission!$D$64:$F$78,3,FALSE)&lt;=$F$5*60/$C$7*4,INDEX(mission!$E$64:$E$78,MATCH(I$25,mission!$D$64:$D$78,0)),0))</f>
        <v>0</v>
      </c>
      <c r="J99" s="2" cm="1">
        <f t="array" ref="J99">IF(J98=0,IF(VLOOKUP(J$25,mission!$D$64:$F$78,3,FALSE)&lt;=$F$5*60/$C$7*4,INDEX(mission!$E$64:$E$78,MATCH(J$25,mission!$D$64:$D$78,0)),0))</f>
        <v>0</v>
      </c>
      <c r="K99" s="2" cm="1">
        <f t="array" ref="K99">IF(K98=0,IF(VLOOKUP(K$25,mission!$D$64:$F$78,3,FALSE)&lt;=$F$5*60/$C$7*4,INDEX(mission!$E$64:$E$78,MATCH(K$25,mission!$D$64:$D$78,0)),0))</f>
        <v>0</v>
      </c>
      <c r="L99" s="2" cm="1">
        <f t="array" ref="L99">IF(L98=0,IF(VLOOKUP(L$25,mission!$D$64:$F$78,3,FALSE)&lt;=$F$5*60/$C$7*4,INDEX(mission!$E$64:$E$78,MATCH(L$25,mission!$D$64:$D$78,0)),0))</f>
        <v>0</v>
      </c>
      <c r="M99" s="2" cm="1">
        <f t="array" ref="M99">IF(M98=0,IF(VLOOKUP(M$25,mission!$D$64:$F$78,3,FALSE)&lt;=$F$5*60/$C$7*4,INDEX(mission!$E$64:$E$78,MATCH(M$25,mission!$D$64:$D$78,0)),0))</f>
        <v>0</v>
      </c>
      <c r="N99" s="2" t="b" cm="1">
        <f t="array" ref="N99">IF(N98=0,IF(VLOOKUP(N$25,mission!$D$64:$F$78,3,FALSE)&lt;=$F$5*60/$C$7*$C$6*4,INDEX(mission!$E$64:$E$78,MATCH(N$25,mission!$D$64:$D$78,0)),0))</f>
        <v>0</v>
      </c>
      <c r="O99" s="2" cm="1">
        <f t="array" ref="O99">IF(O98=0,IF(VLOOKUP(O$25,mission!$D$64:$F$78,3,FALSE)&lt;=$F$5*60/$C$7*$C$6*4,INDEX(mission!$E$64:$E$78,MATCH(O$25,mission!$D$64:$D$78,0)),0))</f>
        <v>0</v>
      </c>
      <c r="P99" s="2" cm="1">
        <f t="array" ref="P99">IF(P98=0,IF(VLOOKUP(P$25,mission!$D$64:$F$78,3,FALSE)&lt;=$F$5*60/$C$7*$C$6*4,INDEX(mission!$E$64:$E$78,MATCH(P$25,mission!$D$64:$D$78,0)),0))</f>
        <v>0</v>
      </c>
      <c r="Q99" s="2" cm="1">
        <f t="array" ref="Q99">IF(Q98=0,IF(VLOOKUP(Q$25,mission!$D$64:$F$78,3,FALSE)&lt;=$F$5*60/$C$7*$C$6*4,INDEX(mission!$E$64:$E$78,MATCH(Q$25,mission!$D$64:$D$78,0)),0))</f>
        <v>0</v>
      </c>
      <c r="R99" s="2" cm="1">
        <f t="array" ref="R99">IF(R98=0,IF(VLOOKUP(R$25,mission!$D$64:$F$78,3,FALSE)&lt;=$F$5*60/$C$7*$C$6*4,INDEX(mission!$E$64:$E$78,MATCH(R$25,mission!$D$64:$D$78,0)),0))</f>
        <v>0</v>
      </c>
      <c r="S99" s="2" t="b" cm="1">
        <f t="array" ref="S99">IF(S98=0,IF(VLOOKUP(S$25,mission!$D$64:$F$78,3,FALSE)&lt;=$F$5*60/$C$7*$C$6*$C$4*4,INDEX(mission!$E$64:$E$78,MATCH(S$25,mission!$D$64:$D$78,0)),0))</f>
        <v>0</v>
      </c>
      <c r="T99" s="2" cm="1">
        <f t="array" ref="T99">IF(T98=0,IF(VLOOKUP(T$25,mission!$D$64:$F$78,3,FALSE)&lt;=$F$5*60/$C$7*$C$6*$C$4*4,INDEX(mission!$E$64:$E$78,MATCH(T$25,mission!$D$64:$D$78,0)),0))</f>
        <v>0</v>
      </c>
      <c r="U99" s="2" cm="1">
        <f t="array" ref="U99">IF(U98=0,IF(VLOOKUP(U$25,mission!$D$64:$F$78,3,FALSE)&lt;=$F$5*60/$C$7*$C$6*$C$4*4,INDEX(mission!$E$64:$E$78,MATCH(U$25,mission!$D$64:$D$78,0)),0))</f>
        <v>0</v>
      </c>
      <c r="V99" s="2" cm="1">
        <f t="array" ref="V99">IF(V98=0,IF(VLOOKUP(V$25,mission!$D$64:$F$78,3,FALSE)&lt;=$F$5*60/$C$7*$C$6*$C$4*4,INDEX(mission!$E$64:$E$78,MATCH(V$25,mission!$D$64:$D$78,0)),0))</f>
        <v>0</v>
      </c>
      <c r="W99" s="2" cm="1">
        <f t="array" ref="W99">IF(W98=0,IF(VLOOKUP(W$25,mission!$D$64:$F$78,3,FALSE)&lt;=$F$5*60/$C$7*$C$6*$C$4*4,INDEX(mission!$E$64:$E$78,MATCH(W$25,mission!$D$64:$D$78,0)),0))</f>
        <v>0</v>
      </c>
      <c r="X99" s="2"/>
      <c r="Y99" s="2"/>
      <c r="Z99" s="2"/>
    </row>
    <row r="100" s="1" customFormat="1" ht="18" customHeight="1" spans="2:26">
      <c r="B100" s="2">
        <v>75</v>
      </c>
      <c r="C100" s="2">
        <f t="shared" si="6"/>
        <v>75000</v>
      </c>
      <c r="D100" s="2">
        <f>ROUND($C$8*$C$5+$C$8*$C$4*(1-$L$5),0)</f>
        <v>88</v>
      </c>
      <c r="E100" s="2">
        <f t="shared" si="7"/>
        <v>6600</v>
      </c>
      <c r="F100" s="2">
        <f>ROUND(E100*VLOOKUP($B$10,总产出!$T$4:$U$14,2,FALSE),0)</f>
        <v>1320</v>
      </c>
      <c r="G100" s="2">
        <f t="shared" si="8"/>
        <v>0</v>
      </c>
      <c r="H100" s="2">
        <f t="shared" si="9"/>
        <v>2100</v>
      </c>
      <c r="I100" s="2" t="b" cm="1">
        <f t="array" ref="I100">IF(I99=0,IF(VLOOKUP(I$25,mission!$D$64:$F$78,3,FALSE)&lt;=$F$5*60/$C$7*5,INDEX(mission!$E$64:$E$78,MATCH(I$25,mission!$D$64:$D$78,0)),0))</f>
        <v>0</v>
      </c>
      <c r="J100" s="2" cm="1">
        <f t="array" ref="J100">IF(J99=0,IF(VLOOKUP(J$25,mission!$D$64:$F$78,3,FALSE)&lt;=$F$5*60/$C$7*5,INDEX(mission!$E$64:$E$78,MATCH(J$25,mission!$D$64:$D$78,0)),0))</f>
        <v>0</v>
      </c>
      <c r="K100" s="2" cm="1">
        <f t="array" ref="K100">IF(K99=0,IF(VLOOKUP(K$25,mission!$D$64:$F$78,3,FALSE)&lt;=$F$5*60/$C$7*5,INDEX(mission!$E$64:$E$78,MATCH(K$25,mission!$D$64:$D$78,0)),0))</f>
        <v>0</v>
      </c>
      <c r="L100" s="2" cm="1">
        <f t="array" ref="L100">IF(L99=0,IF(VLOOKUP(L$25,mission!$D$64:$F$78,3,FALSE)&lt;=$F$5*60/$C$7*5,INDEX(mission!$E$64:$E$78,MATCH(L$25,mission!$D$64:$D$78,0)),0))</f>
        <v>0</v>
      </c>
      <c r="M100" s="2" cm="1">
        <f t="array" ref="M100">IF(M99=0,IF(VLOOKUP(M$25,mission!$D$64:$F$78,3,FALSE)&lt;=$F$5*60/$C$7*5,INDEX(mission!$E$64:$E$78,MATCH(M$25,mission!$D$64:$D$78,0)),0))</f>
        <v>0</v>
      </c>
      <c r="N100" s="2" t="b" cm="1">
        <f t="array" ref="N100">IF(N99=0,IF(VLOOKUP(N$25,mission!$D$64:$F$78,3,FALSE)&lt;=$F$5*60/$C$7*$C$6*5,INDEX(mission!$E$64:$E$78,MATCH(N$25,mission!$D$64:$D$78,0)),0))</f>
        <v>0</v>
      </c>
      <c r="O100" s="2" cm="1">
        <f t="array" ref="O100">IF(O99=0,IF(VLOOKUP(O$25,mission!$D$64:$F$78,3,FALSE)&lt;=$F$5*60/$C$7*$C$6*5,INDEX(mission!$E$64:$E$78,MATCH(O$25,mission!$D$64:$D$78,0)),0))</f>
        <v>0</v>
      </c>
      <c r="P100" s="2" cm="1">
        <f t="array" ref="P100">IF(P99=0,IF(VLOOKUP(P$25,mission!$D$64:$F$78,3,FALSE)&lt;=$F$5*60/$C$7*$C$6*5,INDEX(mission!$E$64:$E$78,MATCH(P$25,mission!$D$64:$D$78,0)),0))</f>
        <v>0</v>
      </c>
      <c r="Q100" s="2" cm="1">
        <f t="array" ref="Q100">IF(Q99=0,IF(VLOOKUP(Q$25,mission!$D$64:$F$78,3,FALSE)&lt;=$F$5*60/$C$7*$C$6*5,INDEX(mission!$E$64:$E$78,MATCH(Q$25,mission!$D$64:$D$78,0)),0))</f>
        <v>0</v>
      </c>
      <c r="R100" s="2" cm="1">
        <f t="array" ref="R100">IF(R99=0,IF(VLOOKUP(R$25,mission!$D$64:$F$78,3,FALSE)&lt;=$F$5*60/$C$7*$C$6*5,INDEX(mission!$E$64:$E$78,MATCH(R$25,mission!$D$64:$D$78,0)),0))</f>
        <v>0</v>
      </c>
      <c r="S100" s="2" t="b" cm="1">
        <f t="array" ref="S100">IF(S99=0,IF(VLOOKUP(S$25,mission!$D$64:$F$78,3,FALSE)&lt;=$F$5*60/$C$7*$C$6*$C$4*5,INDEX(mission!$E$64:$E$78,MATCH(S$25,mission!$D$64:$D$78,0)),0))</f>
        <v>0</v>
      </c>
      <c r="T100" s="2" cm="1">
        <f t="array" ref="T100">IF(T99=0,IF(VLOOKUP(T$25,mission!$D$64:$F$78,3,FALSE)&lt;=$F$5*60/$C$7*$C$6*$C$4*5,INDEX(mission!$E$64:$E$78,MATCH(T$25,mission!$D$64:$D$78,0)),0))</f>
        <v>0</v>
      </c>
      <c r="U100" s="2" cm="1">
        <f t="array" ref="U100">IF(U99=0,IF(VLOOKUP(U$25,mission!$D$64:$F$78,3,FALSE)&lt;=$F$5*60/$C$7*$C$6*$C$4*5,INDEX(mission!$E$64:$E$78,MATCH(U$25,mission!$D$64:$D$78,0)),0))</f>
        <v>0</v>
      </c>
      <c r="V100" s="2" cm="1">
        <f t="array" ref="V100">IF(V99=0,IF(VLOOKUP(V$25,mission!$D$64:$F$78,3,FALSE)&lt;=$F$5*60/$C$7*$C$6*$C$4*5,INDEX(mission!$E$64:$E$78,MATCH(V$25,mission!$D$64:$D$78,0)),0))</f>
        <v>0</v>
      </c>
      <c r="W100" s="2" cm="1">
        <f t="array" ref="W100">IF(W99=0,IF(VLOOKUP(W$25,mission!$D$64:$F$78,3,FALSE)&lt;=$F$5*60/$C$7*$C$6*$C$4*5,INDEX(mission!$E$64:$E$78,MATCH(W$25,mission!$D$64:$D$78,0)),0))</f>
        <v>0</v>
      </c>
      <c r="X100" s="2"/>
      <c r="Y100" s="2"/>
      <c r="Z100" s="2"/>
    </row>
    <row r="101" s="1" customFormat="1" ht="18" customHeight="1" spans="2:26">
      <c r="B101" s="2">
        <v>76</v>
      </c>
      <c r="C101" s="2">
        <f t="shared" si="6"/>
        <v>76000</v>
      </c>
      <c r="D101" s="2">
        <f>ROUND($C$8*$C$5+$C$8*$C$4*(1-$L$5),0)</f>
        <v>88</v>
      </c>
      <c r="E101" s="2">
        <f t="shared" si="7"/>
        <v>6688</v>
      </c>
      <c r="F101" s="2">
        <f>ROUND(E101*VLOOKUP($B$10,总产出!$T$4:$U$14,2,FALSE),0)</f>
        <v>1338</v>
      </c>
      <c r="G101" s="2">
        <f t="shared" si="8"/>
        <v>100</v>
      </c>
      <c r="H101" s="2">
        <f t="shared" si="9"/>
        <v>2200</v>
      </c>
      <c r="I101" s="2" t="b" cm="1">
        <f t="array" ref="I101">IF(I100=0,IF(VLOOKUP(I$25,mission!$D$64:$F$78,3,FALSE)&lt;=$F$5*60/$C$7*6,INDEX(mission!$E$64:$E$78,MATCH(I$25,mission!$D$64:$D$78,0)),0))</f>
        <v>0</v>
      </c>
      <c r="J101" s="2" cm="1">
        <f t="array" ref="J101">IF(J100=0,IF(VLOOKUP(J$25,mission!$D$64:$F$78,3,FALSE)&lt;=$F$5*60/$C$7*6,INDEX(mission!$E$64:$E$78,MATCH(J$25,mission!$D$64:$D$78,0)),0))</f>
        <v>25</v>
      </c>
      <c r="K101" s="2" cm="1">
        <f t="array" ref="K101">IF(K100=0,IF(VLOOKUP(K$25,mission!$D$64:$F$78,3,FALSE)&lt;=$F$5*60/$C$7*6,INDEX(mission!$E$64:$E$78,MATCH(K$25,mission!$D$64:$D$78,0)),0))</f>
        <v>0</v>
      </c>
      <c r="L101" s="2" cm="1">
        <f t="array" ref="L101">IF(L100=0,IF(VLOOKUP(L$25,mission!$D$64:$F$78,3,FALSE)&lt;=$F$5*60/$C$7*6,INDEX(mission!$E$64:$E$78,MATCH(L$25,mission!$D$64:$D$78,0)),0))</f>
        <v>0</v>
      </c>
      <c r="M101" s="2" cm="1">
        <f t="array" ref="M101">IF(M100=0,IF(VLOOKUP(M$25,mission!$D$64:$F$78,3,FALSE)&lt;=$F$5*60/$C$7*6,INDEX(mission!$E$64:$E$78,MATCH(M$25,mission!$D$64:$D$78,0)),0))</f>
        <v>0</v>
      </c>
      <c r="N101" s="2" t="b" cm="1">
        <f t="array" ref="N101">IF(N100=0,IF(VLOOKUP(N$25,mission!$D$64:$F$78,3,FALSE)&lt;=$F$5*60/$C$7*$C$6*6,INDEX(mission!$E$64:$E$78,MATCH(N$25,mission!$D$64:$D$78,0)),0))</f>
        <v>0</v>
      </c>
      <c r="O101" s="2" cm="1">
        <f t="array" ref="O101">IF(O100=0,IF(VLOOKUP(O$25,mission!$D$64:$F$78,3,FALSE)&lt;=$F$5*60/$C$7*$C$6*6,INDEX(mission!$E$64:$E$78,MATCH(O$25,mission!$D$64:$D$78,0)),0))</f>
        <v>25</v>
      </c>
      <c r="P101" s="2" cm="1">
        <f t="array" ref="P101">IF(P100=0,IF(VLOOKUP(P$25,mission!$D$64:$F$78,3,FALSE)&lt;=$F$5*60/$C$7*$C$6*6,INDEX(mission!$E$64:$E$78,MATCH(P$25,mission!$D$64:$D$78,0)),0))</f>
        <v>0</v>
      </c>
      <c r="Q101" s="2" cm="1">
        <f t="array" ref="Q101">IF(Q100=0,IF(VLOOKUP(Q$25,mission!$D$64:$F$78,3,FALSE)&lt;=$F$5*60/$C$7*$C$6*6,INDEX(mission!$E$64:$E$78,MATCH(Q$25,mission!$D$64:$D$78,0)),0))</f>
        <v>0</v>
      </c>
      <c r="R101" s="2" cm="1">
        <f t="array" ref="R101">IF(R100=0,IF(VLOOKUP(R$25,mission!$D$64:$F$78,3,FALSE)&lt;=$F$5*60/$C$7*$C$6*6,INDEX(mission!$E$64:$E$78,MATCH(R$25,mission!$D$64:$D$78,0)),0))</f>
        <v>0</v>
      </c>
      <c r="S101" s="2" t="b" cm="1">
        <f t="array" ref="S101">IF(S100=0,IF(VLOOKUP(S$25,mission!$D$64:$F$78,3,FALSE)&lt;=$F$5*60/$C$7*$C$6*$C$4*6,INDEX(mission!$E$64:$E$78,MATCH(S$25,mission!$D$64:$D$78,0)),0))</f>
        <v>0</v>
      </c>
      <c r="T101" s="2" cm="1">
        <f t="array" ref="T101">IF(T100=0,IF(VLOOKUP(T$25,mission!$D$64:$F$78,3,FALSE)&lt;=$F$5*60/$C$7*$C$6*$C$4*6,INDEX(mission!$E$64:$E$78,MATCH(T$25,mission!$D$64:$D$78,0)),0))</f>
        <v>50</v>
      </c>
      <c r="U101" s="2" cm="1">
        <f t="array" ref="U101">IF(U100=0,IF(VLOOKUP(U$25,mission!$D$64:$F$78,3,FALSE)&lt;=$F$5*60/$C$7*$C$6*$C$4*6,INDEX(mission!$E$64:$E$78,MATCH(U$25,mission!$D$64:$D$78,0)),0))</f>
        <v>0</v>
      </c>
      <c r="V101" s="2" cm="1">
        <f t="array" ref="V101">IF(V100=0,IF(VLOOKUP(V$25,mission!$D$64:$F$78,3,FALSE)&lt;=$F$5*60/$C$7*$C$6*$C$4*6,INDEX(mission!$E$64:$E$78,MATCH(V$25,mission!$D$64:$D$78,0)),0))</f>
        <v>0</v>
      </c>
      <c r="W101" s="2" cm="1">
        <f t="array" ref="W101">IF(W100=0,IF(VLOOKUP(W$25,mission!$D$64:$F$78,3,FALSE)&lt;=$F$5*60/$C$7*$C$6*$C$4*6,INDEX(mission!$E$64:$E$78,MATCH(W$25,mission!$D$64:$D$78,0)),0))</f>
        <v>0</v>
      </c>
      <c r="X101" s="2"/>
      <c r="Y101" s="2"/>
      <c r="Z101" s="2"/>
    </row>
    <row r="102" s="10" customFormat="1" ht="18" customHeight="1" spans="2:26">
      <c r="B102" s="10">
        <v>77</v>
      </c>
      <c r="C102" s="10">
        <f t="shared" si="6"/>
        <v>77000</v>
      </c>
      <c r="D102" s="10">
        <f>ROUND($C$8*$C$5+$C$8*$C$4*(1-$L$5),0)</f>
        <v>88</v>
      </c>
      <c r="E102" s="10">
        <f t="shared" si="7"/>
        <v>6776</v>
      </c>
      <c r="F102" s="10">
        <f>ROUND(E102*VLOOKUP($B$10,总产出!$T$4:$U$14,2,FALSE),0)</f>
        <v>1355</v>
      </c>
      <c r="G102" s="10">
        <f t="shared" si="8"/>
        <v>0</v>
      </c>
      <c r="H102" s="10">
        <f t="shared" si="9"/>
        <v>2200</v>
      </c>
      <c r="I102" s="10" t="b" cm="1">
        <f t="array" ref="I102">IF(I101=0,IF(VLOOKUP(I$25,mission!$D$64:$F$78,3,FALSE)&lt;=$F$5*60/$C$7*7,INDEX(mission!$E$64:$E$78,MATCH(I$25,mission!$D$64:$D$78,0)),0))</f>
        <v>0</v>
      </c>
      <c r="J102" s="10" t="b" cm="1">
        <f t="array" ref="J102">IF(J101=0,IF(VLOOKUP(J$25,mission!$D$64:$F$78,3,FALSE)&lt;=$F$5*60/$C$7*7,INDEX(mission!$E$64:$E$78,MATCH(J$25,mission!$D$64:$D$78,0)),0))</f>
        <v>0</v>
      </c>
      <c r="K102" s="10" cm="1">
        <f t="array" ref="K102">IF(K101=0,IF(VLOOKUP(K$25,mission!$D$64:$F$78,3,FALSE)&lt;=$F$5*60/$C$7*7,INDEX(mission!$E$64:$E$78,MATCH(K$25,mission!$D$64:$D$78,0)),0))</f>
        <v>0</v>
      </c>
      <c r="L102" s="10" cm="1">
        <f t="array" ref="L102">IF(L101=0,IF(VLOOKUP(L$25,mission!$D$64:$F$78,3,FALSE)&lt;=$F$5*60/$C$7*7,INDEX(mission!$E$64:$E$78,MATCH(L$25,mission!$D$64:$D$78,0)),0))</f>
        <v>0</v>
      </c>
      <c r="M102" s="10" cm="1">
        <f t="array" ref="M102">IF(M101=0,IF(VLOOKUP(M$25,mission!$D$64:$F$78,3,FALSE)&lt;=$F$5*60/$C$7*7,INDEX(mission!$E$64:$E$78,MATCH(M$25,mission!$D$64:$D$78,0)),0))</f>
        <v>0</v>
      </c>
      <c r="N102" s="10" t="b" cm="1">
        <f t="array" ref="N102">IF(N101=0,IF(VLOOKUP(N$25,mission!$D$64:$F$78,3,FALSE)&lt;=$F$5*60/$C$7*$C$6*7,INDEX(mission!$E$64:$E$78,MATCH(N$25,mission!$D$64:$D$78,0)),0))</f>
        <v>0</v>
      </c>
      <c r="O102" s="10" t="b" cm="1">
        <f t="array" ref="O102">IF(O101=0,IF(VLOOKUP(O$25,mission!$D$64:$F$78,3,FALSE)&lt;=$F$5*60/$C$7*$C$6*7,INDEX(mission!$E$64:$E$78,MATCH(O$25,mission!$D$64:$D$78,0)),0))</f>
        <v>0</v>
      </c>
      <c r="P102" s="10" cm="1">
        <f t="array" ref="P102">IF(P101=0,IF(VLOOKUP(P$25,mission!$D$64:$F$78,3,FALSE)&lt;=$F$5*60/$C$7*$C$6*7,INDEX(mission!$E$64:$E$78,MATCH(P$25,mission!$D$64:$D$78,0)),0))</f>
        <v>0</v>
      </c>
      <c r="Q102" s="10" cm="1">
        <f t="array" ref="Q102">IF(Q101=0,IF(VLOOKUP(Q$25,mission!$D$64:$F$78,3,FALSE)&lt;=$F$5*60/$C$7*$C$6*7,INDEX(mission!$E$64:$E$78,MATCH(Q$25,mission!$D$64:$D$78,0)),0))</f>
        <v>0</v>
      </c>
      <c r="R102" s="10" cm="1">
        <f t="array" ref="R102">IF(R101=0,IF(VLOOKUP(R$25,mission!$D$64:$F$78,3,FALSE)&lt;=$F$5*60/$C$7*$C$6*7,INDEX(mission!$E$64:$E$78,MATCH(R$25,mission!$D$64:$D$78,0)),0))</f>
        <v>0</v>
      </c>
      <c r="S102" s="10" t="b" cm="1">
        <f t="array" ref="S102">IF(S101=0,IF(VLOOKUP(S$25,mission!$D$64:$F$78,3,FALSE)&lt;=$F$5*60/$C$7*$C$6*$C$4*7,INDEX(mission!$E$64:$E$78,MATCH(S$25,mission!$D$64:$D$78,0)),0))</f>
        <v>0</v>
      </c>
      <c r="T102" s="10" t="b" cm="1">
        <f t="array" ref="T102">IF(T101=0,IF(VLOOKUP(T$25,mission!$D$64:$F$78,3,FALSE)&lt;=$F$5*60/$C$7*$C$6*$C$4*7,INDEX(mission!$E$64:$E$78,MATCH(T$25,mission!$D$64:$D$78,0)),0))</f>
        <v>0</v>
      </c>
      <c r="U102" s="10" cm="1">
        <f t="array" ref="U102">IF(U101=0,IF(VLOOKUP(U$25,mission!$D$64:$F$78,3,FALSE)&lt;=$F$5*60/$C$7*$C$6*$C$4*7,INDEX(mission!$E$64:$E$78,MATCH(U$25,mission!$D$64:$D$78,0)),0))</f>
        <v>0</v>
      </c>
      <c r="V102" s="10" cm="1">
        <f t="array" ref="V102">IF(V101=0,IF(VLOOKUP(V$25,mission!$D$64:$F$78,3,FALSE)&lt;=$F$5*60/$C$7*$C$6*$C$4*7,INDEX(mission!$E$64:$E$78,MATCH(V$25,mission!$D$64:$D$78,0)),0))</f>
        <v>0</v>
      </c>
      <c r="W102" s="10" cm="1">
        <f t="array" ref="W102">IF(W101=0,IF(VLOOKUP(W$25,mission!$D$64:$F$78,3,FALSE)&lt;=$F$5*60/$C$7*$C$6*$C$4*7,INDEX(mission!$E$64:$E$78,MATCH(W$25,mission!$D$64:$D$78,0)),0))</f>
        <v>0</v>
      </c>
      <c r="X102" s="2"/>
      <c r="Y102" s="2"/>
      <c r="Z102" s="2"/>
    </row>
    <row r="103" s="1" customFormat="1" ht="18" customHeight="1" spans="2:26">
      <c r="B103" s="2">
        <v>78</v>
      </c>
      <c r="C103" s="2">
        <f t="shared" si="6"/>
        <v>78000</v>
      </c>
      <c r="D103" s="2">
        <f>ROUND($C$8*$C$5+$C$8*$C$4*(1-$L$5),0)</f>
        <v>88</v>
      </c>
      <c r="E103" s="2">
        <f t="shared" si="7"/>
        <v>6864</v>
      </c>
      <c r="F103" s="2">
        <f>ROUND(E103*VLOOKUP($B$10,总产出!$T$4:$U$14,2,FALSE),0)</f>
        <v>1373</v>
      </c>
      <c r="G103" s="2">
        <f t="shared" si="8"/>
        <v>0</v>
      </c>
      <c r="H103" s="2">
        <f t="shared" si="9"/>
        <v>2200</v>
      </c>
      <c r="I103" s="2" cm="1">
        <f t="array" ref="I103">IF(VLOOKUP(I$25,mission!$D$64:$F$78,3,FALSE)&lt;=$F$5*60/$C$7,INDEX(mission!$E$64:$E$78,MATCH(I$25,mission!$D$64:$D$78,0)),0)</f>
        <v>0</v>
      </c>
      <c r="J103" s="2" cm="1">
        <f t="array" ref="J103">IF(VLOOKUP(J$25,mission!$D$64:$F$78,3,FALSE)&lt;=$F$5*60/$C$7,INDEX(mission!$E$64:$E$78,MATCH(J$25,mission!$D$64:$D$78,0)),0)</f>
        <v>0</v>
      </c>
      <c r="K103" s="2" cm="1">
        <f t="array" ref="K103">IF(VLOOKUP(K$25,mission!$D$64:$F$78,3,FALSE)&lt;=$F$5*60/$C$7,INDEX(mission!$E$64:$E$78,MATCH(K$25,mission!$D$64:$D$78,0)),0)</f>
        <v>0</v>
      </c>
      <c r="L103" s="2" cm="1">
        <f t="array" ref="L103">IF(VLOOKUP(L$25,mission!$D$64:$F$78,3,FALSE)&lt;=$F$5*60/$C$7,INDEX(mission!$E$64:$E$78,MATCH(L$25,mission!$D$64:$D$78,0)),0)</f>
        <v>0</v>
      </c>
      <c r="M103" s="2" cm="1">
        <f t="array" ref="M103">IF(VLOOKUP(M$25,mission!$D$64:$F$78,3,FALSE)&lt;=$F$5*60/$C$7,INDEX(mission!$E$64:$E$78,MATCH(M$25,mission!$D$64:$D$78,0)),0)</f>
        <v>0</v>
      </c>
      <c r="N103" s="2" cm="1">
        <f t="array" ref="N103">IF(VLOOKUP(N$25,mission!$D$64:$F$78,3,FALSE)&lt;=$F$5*60/$C$7*$C$6,INDEX(mission!$E$64:$E$78,MATCH(N$25,mission!$D$64:$D$78,0)),0)</f>
        <v>0</v>
      </c>
      <c r="O103" s="2" cm="1">
        <f t="array" ref="O103">IF(VLOOKUP(O$25,mission!$D$64:$F$78,3,FALSE)&lt;=$F$5*60/$C$7*$C$6,INDEX(mission!$E$64:$E$78,MATCH(O$25,mission!$D$64:$D$78,0)),0)</f>
        <v>0</v>
      </c>
      <c r="P103" s="2" cm="1">
        <f t="array" ref="P103">IF(VLOOKUP(P$25,mission!$D$64:$F$78,3,FALSE)&lt;=$F$5*60/$C$7*$C$6,INDEX(mission!$E$64:$E$78,MATCH(P$25,mission!$D$64:$D$78,0)),0)</f>
        <v>0</v>
      </c>
      <c r="Q103" s="2" cm="1">
        <f t="array" ref="Q103">IF(VLOOKUP(Q$25,mission!$D$64:$F$78,3,FALSE)&lt;=$F$5*60/$C$7*$C$6,INDEX(mission!$E$64:$E$78,MATCH(Q$25,mission!$D$64:$D$78,0)),0)</f>
        <v>0</v>
      </c>
      <c r="R103" s="2" cm="1">
        <f t="array" ref="R103">IF(VLOOKUP(R$25,mission!$D$64:$F$78,3,FALSE)&lt;=$F$5*60/$C$7*$C$6,INDEX(mission!$E$64:$E$78,MATCH(R$25,mission!$D$64:$D$78,0)),0)</f>
        <v>0</v>
      </c>
      <c r="S103" s="2" cm="1">
        <f t="array" ref="S103">IF(VLOOKUP(S$25,mission!$D$64:$F$78,3,FALSE)&lt;=$F$5*60/$C$7*$C$6*$C$4,INDEX(mission!$E$64:$E$78,MATCH(S$25,mission!$D$64:$D$78,0)),0)</f>
        <v>0</v>
      </c>
      <c r="T103" s="2" cm="1">
        <f t="array" ref="T103">IF(VLOOKUP(T$25,mission!$D$64:$F$78,3,FALSE)&lt;=$F$5*60/$C$7*$C$6*$C$4,INDEX(mission!$E$64:$E$78,MATCH(T$25,mission!$D$64:$D$78,0)),0)</f>
        <v>0</v>
      </c>
      <c r="U103" s="2" cm="1">
        <f t="array" ref="U103">IF(VLOOKUP(U$25,mission!$D$64:$F$78,3,FALSE)&lt;=$F$5*60/$C$7*$C$6*$C$4,INDEX(mission!$E$64:$E$78,MATCH(U$25,mission!$D$64:$D$78,0)),0)</f>
        <v>0</v>
      </c>
      <c r="V103" s="2" cm="1">
        <f t="array" ref="V103">IF(VLOOKUP(V$25,mission!$D$64:$F$78,3,FALSE)&lt;=$F$5*60/$C$7*$C$6*$C$4,INDEX(mission!$E$64:$E$78,MATCH(V$25,mission!$D$64:$D$78,0)),0)</f>
        <v>0</v>
      </c>
      <c r="W103" s="2" cm="1">
        <f t="array" ref="W103">IF(VLOOKUP(W$25,mission!$D$64:$F$78,3,FALSE)&lt;=$F$5*60/$C$7*$C$6*$C$4,INDEX(mission!$E$64:$E$78,MATCH(W$25,mission!$D$64:$D$78,0)),0)</f>
        <v>0</v>
      </c>
      <c r="X103" s="2"/>
      <c r="Y103" s="2"/>
      <c r="Z103" s="2"/>
    </row>
    <row r="104" s="1" customFormat="1" ht="18" customHeight="1" spans="2:26">
      <c r="B104" s="2">
        <v>79</v>
      </c>
      <c r="C104" s="2">
        <f t="shared" si="6"/>
        <v>79000</v>
      </c>
      <c r="D104" s="2">
        <f>ROUND($C$8*$C$5+$C$8*$C$4*(1-$L$5),0)</f>
        <v>88</v>
      </c>
      <c r="E104" s="2">
        <f t="shared" si="7"/>
        <v>6952</v>
      </c>
      <c r="F104" s="2">
        <f>ROUND(E104*VLOOKUP($B$10,总产出!$T$4:$U$14,2,FALSE),0)</f>
        <v>1390</v>
      </c>
      <c r="G104" s="2">
        <f t="shared" si="8"/>
        <v>0</v>
      </c>
      <c r="H104" s="2">
        <f t="shared" si="9"/>
        <v>2200</v>
      </c>
      <c r="I104" s="2" cm="1">
        <f t="array" ref="I104">IF(I103=0,IF(VLOOKUP(I$25,mission!$D$64:$F$78,3,FALSE)&lt;=$F$5*60/$C$7*2,INDEX(mission!$E$64:$E$78,MATCH(I$25,mission!$D$64:$D$78,0)),0))</f>
        <v>0</v>
      </c>
      <c r="J104" s="2" cm="1">
        <f t="array" ref="J104">IF(J103=0,IF(VLOOKUP(J$25,mission!$D$64:$F$78,3,FALSE)&lt;=$F$5*60/$C$7*2,INDEX(mission!$E$64:$E$78,MATCH(J$25,mission!$D$64:$D$78,0)),0))</f>
        <v>0</v>
      </c>
      <c r="K104" s="2" cm="1">
        <f t="array" ref="K104">IF(K103=0,IF(VLOOKUP(K$25,mission!$D$64:$F$78,3,FALSE)&lt;=$F$5*60/$C$7*2,INDEX(mission!$E$64:$E$78,MATCH(K$25,mission!$D$64:$D$78,0)),0))</f>
        <v>0</v>
      </c>
      <c r="L104" s="2" cm="1">
        <f t="array" ref="L104">IF(L103=0,IF(VLOOKUP(L$25,mission!$D$64:$F$78,3,FALSE)&lt;=$F$5*60/$C$7*2,INDEX(mission!$E$64:$E$78,MATCH(L$25,mission!$D$64:$D$78,0)),0))</f>
        <v>0</v>
      </c>
      <c r="M104" s="2" cm="1">
        <f t="array" ref="M104">IF(M103=0,IF(VLOOKUP(M$25,mission!$D$64:$F$78,3,FALSE)&lt;=$F$5*60/$C$7*2,INDEX(mission!$E$64:$E$78,MATCH(M$25,mission!$D$64:$D$78,0)),0))</f>
        <v>0</v>
      </c>
      <c r="N104" s="2" cm="1">
        <f t="array" ref="N104">IF(N103=0,IF(VLOOKUP(N$25,mission!$D$64:$F$78,3,FALSE)&lt;=$F$5*60/$C$7*$C$6*2,INDEX(mission!$E$64:$E$78,MATCH(N$25,mission!$D$64:$D$78,0)),0))</f>
        <v>0</v>
      </c>
      <c r="O104" s="2" cm="1">
        <f t="array" ref="O104">IF(O103=0,IF(VLOOKUP(O$25,mission!$D$64:$F$78,3,FALSE)&lt;=$F$5*60/$C$7*$C$6*2,INDEX(mission!$E$64:$E$78,MATCH(O$25,mission!$D$64:$D$78,0)),0))</f>
        <v>0</v>
      </c>
      <c r="P104" s="2" cm="1">
        <f t="array" ref="P104">IF(P103=0,IF(VLOOKUP(P$25,mission!$D$64:$F$78,3,FALSE)&lt;=$F$5*60/$C$7*$C$6*2,INDEX(mission!$E$64:$E$78,MATCH(P$25,mission!$D$64:$D$78,0)),0))</f>
        <v>0</v>
      </c>
      <c r="Q104" s="2" cm="1">
        <f t="array" ref="Q104">IF(Q103=0,IF(VLOOKUP(Q$25,mission!$D$64:$F$78,3,FALSE)&lt;=$F$5*60/$C$7*$C$6*2,INDEX(mission!$E$64:$E$78,MATCH(Q$25,mission!$D$64:$D$78,0)),0))</f>
        <v>0</v>
      </c>
      <c r="R104" s="2" cm="1">
        <f t="array" ref="R104">IF(R103=0,IF(VLOOKUP(R$25,mission!$D$64:$F$78,3,FALSE)&lt;=$F$5*60/$C$7*$C$6*2,INDEX(mission!$E$64:$E$78,MATCH(R$25,mission!$D$64:$D$78,0)),0))</f>
        <v>0</v>
      </c>
      <c r="S104" s="2" cm="1">
        <f t="array" ref="S104">IF(S103=0,IF(VLOOKUP(S$25,mission!$D$64:$F$78,3,FALSE)&lt;=$F$5*60/$C$7*$C$6*$C$4*2,INDEX(mission!$E$64:$E$78,MATCH(S$25,mission!$D$64:$D$78,0)),0))</f>
        <v>0</v>
      </c>
      <c r="T104" s="2" cm="1">
        <f t="array" ref="T104">IF(T103=0,IF(VLOOKUP(T$25,mission!$D$64:$F$78,3,FALSE)&lt;=$F$5*60/$C$7*$C$6*$C$4*2,INDEX(mission!$E$64:$E$78,MATCH(T$25,mission!$D$64:$D$78,0)),0))</f>
        <v>0</v>
      </c>
      <c r="U104" s="2" cm="1">
        <f t="array" ref="U104">IF(U103=0,IF(VLOOKUP(U$25,mission!$D$64:$F$78,3,FALSE)&lt;=$F$5*60/$C$7*$C$6*$C$4*2,INDEX(mission!$E$64:$E$78,MATCH(U$25,mission!$D$64:$D$78,0)),0))</f>
        <v>0</v>
      </c>
      <c r="V104" s="2" cm="1">
        <f t="array" ref="V104">IF(V103=0,IF(VLOOKUP(V$25,mission!$D$64:$F$78,3,FALSE)&lt;=$F$5*60/$C$7*$C$6*$C$4*2,INDEX(mission!$E$64:$E$78,MATCH(V$25,mission!$D$64:$D$78,0)),0))</f>
        <v>0</v>
      </c>
      <c r="W104" s="2" cm="1">
        <f t="array" ref="W104">IF(W103=0,IF(VLOOKUP(W$25,mission!$D$64:$F$78,3,FALSE)&lt;=$F$5*60/$C$7*$C$6*$C$4*2,INDEX(mission!$E$64:$E$78,MATCH(W$25,mission!$D$64:$D$78,0)),0))</f>
        <v>0</v>
      </c>
      <c r="X104" s="2"/>
      <c r="Y104" s="2"/>
      <c r="Z104" s="2"/>
    </row>
    <row r="105" s="1" customFormat="1" ht="18" customHeight="1" spans="2:26">
      <c r="B105" s="2">
        <v>80</v>
      </c>
      <c r="C105" s="2">
        <f t="shared" si="6"/>
        <v>80000</v>
      </c>
      <c r="D105" s="2">
        <f>ROUND($C$8*$C$5+$C$8*$C$4*(1-$L$5),0)</f>
        <v>88</v>
      </c>
      <c r="E105" s="2">
        <f t="shared" si="7"/>
        <v>7040</v>
      </c>
      <c r="F105" s="2">
        <f>ROUND(E105*VLOOKUP($B$10,总产出!$T$4:$U$14,2,FALSE),0)</f>
        <v>1408</v>
      </c>
      <c r="G105" s="2">
        <f t="shared" si="8"/>
        <v>100</v>
      </c>
      <c r="H105" s="2">
        <f t="shared" si="9"/>
        <v>2300</v>
      </c>
      <c r="I105" s="2" cm="1">
        <f t="array" ref="I105">IF(I104=0,IF(VLOOKUP(I$25,mission!$D$64:$F$78,3,FALSE)&lt;=$F$5*60/$C$7*3,INDEX(mission!$E$64:$E$78,MATCH(I$25,mission!$D$64:$D$78,0)),0))</f>
        <v>25</v>
      </c>
      <c r="J105" s="2" cm="1">
        <f t="array" ref="J105">IF(J104=0,IF(VLOOKUP(J$25,mission!$D$64:$F$78,3,FALSE)&lt;=$F$5*60/$C$7*3,INDEX(mission!$E$64:$E$78,MATCH(J$25,mission!$D$64:$D$78,0)),0))</f>
        <v>0</v>
      </c>
      <c r="K105" s="2" cm="1">
        <f t="array" ref="K105">IF(K104=0,IF(VLOOKUP(K$25,mission!$D$64:$F$78,3,FALSE)&lt;=$F$5*60/$C$7*3,INDEX(mission!$E$64:$E$78,MATCH(K$25,mission!$D$64:$D$78,0)),0))</f>
        <v>0</v>
      </c>
      <c r="L105" s="2" cm="1">
        <f t="array" ref="L105">IF(L104=0,IF(VLOOKUP(L$25,mission!$D$64:$F$78,3,FALSE)&lt;=$F$5*60/$C$7*3,INDEX(mission!$E$64:$E$78,MATCH(L$25,mission!$D$64:$D$78,0)),0))</f>
        <v>0</v>
      </c>
      <c r="M105" s="2" cm="1">
        <f t="array" ref="M105">IF(M104=0,IF(VLOOKUP(M$25,mission!$D$64:$F$78,3,FALSE)&lt;=$F$5*60/$C$7*3,INDEX(mission!$E$64:$E$78,MATCH(M$25,mission!$D$64:$D$78,0)),0))</f>
        <v>0</v>
      </c>
      <c r="N105" s="2" cm="1">
        <f t="array" ref="N105">IF(N104=0,IF(VLOOKUP(N$25,mission!$D$64:$F$78,3,FALSE)&lt;=$F$5*60/$C$7*$C$6*3,INDEX(mission!$E$64:$E$78,MATCH(N$25,mission!$D$64:$D$78,0)),0))</f>
        <v>25</v>
      </c>
      <c r="O105" s="2" cm="1">
        <f t="array" ref="O105">IF(O104=0,IF(VLOOKUP(O$25,mission!$D$64:$F$78,3,FALSE)&lt;=$F$5*60/$C$7*$C$6*3,INDEX(mission!$E$64:$E$78,MATCH(O$25,mission!$D$64:$D$78,0)),0))</f>
        <v>0</v>
      </c>
      <c r="P105" s="2" cm="1">
        <f t="array" ref="P105">IF(P104=0,IF(VLOOKUP(P$25,mission!$D$64:$F$78,3,FALSE)&lt;=$F$5*60/$C$7*$C$6*3,INDEX(mission!$E$64:$E$78,MATCH(P$25,mission!$D$64:$D$78,0)),0))</f>
        <v>0</v>
      </c>
      <c r="Q105" s="2" cm="1">
        <f t="array" ref="Q105">IF(Q104=0,IF(VLOOKUP(Q$25,mission!$D$64:$F$78,3,FALSE)&lt;=$F$5*60/$C$7*$C$6*3,INDEX(mission!$E$64:$E$78,MATCH(Q$25,mission!$D$64:$D$78,0)),0))</f>
        <v>0</v>
      </c>
      <c r="R105" s="2" cm="1">
        <f t="array" ref="R105">IF(R104=0,IF(VLOOKUP(R$25,mission!$D$64:$F$78,3,FALSE)&lt;=$F$5*60/$C$7*$C$6*3,INDEX(mission!$E$64:$E$78,MATCH(R$25,mission!$D$64:$D$78,0)),0))</f>
        <v>0</v>
      </c>
      <c r="S105" s="2" cm="1">
        <f t="array" ref="S105">IF(S104=0,IF(VLOOKUP(S$25,mission!$D$64:$F$78,3,FALSE)&lt;=$F$5*60/$C$7*$C$6*$C$4*3,INDEX(mission!$E$64:$E$78,MATCH(S$25,mission!$D$64:$D$78,0)),0))</f>
        <v>50</v>
      </c>
      <c r="T105" s="2" cm="1">
        <f t="array" ref="T105">IF(T104=0,IF(VLOOKUP(T$25,mission!$D$64:$F$78,3,FALSE)&lt;=$F$5*60/$C$7*$C$6*$C$4*3,INDEX(mission!$E$64:$E$78,MATCH(T$25,mission!$D$64:$D$78,0)),0))</f>
        <v>0</v>
      </c>
      <c r="U105" s="2" cm="1">
        <f t="array" ref="U105">IF(U104=0,IF(VLOOKUP(U$25,mission!$D$64:$F$78,3,FALSE)&lt;=$F$5*60/$C$7*$C$6*$C$4*3,INDEX(mission!$E$64:$E$78,MATCH(U$25,mission!$D$64:$D$78,0)),0))</f>
        <v>0</v>
      </c>
      <c r="V105" s="2" cm="1">
        <f t="array" ref="V105">IF(V104=0,IF(VLOOKUP(V$25,mission!$D$64:$F$78,3,FALSE)&lt;=$F$5*60/$C$7*$C$6*$C$4*3,INDEX(mission!$E$64:$E$78,MATCH(V$25,mission!$D$64:$D$78,0)),0))</f>
        <v>0</v>
      </c>
      <c r="W105" s="2" cm="1">
        <f t="array" ref="W105">IF(W104=0,IF(VLOOKUP(W$25,mission!$D$64:$F$78,3,FALSE)&lt;=$F$5*60/$C$7*$C$6*$C$4*3,INDEX(mission!$E$64:$E$78,MATCH(W$25,mission!$D$64:$D$78,0)),0))</f>
        <v>0</v>
      </c>
      <c r="X105" s="2"/>
      <c r="Y105" s="2"/>
      <c r="Z105" s="2"/>
    </row>
    <row r="106" s="1" customFormat="1" ht="18" customHeight="1" spans="2:26">
      <c r="B106" s="2">
        <v>81</v>
      </c>
      <c r="C106" s="2">
        <f t="shared" si="6"/>
        <v>81000</v>
      </c>
      <c r="D106" s="2">
        <f>ROUND($C$8*$C$5+$C$8*$C$4*(1-$L$5),0)</f>
        <v>88</v>
      </c>
      <c r="E106" s="2">
        <f t="shared" si="7"/>
        <v>7128</v>
      </c>
      <c r="F106" s="2">
        <f>ROUND(E106*VLOOKUP($B$10,总产出!$T$4:$U$14,2,FALSE),0)</f>
        <v>1426</v>
      </c>
      <c r="G106" s="2">
        <f t="shared" si="8"/>
        <v>0</v>
      </c>
      <c r="H106" s="2">
        <f t="shared" si="9"/>
        <v>2300</v>
      </c>
      <c r="I106" s="2" t="b" cm="1">
        <f t="array" ref="I106">IF(I105=0,IF(VLOOKUP(I$25,mission!$D$64:$F$78,3,FALSE)&lt;=$F$5*60/$C$7*4,INDEX(mission!$E$64:$E$78,MATCH(I$25,mission!$D$64:$D$78,0)),0))</f>
        <v>0</v>
      </c>
      <c r="J106" s="2" cm="1">
        <f t="array" ref="J106">IF(J105=0,IF(VLOOKUP(J$25,mission!$D$64:$F$78,3,FALSE)&lt;=$F$5*60/$C$7*4,INDEX(mission!$E$64:$E$78,MATCH(J$25,mission!$D$64:$D$78,0)),0))</f>
        <v>0</v>
      </c>
      <c r="K106" s="2" cm="1">
        <f t="array" ref="K106">IF(K105=0,IF(VLOOKUP(K$25,mission!$D$64:$F$78,3,FALSE)&lt;=$F$5*60/$C$7*4,INDEX(mission!$E$64:$E$78,MATCH(K$25,mission!$D$64:$D$78,0)),0))</f>
        <v>0</v>
      </c>
      <c r="L106" s="2" cm="1">
        <f t="array" ref="L106">IF(L105=0,IF(VLOOKUP(L$25,mission!$D$64:$F$78,3,FALSE)&lt;=$F$5*60/$C$7*4,INDEX(mission!$E$64:$E$78,MATCH(L$25,mission!$D$64:$D$78,0)),0))</f>
        <v>0</v>
      </c>
      <c r="M106" s="2" cm="1">
        <f t="array" ref="M106">IF(M105=0,IF(VLOOKUP(M$25,mission!$D$64:$F$78,3,FALSE)&lt;=$F$5*60/$C$7*4,INDEX(mission!$E$64:$E$78,MATCH(M$25,mission!$D$64:$D$78,0)),0))</f>
        <v>0</v>
      </c>
      <c r="N106" s="2" t="b" cm="1">
        <f t="array" ref="N106">IF(N105=0,IF(VLOOKUP(N$25,mission!$D$64:$F$78,3,FALSE)&lt;=$F$5*60/$C$7*$C$6*4,INDEX(mission!$E$64:$E$78,MATCH(N$25,mission!$D$64:$D$78,0)),0))</f>
        <v>0</v>
      </c>
      <c r="O106" s="2" cm="1">
        <f t="array" ref="O106">IF(O105=0,IF(VLOOKUP(O$25,mission!$D$64:$F$78,3,FALSE)&lt;=$F$5*60/$C$7*$C$6*4,INDEX(mission!$E$64:$E$78,MATCH(O$25,mission!$D$64:$D$78,0)),0))</f>
        <v>0</v>
      </c>
      <c r="P106" s="2" cm="1">
        <f t="array" ref="P106">IF(P105=0,IF(VLOOKUP(P$25,mission!$D$64:$F$78,3,FALSE)&lt;=$F$5*60/$C$7*$C$6*4,INDEX(mission!$E$64:$E$78,MATCH(P$25,mission!$D$64:$D$78,0)),0))</f>
        <v>0</v>
      </c>
      <c r="Q106" s="2" cm="1">
        <f t="array" ref="Q106">IF(Q105=0,IF(VLOOKUP(Q$25,mission!$D$64:$F$78,3,FALSE)&lt;=$F$5*60/$C$7*$C$6*4,INDEX(mission!$E$64:$E$78,MATCH(Q$25,mission!$D$64:$D$78,0)),0))</f>
        <v>0</v>
      </c>
      <c r="R106" s="2" cm="1">
        <f t="array" ref="R106">IF(R105=0,IF(VLOOKUP(R$25,mission!$D$64:$F$78,3,FALSE)&lt;=$F$5*60/$C$7*$C$6*4,INDEX(mission!$E$64:$E$78,MATCH(R$25,mission!$D$64:$D$78,0)),0))</f>
        <v>0</v>
      </c>
      <c r="S106" s="2" t="b" cm="1">
        <f t="array" ref="S106">IF(S105=0,IF(VLOOKUP(S$25,mission!$D$64:$F$78,3,FALSE)&lt;=$F$5*60/$C$7*$C$6*$C$4*4,INDEX(mission!$E$64:$E$78,MATCH(S$25,mission!$D$64:$D$78,0)),0))</f>
        <v>0</v>
      </c>
      <c r="T106" s="2" cm="1">
        <f t="array" ref="T106">IF(T105=0,IF(VLOOKUP(T$25,mission!$D$64:$F$78,3,FALSE)&lt;=$F$5*60/$C$7*$C$6*$C$4*4,INDEX(mission!$E$64:$E$78,MATCH(T$25,mission!$D$64:$D$78,0)),0))</f>
        <v>0</v>
      </c>
      <c r="U106" s="2" cm="1">
        <f t="array" ref="U106">IF(U105=0,IF(VLOOKUP(U$25,mission!$D$64:$F$78,3,FALSE)&lt;=$F$5*60/$C$7*$C$6*$C$4*4,INDEX(mission!$E$64:$E$78,MATCH(U$25,mission!$D$64:$D$78,0)),0))</f>
        <v>0</v>
      </c>
      <c r="V106" s="2" cm="1">
        <f t="array" ref="V106">IF(V105=0,IF(VLOOKUP(V$25,mission!$D$64:$F$78,3,FALSE)&lt;=$F$5*60/$C$7*$C$6*$C$4*4,INDEX(mission!$E$64:$E$78,MATCH(V$25,mission!$D$64:$D$78,0)),0))</f>
        <v>0</v>
      </c>
      <c r="W106" s="2" cm="1">
        <f t="array" ref="W106">IF(W105=0,IF(VLOOKUP(W$25,mission!$D$64:$F$78,3,FALSE)&lt;=$F$5*60/$C$7*$C$6*$C$4*4,INDEX(mission!$E$64:$E$78,MATCH(W$25,mission!$D$64:$D$78,0)),0))</f>
        <v>0</v>
      </c>
      <c r="X106" s="2"/>
      <c r="Y106" s="2"/>
      <c r="Z106" s="2"/>
    </row>
    <row r="107" s="1" customFormat="1" ht="18" customHeight="1" spans="2:26">
      <c r="B107" s="2">
        <v>82</v>
      </c>
      <c r="C107" s="2">
        <f t="shared" si="6"/>
        <v>82000</v>
      </c>
      <c r="D107" s="2">
        <f>ROUND($C$8*$C$5+$C$8*$C$4*(1-$L$5),0)</f>
        <v>88</v>
      </c>
      <c r="E107" s="2">
        <f t="shared" si="7"/>
        <v>7216</v>
      </c>
      <c r="F107" s="2">
        <f>ROUND(E107*VLOOKUP($B$10,总产出!$T$4:$U$14,2,FALSE),0)</f>
        <v>1443</v>
      </c>
      <c r="G107" s="2">
        <f t="shared" si="8"/>
        <v>0</v>
      </c>
      <c r="H107" s="2">
        <f t="shared" si="9"/>
        <v>2300</v>
      </c>
      <c r="I107" s="2" t="b" cm="1">
        <f t="array" ref="I107">IF(I106=0,IF(VLOOKUP(I$25,mission!$D$64:$F$78,3,FALSE)&lt;=$F$5*60/$C$7*5,INDEX(mission!$E$64:$E$78,MATCH(I$25,mission!$D$64:$D$78,0)),0))</f>
        <v>0</v>
      </c>
      <c r="J107" s="2" cm="1">
        <f t="array" ref="J107">IF(J106=0,IF(VLOOKUP(J$25,mission!$D$64:$F$78,3,FALSE)&lt;=$F$5*60/$C$7*5,INDEX(mission!$E$64:$E$78,MATCH(J$25,mission!$D$64:$D$78,0)),0))</f>
        <v>0</v>
      </c>
      <c r="K107" s="2" cm="1">
        <f t="array" ref="K107">IF(K106=0,IF(VLOOKUP(K$25,mission!$D$64:$F$78,3,FALSE)&lt;=$F$5*60/$C$7*5,INDEX(mission!$E$64:$E$78,MATCH(K$25,mission!$D$64:$D$78,0)),0))</f>
        <v>0</v>
      </c>
      <c r="L107" s="2" cm="1">
        <f t="array" ref="L107">IF(L106=0,IF(VLOOKUP(L$25,mission!$D$64:$F$78,3,FALSE)&lt;=$F$5*60/$C$7*5,INDEX(mission!$E$64:$E$78,MATCH(L$25,mission!$D$64:$D$78,0)),0))</f>
        <v>0</v>
      </c>
      <c r="M107" s="2" cm="1">
        <f t="array" ref="M107">IF(M106=0,IF(VLOOKUP(M$25,mission!$D$64:$F$78,3,FALSE)&lt;=$F$5*60/$C$7*5,INDEX(mission!$E$64:$E$78,MATCH(M$25,mission!$D$64:$D$78,0)),0))</f>
        <v>0</v>
      </c>
      <c r="N107" s="2" t="b" cm="1">
        <f t="array" ref="N107">IF(N106=0,IF(VLOOKUP(N$25,mission!$D$64:$F$78,3,FALSE)&lt;=$F$5*60/$C$7*$C$6*5,INDEX(mission!$E$64:$E$78,MATCH(N$25,mission!$D$64:$D$78,0)),0))</f>
        <v>0</v>
      </c>
      <c r="O107" s="2" cm="1">
        <f t="array" ref="O107">IF(O106=0,IF(VLOOKUP(O$25,mission!$D$64:$F$78,3,FALSE)&lt;=$F$5*60/$C$7*$C$6*5,INDEX(mission!$E$64:$E$78,MATCH(O$25,mission!$D$64:$D$78,0)),0))</f>
        <v>0</v>
      </c>
      <c r="P107" s="2" cm="1">
        <f t="array" ref="P107">IF(P106=0,IF(VLOOKUP(P$25,mission!$D$64:$F$78,3,FALSE)&lt;=$F$5*60/$C$7*$C$6*5,INDEX(mission!$E$64:$E$78,MATCH(P$25,mission!$D$64:$D$78,0)),0))</f>
        <v>0</v>
      </c>
      <c r="Q107" s="2" cm="1">
        <f t="array" ref="Q107">IF(Q106=0,IF(VLOOKUP(Q$25,mission!$D$64:$F$78,3,FALSE)&lt;=$F$5*60/$C$7*$C$6*5,INDEX(mission!$E$64:$E$78,MATCH(Q$25,mission!$D$64:$D$78,0)),0))</f>
        <v>0</v>
      </c>
      <c r="R107" s="2" cm="1">
        <f t="array" ref="R107">IF(R106=0,IF(VLOOKUP(R$25,mission!$D$64:$F$78,3,FALSE)&lt;=$F$5*60/$C$7*$C$6*5,INDEX(mission!$E$64:$E$78,MATCH(R$25,mission!$D$64:$D$78,0)),0))</f>
        <v>0</v>
      </c>
      <c r="S107" s="2" t="b" cm="1">
        <f t="array" ref="S107">IF(S106=0,IF(VLOOKUP(S$25,mission!$D$64:$F$78,3,FALSE)&lt;=$F$5*60/$C$7*$C$6*$C$4*5,INDEX(mission!$E$64:$E$78,MATCH(S$25,mission!$D$64:$D$78,0)),0))</f>
        <v>0</v>
      </c>
      <c r="T107" s="2" cm="1">
        <f t="array" ref="T107">IF(T106=0,IF(VLOOKUP(T$25,mission!$D$64:$F$78,3,FALSE)&lt;=$F$5*60/$C$7*$C$6*$C$4*5,INDEX(mission!$E$64:$E$78,MATCH(T$25,mission!$D$64:$D$78,0)),0))</f>
        <v>0</v>
      </c>
      <c r="U107" s="2" cm="1">
        <f t="array" ref="U107">IF(U106=0,IF(VLOOKUP(U$25,mission!$D$64:$F$78,3,FALSE)&lt;=$F$5*60/$C$7*$C$6*$C$4*5,INDEX(mission!$E$64:$E$78,MATCH(U$25,mission!$D$64:$D$78,0)),0))</f>
        <v>0</v>
      </c>
      <c r="V107" s="2" cm="1">
        <f t="array" ref="V107">IF(V106=0,IF(VLOOKUP(V$25,mission!$D$64:$F$78,3,FALSE)&lt;=$F$5*60/$C$7*$C$6*$C$4*5,INDEX(mission!$E$64:$E$78,MATCH(V$25,mission!$D$64:$D$78,0)),0))</f>
        <v>0</v>
      </c>
      <c r="W107" s="2" cm="1">
        <f t="array" ref="W107">IF(W106=0,IF(VLOOKUP(W$25,mission!$D$64:$F$78,3,FALSE)&lt;=$F$5*60/$C$7*$C$6*$C$4*5,INDEX(mission!$E$64:$E$78,MATCH(W$25,mission!$D$64:$D$78,0)),0))</f>
        <v>0</v>
      </c>
      <c r="X107" s="2"/>
      <c r="Y107" s="2"/>
      <c r="Z107" s="2"/>
    </row>
    <row r="108" s="1" customFormat="1" ht="18" customHeight="1" spans="2:26">
      <c r="B108" s="2">
        <v>83</v>
      </c>
      <c r="C108" s="2">
        <f t="shared" si="6"/>
        <v>83000</v>
      </c>
      <c r="D108" s="2">
        <f>ROUND($C$8*$C$5+$C$8*$C$4*(1-$L$5),0)</f>
        <v>88</v>
      </c>
      <c r="E108" s="2">
        <f t="shared" si="7"/>
        <v>7304</v>
      </c>
      <c r="F108" s="2">
        <f>ROUND(E108*VLOOKUP($B$10,总产出!$T$4:$U$14,2,FALSE),0)</f>
        <v>1461</v>
      </c>
      <c r="G108" s="2">
        <f t="shared" si="8"/>
        <v>100</v>
      </c>
      <c r="H108" s="2">
        <f t="shared" si="9"/>
        <v>2400</v>
      </c>
      <c r="I108" s="2" t="b" cm="1">
        <f t="array" ref="I108">IF(I107=0,IF(VLOOKUP(I$25,mission!$D$64:$F$78,3,FALSE)&lt;=$F$5*60/$C$7*6,INDEX(mission!$E$64:$E$78,MATCH(I$25,mission!$D$64:$D$78,0)),0))</f>
        <v>0</v>
      </c>
      <c r="J108" s="2" cm="1">
        <f t="array" ref="J108">IF(J107=0,IF(VLOOKUP(J$25,mission!$D$64:$F$78,3,FALSE)&lt;=$F$5*60/$C$7*6,INDEX(mission!$E$64:$E$78,MATCH(J$25,mission!$D$64:$D$78,0)),0))</f>
        <v>25</v>
      </c>
      <c r="K108" s="2" cm="1">
        <f t="array" ref="K108">IF(K107=0,IF(VLOOKUP(K$25,mission!$D$64:$F$78,3,FALSE)&lt;=$F$5*60/$C$7*6,INDEX(mission!$E$64:$E$78,MATCH(K$25,mission!$D$64:$D$78,0)),0))</f>
        <v>0</v>
      </c>
      <c r="L108" s="2" cm="1">
        <f t="array" ref="L108">IF(L107=0,IF(VLOOKUP(L$25,mission!$D$64:$F$78,3,FALSE)&lt;=$F$5*60/$C$7*6,INDEX(mission!$E$64:$E$78,MATCH(L$25,mission!$D$64:$D$78,0)),0))</f>
        <v>0</v>
      </c>
      <c r="M108" s="2" cm="1">
        <f t="array" ref="M108">IF(M107=0,IF(VLOOKUP(M$25,mission!$D$64:$F$78,3,FALSE)&lt;=$F$5*60/$C$7*6,INDEX(mission!$E$64:$E$78,MATCH(M$25,mission!$D$64:$D$78,0)),0))</f>
        <v>0</v>
      </c>
      <c r="N108" s="2" t="b" cm="1">
        <f t="array" ref="N108">IF(N107=0,IF(VLOOKUP(N$25,mission!$D$64:$F$78,3,FALSE)&lt;=$F$5*60/$C$7*$C$6*6,INDEX(mission!$E$64:$E$78,MATCH(N$25,mission!$D$64:$D$78,0)),0))</f>
        <v>0</v>
      </c>
      <c r="O108" s="2" cm="1">
        <f t="array" ref="O108">IF(O107=0,IF(VLOOKUP(O$25,mission!$D$64:$F$78,3,FALSE)&lt;=$F$5*60/$C$7*$C$6*6,INDEX(mission!$E$64:$E$78,MATCH(O$25,mission!$D$64:$D$78,0)),0))</f>
        <v>25</v>
      </c>
      <c r="P108" s="2" cm="1">
        <f t="array" ref="P108">IF(P107=0,IF(VLOOKUP(P$25,mission!$D$64:$F$78,3,FALSE)&lt;=$F$5*60/$C$7*$C$6*6,INDEX(mission!$E$64:$E$78,MATCH(P$25,mission!$D$64:$D$78,0)),0))</f>
        <v>0</v>
      </c>
      <c r="Q108" s="2" cm="1">
        <f t="array" ref="Q108">IF(Q107=0,IF(VLOOKUP(Q$25,mission!$D$64:$F$78,3,FALSE)&lt;=$F$5*60/$C$7*$C$6*6,INDEX(mission!$E$64:$E$78,MATCH(Q$25,mission!$D$64:$D$78,0)),0))</f>
        <v>0</v>
      </c>
      <c r="R108" s="2" cm="1">
        <f t="array" ref="R108">IF(R107=0,IF(VLOOKUP(R$25,mission!$D$64:$F$78,3,FALSE)&lt;=$F$5*60/$C$7*$C$6*6,INDEX(mission!$E$64:$E$78,MATCH(R$25,mission!$D$64:$D$78,0)),0))</f>
        <v>0</v>
      </c>
      <c r="S108" s="2" t="b" cm="1">
        <f t="array" ref="S108">IF(S107=0,IF(VLOOKUP(S$25,mission!$D$64:$F$78,3,FALSE)&lt;=$F$5*60/$C$7*$C$6*$C$4*6,INDEX(mission!$E$64:$E$78,MATCH(S$25,mission!$D$64:$D$78,0)),0))</f>
        <v>0</v>
      </c>
      <c r="T108" s="2" cm="1">
        <f t="array" ref="T108">IF(T107=0,IF(VLOOKUP(T$25,mission!$D$64:$F$78,3,FALSE)&lt;=$F$5*60/$C$7*$C$6*$C$4*6,INDEX(mission!$E$64:$E$78,MATCH(T$25,mission!$D$64:$D$78,0)),0))</f>
        <v>50</v>
      </c>
      <c r="U108" s="2" cm="1">
        <f t="array" ref="U108">IF(U107=0,IF(VLOOKUP(U$25,mission!$D$64:$F$78,3,FALSE)&lt;=$F$5*60/$C$7*$C$6*$C$4*6,INDEX(mission!$E$64:$E$78,MATCH(U$25,mission!$D$64:$D$78,0)),0))</f>
        <v>0</v>
      </c>
      <c r="V108" s="2" cm="1">
        <f t="array" ref="V108">IF(V107=0,IF(VLOOKUP(V$25,mission!$D$64:$F$78,3,FALSE)&lt;=$F$5*60/$C$7*$C$6*$C$4*6,INDEX(mission!$E$64:$E$78,MATCH(V$25,mission!$D$64:$D$78,0)),0))</f>
        <v>0</v>
      </c>
      <c r="W108" s="2" cm="1">
        <f t="array" ref="W108">IF(W107=0,IF(VLOOKUP(W$25,mission!$D$64:$F$78,3,FALSE)&lt;=$F$5*60/$C$7*$C$6*$C$4*6,INDEX(mission!$E$64:$E$78,MATCH(W$25,mission!$D$64:$D$78,0)),0))</f>
        <v>0</v>
      </c>
      <c r="X108" s="2"/>
      <c r="Y108" s="2"/>
      <c r="Z108" s="2"/>
    </row>
    <row r="109" s="10" customFormat="1" ht="18" customHeight="1" spans="2:26">
      <c r="B109" s="10">
        <v>84</v>
      </c>
      <c r="C109" s="10">
        <f t="shared" si="6"/>
        <v>84000</v>
      </c>
      <c r="D109" s="10">
        <f>ROUND($C$8*$C$5+$C$8*$C$4*(1-$L$5),0)</f>
        <v>88</v>
      </c>
      <c r="E109" s="10">
        <f t="shared" si="7"/>
        <v>7392</v>
      </c>
      <c r="F109" s="10">
        <f>ROUND(E109*VLOOKUP($B$10,总产出!$T$4:$U$14,2,FALSE),0)</f>
        <v>1478</v>
      </c>
      <c r="G109" s="10">
        <f t="shared" si="8"/>
        <v>0</v>
      </c>
      <c r="H109" s="10">
        <f t="shared" si="9"/>
        <v>2400</v>
      </c>
      <c r="I109" s="10" t="b" cm="1">
        <f t="array" ref="I109">IF(I108=0,IF(VLOOKUP(I$25,mission!$D$64:$F$78,3,FALSE)&lt;=$F$5*60/$C$7*7,INDEX(mission!$E$64:$E$78,MATCH(I$25,mission!$D$64:$D$78,0)),0))</f>
        <v>0</v>
      </c>
      <c r="J109" s="10" t="b" cm="1">
        <f t="array" ref="J109">IF(J108=0,IF(VLOOKUP(J$25,mission!$D$64:$F$78,3,FALSE)&lt;=$F$5*60/$C$7*7,INDEX(mission!$E$64:$E$78,MATCH(J$25,mission!$D$64:$D$78,0)),0))</f>
        <v>0</v>
      </c>
      <c r="K109" s="10" cm="1">
        <f t="array" ref="K109">IF(K108=0,IF(VLOOKUP(K$25,mission!$D$64:$F$78,3,FALSE)&lt;=$F$5*60/$C$7*7,INDEX(mission!$E$64:$E$78,MATCH(K$25,mission!$D$64:$D$78,0)),0))</f>
        <v>0</v>
      </c>
      <c r="L109" s="10" cm="1">
        <f t="array" ref="L109">IF(L108=0,IF(VLOOKUP(L$25,mission!$D$64:$F$78,3,FALSE)&lt;=$F$5*60/$C$7*7,INDEX(mission!$E$64:$E$78,MATCH(L$25,mission!$D$64:$D$78,0)),0))</f>
        <v>0</v>
      </c>
      <c r="M109" s="10" cm="1">
        <f t="array" ref="M109">IF(M108=0,IF(VLOOKUP(M$25,mission!$D$64:$F$78,3,FALSE)&lt;=$F$5*60/$C$7*7,INDEX(mission!$E$64:$E$78,MATCH(M$25,mission!$D$64:$D$78,0)),0))</f>
        <v>0</v>
      </c>
      <c r="N109" s="10" t="b" cm="1">
        <f t="array" ref="N109">IF(N108=0,IF(VLOOKUP(N$25,mission!$D$64:$F$78,3,FALSE)&lt;=$F$5*60/$C$7*$C$6*7,INDEX(mission!$E$64:$E$78,MATCH(N$25,mission!$D$64:$D$78,0)),0))</f>
        <v>0</v>
      </c>
      <c r="O109" s="10" t="b" cm="1">
        <f t="array" ref="O109">IF(O108=0,IF(VLOOKUP(O$25,mission!$D$64:$F$78,3,FALSE)&lt;=$F$5*60/$C$7*$C$6*7,INDEX(mission!$E$64:$E$78,MATCH(O$25,mission!$D$64:$D$78,0)),0))</f>
        <v>0</v>
      </c>
      <c r="P109" s="10" cm="1">
        <f t="array" ref="P109">IF(P108=0,IF(VLOOKUP(P$25,mission!$D$64:$F$78,3,FALSE)&lt;=$F$5*60/$C$7*$C$6*7,INDEX(mission!$E$64:$E$78,MATCH(P$25,mission!$D$64:$D$78,0)),0))</f>
        <v>0</v>
      </c>
      <c r="Q109" s="10" cm="1">
        <f t="array" ref="Q109">IF(Q108=0,IF(VLOOKUP(Q$25,mission!$D$64:$F$78,3,FALSE)&lt;=$F$5*60/$C$7*$C$6*7,INDEX(mission!$E$64:$E$78,MATCH(Q$25,mission!$D$64:$D$78,0)),0))</f>
        <v>0</v>
      </c>
      <c r="R109" s="10" cm="1">
        <f t="array" ref="R109">IF(R108=0,IF(VLOOKUP(R$25,mission!$D$64:$F$78,3,FALSE)&lt;=$F$5*60/$C$7*$C$6*7,INDEX(mission!$E$64:$E$78,MATCH(R$25,mission!$D$64:$D$78,0)),0))</f>
        <v>0</v>
      </c>
      <c r="S109" s="10" t="b" cm="1">
        <f t="array" ref="S109">IF(S108=0,IF(VLOOKUP(S$25,mission!$D$64:$F$78,3,FALSE)&lt;=$F$5*60/$C$7*$C$6*$C$4*7,INDEX(mission!$E$64:$E$78,MATCH(S$25,mission!$D$64:$D$78,0)),0))</f>
        <v>0</v>
      </c>
      <c r="T109" s="10" t="b" cm="1">
        <f t="array" ref="T109">IF(T108=0,IF(VLOOKUP(T$25,mission!$D$64:$F$78,3,FALSE)&lt;=$F$5*60/$C$7*$C$6*$C$4*7,INDEX(mission!$E$64:$E$78,MATCH(T$25,mission!$D$64:$D$78,0)),0))</f>
        <v>0</v>
      </c>
      <c r="U109" s="10" cm="1">
        <f t="array" ref="U109">IF(U108=0,IF(VLOOKUP(U$25,mission!$D$64:$F$78,3,FALSE)&lt;=$F$5*60/$C$7*$C$6*$C$4*7,INDEX(mission!$E$64:$E$78,MATCH(U$25,mission!$D$64:$D$78,0)),0))</f>
        <v>0</v>
      </c>
      <c r="V109" s="10" cm="1">
        <f t="array" ref="V109">IF(V108=0,IF(VLOOKUP(V$25,mission!$D$64:$F$78,3,FALSE)&lt;=$F$5*60/$C$7*$C$6*$C$4*7,INDEX(mission!$E$64:$E$78,MATCH(V$25,mission!$D$64:$D$78,0)),0))</f>
        <v>0</v>
      </c>
      <c r="W109" s="10" cm="1">
        <f t="array" ref="W109">IF(W108=0,IF(VLOOKUP(W$25,mission!$D$64:$F$78,3,FALSE)&lt;=$F$5*60/$C$7*$C$6*$C$4*7,INDEX(mission!$E$64:$E$78,MATCH(W$25,mission!$D$64:$D$78,0)),0))</f>
        <v>0</v>
      </c>
      <c r="X109" s="2"/>
      <c r="Y109" s="2"/>
      <c r="Z109" s="2"/>
    </row>
    <row r="110" s="1" customFormat="1" ht="18" customHeight="1" spans="2:26">
      <c r="B110" s="2">
        <v>85</v>
      </c>
      <c r="C110" s="2">
        <f t="shared" si="6"/>
        <v>85000</v>
      </c>
      <c r="D110" s="2">
        <f>ROUND($C$8*$C$5+$C$8*$C$4*(1-$L$5),0)</f>
        <v>88</v>
      </c>
      <c r="E110" s="2">
        <f t="shared" si="7"/>
        <v>7480</v>
      </c>
      <c r="F110" s="2">
        <f>ROUND(E110*VLOOKUP($B$10,总产出!$T$4:$U$14,2,FALSE),0)</f>
        <v>1496</v>
      </c>
      <c r="G110" s="2">
        <f t="shared" si="8"/>
        <v>0</v>
      </c>
      <c r="H110" s="2">
        <f t="shared" si="9"/>
        <v>2400</v>
      </c>
      <c r="I110" s="2" cm="1">
        <f t="array" ref="I110">IF(VLOOKUP(I$25,mission!$D$64:$F$78,3,FALSE)&lt;=$F$5*60/$C$7,INDEX(mission!$E$64:$E$78,MATCH(I$25,mission!$D$64:$D$78,0)),0)</f>
        <v>0</v>
      </c>
      <c r="J110" s="2" cm="1">
        <f t="array" ref="J110">IF(VLOOKUP(J$25,mission!$D$64:$F$78,3,FALSE)&lt;=$F$5*60/$C$7,INDEX(mission!$E$64:$E$78,MATCH(J$25,mission!$D$64:$D$78,0)),0)</f>
        <v>0</v>
      </c>
      <c r="K110" s="2" cm="1">
        <f t="array" ref="K110">IF(VLOOKUP(K$25,mission!$D$64:$F$78,3,FALSE)&lt;=$F$5*60/$C$7,INDEX(mission!$E$64:$E$78,MATCH(K$25,mission!$D$64:$D$78,0)),0)</f>
        <v>0</v>
      </c>
      <c r="L110" s="2" cm="1">
        <f t="array" ref="L110">IF(VLOOKUP(L$25,mission!$D$64:$F$78,3,FALSE)&lt;=$F$5*60/$C$7,INDEX(mission!$E$64:$E$78,MATCH(L$25,mission!$D$64:$D$78,0)),0)</f>
        <v>0</v>
      </c>
      <c r="M110" s="2" cm="1">
        <f t="array" ref="M110">IF(VLOOKUP(M$25,mission!$D$64:$F$78,3,FALSE)&lt;=$F$5*60/$C$7,INDEX(mission!$E$64:$E$78,MATCH(M$25,mission!$D$64:$D$78,0)),0)</f>
        <v>0</v>
      </c>
      <c r="N110" s="2" cm="1">
        <f t="array" ref="N110">IF(VLOOKUP(N$25,mission!$D$64:$F$78,3,FALSE)&lt;=$F$5*60/$C$7*$C$6,INDEX(mission!$E$64:$E$78,MATCH(N$25,mission!$D$64:$D$78,0)),0)</f>
        <v>0</v>
      </c>
      <c r="O110" s="2" cm="1">
        <f t="array" ref="O110">IF(VLOOKUP(O$25,mission!$D$64:$F$78,3,FALSE)&lt;=$F$5*60/$C$7*$C$6,INDEX(mission!$E$64:$E$78,MATCH(O$25,mission!$D$64:$D$78,0)),0)</f>
        <v>0</v>
      </c>
      <c r="P110" s="2" cm="1">
        <f t="array" ref="P110">IF(VLOOKUP(P$25,mission!$D$64:$F$78,3,FALSE)&lt;=$F$5*60/$C$7*$C$6,INDEX(mission!$E$64:$E$78,MATCH(P$25,mission!$D$64:$D$78,0)),0)</f>
        <v>0</v>
      </c>
      <c r="Q110" s="2" cm="1">
        <f t="array" ref="Q110">IF(VLOOKUP(Q$25,mission!$D$64:$F$78,3,FALSE)&lt;=$F$5*60/$C$7*$C$6,INDEX(mission!$E$64:$E$78,MATCH(Q$25,mission!$D$64:$D$78,0)),0)</f>
        <v>0</v>
      </c>
      <c r="R110" s="2" cm="1">
        <f t="array" ref="R110">IF(VLOOKUP(R$25,mission!$D$64:$F$78,3,FALSE)&lt;=$F$5*60/$C$7*$C$6,INDEX(mission!$E$64:$E$78,MATCH(R$25,mission!$D$64:$D$78,0)),0)</f>
        <v>0</v>
      </c>
      <c r="S110" s="2" cm="1">
        <f t="array" ref="S110">IF(VLOOKUP(S$25,mission!$D$64:$F$78,3,FALSE)&lt;=$F$5*60/$C$7*$C$6*$C$4,INDEX(mission!$E$64:$E$78,MATCH(S$25,mission!$D$64:$D$78,0)),0)</f>
        <v>0</v>
      </c>
      <c r="T110" s="2" cm="1">
        <f t="array" ref="T110">IF(VLOOKUP(T$25,mission!$D$64:$F$78,3,FALSE)&lt;=$F$5*60/$C$7*$C$6*$C$4,INDEX(mission!$E$64:$E$78,MATCH(T$25,mission!$D$64:$D$78,0)),0)</f>
        <v>0</v>
      </c>
      <c r="U110" s="2" cm="1">
        <f t="array" ref="U110">IF(VLOOKUP(U$25,mission!$D$64:$F$78,3,FALSE)&lt;=$F$5*60/$C$7*$C$6*$C$4,INDEX(mission!$E$64:$E$78,MATCH(U$25,mission!$D$64:$D$78,0)),0)</f>
        <v>0</v>
      </c>
      <c r="V110" s="2" cm="1">
        <f t="array" ref="V110">IF(VLOOKUP(V$25,mission!$D$64:$F$78,3,FALSE)&lt;=$F$5*60/$C$7*$C$6*$C$4,INDEX(mission!$E$64:$E$78,MATCH(V$25,mission!$D$64:$D$78,0)),0)</f>
        <v>0</v>
      </c>
      <c r="W110" s="2" cm="1">
        <f t="array" ref="W110">IF(VLOOKUP(W$25,mission!$D$64:$F$78,3,FALSE)&lt;=$F$5*60/$C$7*$C$6*$C$4,INDEX(mission!$E$64:$E$78,MATCH(W$25,mission!$D$64:$D$78,0)),0)</f>
        <v>0</v>
      </c>
      <c r="X110" s="2"/>
      <c r="Y110" s="2"/>
      <c r="Z110" s="2"/>
    </row>
    <row r="111" s="1" customFormat="1" ht="18" customHeight="1" spans="2:26">
      <c r="B111" s="2">
        <v>86</v>
      </c>
      <c r="C111" s="2">
        <f t="shared" si="6"/>
        <v>86000</v>
      </c>
      <c r="D111" s="2">
        <f>ROUND($C$8*$C$5+$C$8*$C$4*(1-$L$5),0)</f>
        <v>88</v>
      </c>
      <c r="E111" s="2">
        <f t="shared" si="7"/>
        <v>7568</v>
      </c>
      <c r="F111" s="2">
        <f>ROUND(E111*VLOOKUP($B$10,总产出!$T$4:$U$14,2,FALSE),0)</f>
        <v>1514</v>
      </c>
      <c r="G111" s="2">
        <f t="shared" si="8"/>
        <v>0</v>
      </c>
      <c r="H111" s="2">
        <f t="shared" si="9"/>
        <v>2400</v>
      </c>
      <c r="I111" s="2" cm="1">
        <f t="array" ref="I111">IF(I110=0,IF(VLOOKUP(I$25,mission!$D$64:$F$78,3,FALSE)&lt;=$F$5*60/$C$7*2,INDEX(mission!$E$64:$E$78,MATCH(I$25,mission!$D$64:$D$78,0)),0))</f>
        <v>0</v>
      </c>
      <c r="J111" s="2" cm="1">
        <f t="array" ref="J111">IF(J110=0,IF(VLOOKUP(J$25,mission!$D$64:$F$78,3,FALSE)&lt;=$F$5*60/$C$7*2,INDEX(mission!$E$64:$E$78,MATCH(J$25,mission!$D$64:$D$78,0)),0))</f>
        <v>0</v>
      </c>
      <c r="K111" s="2" cm="1">
        <f t="array" ref="K111">IF(K110=0,IF(VLOOKUP(K$25,mission!$D$64:$F$78,3,FALSE)&lt;=$F$5*60/$C$7*2,INDEX(mission!$E$64:$E$78,MATCH(K$25,mission!$D$64:$D$78,0)),0))</f>
        <v>0</v>
      </c>
      <c r="L111" s="2" cm="1">
        <f t="array" ref="L111">IF(L110=0,IF(VLOOKUP(L$25,mission!$D$64:$F$78,3,FALSE)&lt;=$F$5*60/$C$7*2,INDEX(mission!$E$64:$E$78,MATCH(L$25,mission!$D$64:$D$78,0)),0))</f>
        <v>0</v>
      </c>
      <c r="M111" s="2" cm="1">
        <f t="array" ref="M111">IF(M110=0,IF(VLOOKUP(M$25,mission!$D$64:$F$78,3,FALSE)&lt;=$F$5*60/$C$7*2,INDEX(mission!$E$64:$E$78,MATCH(M$25,mission!$D$64:$D$78,0)),0))</f>
        <v>0</v>
      </c>
      <c r="N111" s="2" cm="1">
        <f t="array" ref="N111">IF(N110=0,IF(VLOOKUP(N$25,mission!$D$64:$F$78,3,FALSE)&lt;=$F$5*60/$C$7*$C$6*2,INDEX(mission!$E$64:$E$78,MATCH(N$25,mission!$D$64:$D$78,0)),0))</f>
        <v>0</v>
      </c>
      <c r="O111" s="2" cm="1">
        <f t="array" ref="O111">IF(O110=0,IF(VLOOKUP(O$25,mission!$D$64:$F$78,3,FALSE)&lt;=$F$5*60/$C$7*$C$6*2,INDEX(mission!$E$64:$E$78,MATCH(O$25,mission!$D$64:$D$78,0)),0))</f>
        <v>0</v>
      </c>
      <c r="P111" s="2" cm="1">
        <f t="array" ref="P111">IF(P110=0,IF(VLOOKUP(P$25,mission!$D$64:$F$78,3,FALSE)&lt;=$F$5*60/$C$7*$C$6*2,INDEX(mission!$E$64:$E$78,MATCH(P$25,mission!$D$64:$D$78,0)),0))</f>
        <v>0</v>
      </c>
      <c r="Q111" s="2" cm="1">
        <f t="array" ref="Q111">IF(Q110=0,IF(VLOOKUP(Q$25,mission!$D$64:$F$78,3,FALSE)&lt;=$F$5*60/$C$7*$C$6*2,INDEX(mission!$E$64:$E$78,MATCH(Q$25,mission!$D$64:$D$78,0)),0))</f>
        <v>0</v>
      </c>
      <c r="R111" s="2" cm="1">
        <f t="array" ref="R111">IF(R110=0,IF(VLOOKUP(R$25,mission!$D$64:$F$78,3,FALSE)&lt;=$F$5*60/$C$7*$C$6*2,INDEX(mission!$E$64:$E$78,MATCH(R$25,mission!$D$64:$D$78,0)),0))</f>
        <v>0</v>
      </c>
      <c r="S111" s="2" cm="1">
        <f t="array" ref="S111">IF(S110=0,IF(VLOOKUP(S$25,mission!$D$64:$F$78,3,FALSE)&lt;=$F$5*60/$C$7*$C$6*$C$4*2,INDEX(mission!$E$64:$E$78,MATCH(S$25,mission!$D$64:$D$78,0)),0))</f>
        <v>0</v>
      </c>
      <c r="T111" s="2" cm="1">
        <f t="array" ref="T111">IF(T110=0,IF(VLOOKUP(T$25,mission!$D$64:$F$78,3,FALSE)&lt;=$F$5*60/$C$7*$C$6*$C$4*2,INDEX(mission!$E$64:$E$78,MATCH(T$25,mission!$D$64:$D$78,0)),0))</f>
        <v>0</v>
      </c>
      <c r="U111" s="2" cm="1">
        <f t="array" ref="U111">IF(U110=0,IF(VLOOKUP(U$25,mission!$D$64:$F$78,3,FALSE)&lt;=$F$5*60/$C$7*$C$6*$C$4*2,INDEX(mission!$E$64:$E$78,MATCH(U$25,mission!$D$64:$D$78,0)),0))</f>
        <v>0</v>
      </c>
      <c r="V111" s="2" cm="1">
        <f t="array" ref="V111">IF(V110=0,IF(VLOOKUP(V$25,mission!$D$64:$F$78,3,FALSE)&lt;=$F$5*60/$C$7*$C$6*$C$4*2,INDEX(mission!$E$64:$E$78,MATCH(V$25,mission!$D$64:$D$78,0)),0))</f>
        <v>0</v>
      </c>
      <c r="W111" s="2" cm="1">
        <f t="array" ref="W111">IF(W110=0,IF(VLOOKUP(W$25,mission!$D$64:$F$78,3,FALSE)&lt;=$F$5*60/$C$7*$C$6*$C$4*2,INDEX(mission!$E$64:$E$78,MATCH(W$25,mission!$D$64:$D$78,0)),0))</f>
        <v>0</v>
      </c>
      <c r="X111" s="2"/>
      <c r="Y111" s="2"/>
      <c r="Z111" s="2"/>
    </row>
    <row r="112" s="1" customFormat="1" ht="18" customHeight="1" spans="2:26">
      <c r="B112" s="2">
        <v>87</v>
      </c>
      <c r="C112" s="2">
        <f t="shared" si="6"/>
        <v>87000</v>
      </c>
      <c r="D112" s="2">
        <f>ROUND($C$8*$C$5+$C$8*$C$4*(1-$L$5),0)</f>
        <v>88</v>
      </c>
      <c r="E112" s="2">
        <f t="shared" si="7"/>
        <v>7656</v>
      </c>
      <c r="F112" s="2">
        <f>ROUND(E112*VLOOKUP($B$10,总产出!$T$4:$U$14,2,FALSE),0)</f>
        <v>1531</v>
      </c>
      <c r="G112" s="2">
        <f t="shared" si="8"/>
        <v>100</v>
      </c>
      <c r="H112" s="2">
        <f t="shared" si="9"/>
        <v>2500</v>
      </c>
      <c r="I112" s="2" cm="1">
        <f t="array" ref="I112">IF(I111=0,IF(VLOOKUP(I$25,mission!$D$64:$F$78,3,FALSE)&lt;=$F$5*60/$C$7*3,INDEX(mission!$E$64:$E$78,MATCH(I$25,mission!$D$64:$D$78,0)),0))</f>
        <v>25</v>
      </c>
      <c r="J112" s="2" cm="1">
        <f t="array" ref="J112">IF(J111=0,IF(VLOOKUP(J$25,mission!$D$64:$F$78,3,FALSE)&lt;=$F$5*60/$C$7*3,INDEX(mission!$E$64:$E$78,MATCH(J$25,mission!$D$64:$D$78,0)),0))</f>
        <v>0</v>
      </c>
      <c r="K112" s="2" cm="1">
        <f t="array" ref="K112">IF(K111=0,IF(VLOOKUP(K$25,mission!$D$64:$F$78,3,FALSE)&lt;=$F$5*60/$C$7*3,INDEX(mission!$E$64:$E$78,MATCH(K$25,mission!$D$64:$D$78,0)),0))</f>
        <v>0</v>
      </c>
      <c r="L112" s="2" cm="1">
        <f t="array" ref="L112">IF(L111=0,IF(VLOOKUP(L$25,mission!$D$64:$F$78,3,FALSE)&lt;=$F$5*60/$C$7*3,INDEX(mission!$E$64:$E$78,MATCH(L$25,mission!$D$64:$D$78,0)),0))</f>
        <v>0</v>
      </c>
      <c r="M112" s="2" cm="1">
        <f t="array" ref="M112">IF(M111=0,IF(VLOOKUP(M$25,mission!$D$64:$F$78,3,FALSE)&lt;=$F$5*60/$C$7*3,INDEX(mission!$E$64:$E$78,MATCH(M$25,mission!$D$64:$D$78,0)),0))</f>
        <v>0</v>
      </c>
      <c r="N112" s="2" cm="1">
        <f t="array" ref="N112">IF(N111=0,IF(VLOOKUP(N$25,mission!$D$64:$F$78,3,FALSE)&lt;=$F$5*60/$C$7*$C$6*3,INDEX(mission!$E$64:$E$78,MATCH(N$25,mission!$D$64:$D$78,0)),0))</f>
        <v>25</v>
      </c>
      <c r="O112" s="2" cm="1">
        <f t="array" ref="O112">IF(O111=0,IF(VLOOKUP(O$25,mission!$D$64:$F$78,3,FALSE)&lt;=$F$5*60/$C$7*$C$6*3,INDEX(mission!$E$64:$E$78,MATCH(O$25,mission!$D$64:$D$78,0)),0))</f>
        <v>0</v>
      </c>
      <c r="P112" s="2" cm="1">
        <f t="array" ref="P112">IF(P111=0,IF(VLOOKUP(P$25,mission!$D$64:$F$78,3,FALSE)&lt;=$F$5*60/$C$7*$C$6*3,INDEX(mission!$E$64:$E$78,MATCH(P$25,mission!$D$64:$D$78,0)),0))</f>
        <v>0</v>
      </c>
      <c r="Q112" s="2" cm="1">
        <f t="array" ref="Q112">IF(Q111=0,IF(VLOOKUP(Q$25,mission!$D$64:$F$78,3,FALSE)&lt;=$F$5*60/$C$7*$C$6*3,INDEX(mission!$E$64:$E$78,MATCH(Q$25,mission!$D$64:$D$78,0)),0))</f>
        <v>0</v>
      </c>
      <c r="R112" s="2" cm="1">
        <f t="array" ref="R112">IF(R111=0,IF(VLOOKUP(R$25,mission!$D$64:$F$78,3,FALSE)&lt;=$F$5*60/$C$7*$C$6*3,INDEX(mission!$E$64:$E$78,MATCH(R$25,mission!$D$64:$D$78,0)),0))</f>
        <v>0</v>
      </c>
      <c r="S112" s="2" cm="1">
        <f t="array" ref="S112">IF(S111=0,IF(VLOOKUP(S$25,mission!$D$64:$F$78,3,FALSE)&lt;=$F$5*60/$C$7*$C$6*$C$4*3,INDEX(mission!$E$64:$E$78,MATCH(S$25,mission!$D$64:$D$78,0)),0))</f>
        <v>50</v>
      </c>
      <c r="T112" s="2" cm="1">
        <f t="array" ref="T112">IF(T111=0,IF(VLOOKUP(T$25,mission!$D$64:$F$78,3,FALSE)&lt;=$F$5*60/$C$7*$C$6*$C$4*3,INDEX(mission!$E$64:$E$78,MATCH(T$25,mission!$D$64:$D$78,0)),0))</f>
        <v>0</v>
      </c>
      <c r="U112" s="2" cm="1">
        <f t="array" ref="U112">IF(U111=0,IF(VLOOKUP(U$25,mission!$D$64:$F$78,3,FALSE)&lt;=$F$5*60/$C$7*$C$6*$C$4*3,INDEX(mission!$E$64:$E$78,MATCH(U$25,mission!$D$64:$D$78,0)),0))</f>
        <v>0</v>
      </c>
      <c r="V112" s="2" cm="1">
        <f t="array" ref="V112">IF(V111=0,IF(VLOOKUP(V$25,mission!$D$64:$F$78,3,FALSE)&lt;=$F$5*60/$C$7*$C$6*$C$4*3,INDEX(mission!$E$64:$E$78,MATCH(V$25,mission!$D$64:$D$78,0)),0))</f>
        <v>0</v>
      </c>
      <c r="W112" s="2" cm="1">
        <f t="array" ref="W112">IF(W111=0,IF(VLOOKUP(W$25,mission!$D$64:$F$78,3,FALSE)&lt;=$F$5*60/$C$7*$C$6*$C$4*3,INDEX(mission!$E$64:$E$78,MATCH(W$25,mission!$D$64:$D$78,0)),0))</f>
        <v>0</v>
      </c>
      <c r="X112" s="2"/>
      <c r="Y112" s="2"/>
      <c r="Z112" s="2"/>
    </row>
    <row r="113" s="1" customFormat="1" ht="18" customHeight="1" spans="2:26">
      <c r="B113" s="2">
        <v>88</v>
      </c>
      <c r="C113" s="2">
        <f t="shared" si="6"/>
        <v>88000</v>
      </c>
      <c r="D113" s="2">
        <f>ROUND($C$8*$C$5+$C$8*$C$4*(1-$L$5),0)</f>
        <v>88</v>
      </c>
      <c r="E113" s="2">
        <f t="shared" si="7"/>
        <v>7744</v>
      </c>
      <c r="F113" s="2">
        <f>ROUND(E113*VLOOKUP($B$10,总产出!$T$4:$U$14,2,FALSE),0)</f>
        <v>1549</v>
      </c>
      <c r="G113" s="2">
        <f t="shared" si="8"/>
        <v>0</v>
      </c>
      <c r="H113" s="2">
        <f t="shared" si="9"/>
        <v>2500</v>
      </c>
      <c r="I113" s="2" t="b" cm="1">
        <f t="array" ref="I113">IF(I112=0,IF(VLOOKUP(I$25,mission!$D$64:$F$78,3,FALSE)&lt;=$F$5*60/$C$7*4,INDEX(mission!$E$64:$E$78,MATCH(I$25,mission!$D$64:$D$78,0)),0))</f>
        <v>0</v>
      </c>
      <c r="J113" s="2" cm="1">
        <f t="array" ref="J113">IF(J112=0,IF(VLOOKUP(J$25,mission!$D$64:$F$78,3,FALSE)&lt;=$F$5*60/$C$7*4,INDEX(mission!$E$64:$E$78,MATCH(J$25,mission!$D$64:$D$78,0)),0))</f>
        <v>0</v>
      </c>
      <c r="K113" s="2" cm="1">
        <f t="array" ref="K113">IF(K112=0,IF(VLOOKUP(K$25,mission!$D$64:$F$78,3,FALSE)&lt;=$F$5*60/$C$7*4,INDEX(mission!$E$64:$E$78,MATCH(K$25,mission!$D$64:$D$78,0)),0))</f>
        <v>0</v>
      </c>
      <c r="L113" s="2" cm="1">
        <f t="array" ref="L113">IF(L112=0,IF(VLOOKUP(L$25,mission!$D$64:$F$78,3,FALSE)&lt;=$F$5*60/$C$7*4,INDEX(mission!$E$64:$E$78,MATCH(L$25,mission!$D$64:$D$78,0)),0))</f>
        <v>0</v>
      </c>
      <c r="M113" s="2" cm="1">
        <f t="array" ref="M113">IF(M112=0,IF(VLOOKUP(M$25,mission!$D$64:$F$78,3,FALSE)&lt;=$F$5*60/$C$7*4,INDEX(mission!$E$64:$E$78,MATCH(M$25,mission!$D$64:$D$78,0)),0))</f>
        <v>0</v>
      </c>
      <c r="N113" s="2" t="b" cm="1">
        <f t="array" ref="N113">IF(N112=0,IF(VLOOKUP(N$25,mission!$D$64:$F$78,3,FALSE)&lt;=$F$5*60/$C$7*$C$6*4,INDEX(mission!$E$64:$E$78,MATCH(N$25,mission!$D$64:$D$78,0)),0))</f>
        <v>0</v>
      </c>
      <c r="O113" s="2" cm="1">
        <f t="array" ref="O113">IF(O112=0,IF(VLOOKUP(O$25,mission!$D$64:$F$78,3,FALSE)&lt;=$F$5*60/$C$7*$C$6*4,INDEX(mission!$E$64:$E$78,MATCH(O$25,mission!$D$64:$D$78,0)),0))</f>
        <v>0</v>
      </c>
      <c r="P113" s="2" cm="1">
        <f t="array" ref="P113">IF(P112=0,IF(VLOOKUP(P$25,mission!$D$64:$F$78,3,FALSE)&lt;=$F$5*60/$C$7*$C$6*4,INDEX(mission!$E$64:$E$78,MATCH(P$25,mission!$D$64:$D$78,0)),0))</f>
        <v>0</v>
      </c>
      <c r="Q113" s="2" cm="1">
        <f t="array" ref="Q113">IF(Q112=0,IF(VLOOKUP(Q$25,mission!$D$64:$F$78,3,FALSE)&lt;=$F$5*60/$C$7*$C$6*4,INDEX(mission!$E$64:$E$78,MATCH(Q$25,mission!$D$64:$D$78,0)),0))</f>
        <v>0</v>
      </c>
      <c r="R113" s="2" cm="1">
        <f t="array" ref="R113">IF(R112=0,IF(VLOOKUP(R$25,mission!$D$64:$F$78,3,FALSE)&lt;=$F$5*60/$C$7*$C$6*4,INDEX(mission!$E$64:$E$78,MATCH(R$25,mission!$D$64:$D$78,0)),0))</f>
        <v>0</v>
      </c>
      <c r="S113" s="2" t="b" cm="1">
        <f t="array" ref="S113">IF(S112=0,IF(VLOOKUP(S$25,mission!$D$64:$F$78,3,FALSE)&lt;=$F$5*60/$C$7*$C$6*$C$4*4,INDEX(mission!$E$64:$E$78,MATCH(S$25,mission!$D$64:$D$78,0)),0))</f>
        <v>0</v>
      </c>
      <c r="T113" s="2" cm="1">
        <f t="array" ref="T113">IF(T112=0,IF(VLOOKUP(T$25,mission!$D$64:$F$78,3,FALSE)&lt;=$F$5*60/$C$7*$C$6*$C$4*4,INDEX(mission!$E$64:$E$78,MATCH(T$25,mission!$D$64:$D$78,0)),0))</f>
        <v>0</v>
      </c>
      <c r="U113" s="2" cm="1">
        <f t="array" ref="U113">IF(U112=0,IF(VLOOKUP(U$25,mission!$D$64:$F$78,3,FALSE)&lt;=$F$5*60/$C$7*$C$6*$C$4*4,INDEX(mission!$E$64:$E$78,MATCH(U$25,mission!$D$64:$D$78,0)),0))</f>
        <v>0</v>
      </c>
      <c r="V113" s="2" cm="1">
        <f t="array" ref="V113">IF(V112=0,IF(VLOOKUP(V$25,mission!$D$64:$F$78,3,FALSE)&lt;=$F$5*60/$C$7*$C$6*$C$4*4,INDEX(mission!$E$64:$E$78,MATCH(V$25,mission!$D$64:$D$78,0)),0))</f>
        <v>0</v>
      </c>
      <c r="W113" s="2" cm="1">
        <f t="array" ref="W113">IF(W112=0,IF(VLOOKUP(W$25,mission!$D$64:$F$78,3,FALSE)&lt;=$F$5*60/$C$7*$C$6*$C$4*4,INDEX(mission!$E$64:$E$78,MATCH(W$25,mission!$D$64:$D$78,0)),0))</f>
        <v>0</v>
      </c>
      <c r="X113" s="2"/>
      <c r="Y113" s="2"/>
      <c r="Z113" s="2"/>
    </row>
    <row r="114" s="1" customFormat="1" ht="18" customHeight="1" spans="2:26">
      <c r="B114" s="2">
        <v>89</v>
      </c>
      <c r="C114" s="2">
        <f t="shared" si="6"/>
        <v>89000</v>
      </c>
      <c r="D114" s="2">
        <f>ROUND($C$8*$C$5+$C$8*$C$4*(1-$L$5),0)</f>
        <v>88</v>
      </c>
      <c r="E114" s="2">
        <f t="shared" si="7"/>
        <v>7832</v>
      </c>
      <c r="F114" s="2">
        <f>ROUND(E114*VLOOKUP($B$10,总产出!$T$4:$U$14,2,FALSE),0)</f>
        <v>1566</v>
      </c>
      <c r="G114" s="2">
        <f t="shared" si="8"/>
        <v>0</v>
      </c>
      <c r="H114" s="2">
        <f t="shared" si="9"/>
        <v>2500</v>
      </c>
      <c r="I114" s="2" t="b" cm="1">
        <f t="array" ref="I114">IF(I113=0,IF(VLOOKUP(I$25,mission!$D$64:$F$78,3,FALSE)&lt;=$F$5*60/$C$7*5,INDEX(mission!$E$64:$E$78,MATCH(I$25,mission!$D$64:$D$78,0)),0))</f>
        <v>0</v>
      </c>
      <c r="J114" s="2" cm="1">
        <f t="array" ref="J114">IF(J113=0,IF(VLOOKUP(J$25,mission!$D$64:$F$78,3,FALSE)&lt;=$F$5*60/$C$7*5,INDEX(mission!$E$64:$E$78,MATCH(J$25,mission!$D$64:$D$78,0)),0))</f>
        <v>0</v>
      </c>
      <c r="K114" s="2" cm="1">
        <f t="array" ref="K114">IF(K113=0,IF(VLOOKUP(K$25,mission!$D$64:$F$78,3,FALSE)&lt;=$F$5*60/$C$7*5,INDEX(mission!$E$64:$E$78,MATCH(K$25,mission!$D$64:$D$78,0)),0))</f>
        <v>0</v>
      </c>
      <c r="L114" s="2" cm="1">
        <f t="array" ref="L114">IF(L113=0,IF(VLOOKUP(L$25,mission!$D$64:$F$78,3,FALSE)&lt;=$F$5*60/$C$7*5,INDEX(mission!$E$64:$E$78,MATCH(L$25,mission!$D$64:$D$78,0)),0))</f>
        <v>0</v>
      </c>
      <c r="M114" s="2" cm="1">
        <f t="array" ref="M114">IF(M113=0,IF(VLOOKUP(M$25,mission!$D$64:$F$78,3,FALSE)&lt;=$F$5*60/$C$7*5,INDEX(mission!$E$64:$E$78,MATCH(M$25,mission!$D$64:$D$78,0)),0))</f>
        <v>0</v>
      </c>
      <c r="N114" s="2" t="b" cm="1">
        <f t="array" ref="N114">IF(N113=0,IF(VLOOKUP(N$25,mission!$D$64:$F$78,3,FALSE)&lt;=$F$5*60/$C$7*$C$6*5,INDEX(mission!$E$64:$E$78,MATCH(N$25,mission!$D$64:$D$78,0)),0))</f>
        <v>0</v>
      </c>
      <c r="O114" s="2" cm="1">
        <f t="array" ref="O114">IF(O113=0,IF(VLOOKUP(O$25,mission!$D$64:$F$78,3,FALSE)&lt;=$F$5*60/$C$7*$C$6*5,INDEX(mission!$E$64:$E$78,MATCH(O$25,mission!$D$64:$D$78,0)),0))</f>
        <v>0</v>
      </c>
      <c r="P114" s="2" cm="1">
        <f t="array" ref="P114">IF(P113=0,IF(VLOOKUP(P$25,mission!$D$64:$F$78,3,FALSE)&lt;=$F$5*60/$C$7*$C$6*5,INDEX(mission!$E$64:$E$78,MATCH(P$25,mission!$D$64:$D$78,0)),0))</f>
        <v>0</v>
      </c>
      <c r="Q114" s="2" cm="1">
        <f t="array" ref="Q114">IF(Q113=0,IF(VLOOKUP(Q$25,mission!$D$64:$F$78,3,FALSE)&lt;=$F$5*60/$C$7*$C$6*5,INDEX(mission!$E$64:$E$78,MATCH(Q$25,mission!$D$64:$D$78,0)),0))</f>
        <v>0</v>
      </c>
      <c r="R114" s="2" cm="1">
        <f t="array" ref="R114">IF(R113=0,IF(VLOOKUP(R$25,mission!$D$64:$F$78,3,FALSE)&lt;=$F$5*60/$C$7*$C$6*5,INDEX(mission!$E$64:$E$78,MATCH(R$25,mission!$D$64:$D$78,0)),0))</f>
        <v>0</v>
      </c>
      <c r="S114" s="2" t="b" cm="1">
        <f t="array" ref="S114">IF(S113=0,IF(VLOOKUP(S$25,mission!$D$64:$F$78,3,FALSE)&lt;=$F$5*60/$C$7*$C$6*$C$4*5,INDEX(mission!$E$64:$E$78,MATCH(S$25,mission!$D$64:$D$78,0)),0))</f>
        <v>0</v>
      </c>
      <c r="T114" s="2" cm="1">
        <f t="array" ref="T114">IF(T113=0,IF(VLOOKUP(T$25,mission!$D$64:$F$78,3,FALSE)&lt;=$F$5*60/$C$7*$C$6*$C$4*5,INDEX(mission!$E$64:$E$78,MATCH(T$25,mission!$D$64:$D$78,0)),0))</f>
        <v>0</v>
      </c>
      <c r="U114" s="2" cm="1">
        <f t="array" ref="U114">IF(U113=0,IF(VLOOKUP(U$25,mission!$D$64:$F$78,3,FALSE)&lt;=$F$5*60/$C$7*$C$6*$C$4*5,INDEX(mission!$E$64:$E$78,MATCH(U$25,mission!$D$64:$D$78,0)),0))</f>
        <v>0</v>
      </c>
      <c r="V114" s="2" cm="1">
        <f t="array" ref="V114">IF(V113=0,IF(VLOOKUP(V$25,mission!$D$64:$F$78,3,FALSE)&lt;=$F$5*60/$C$7*$C$6*$C$4*5,INDEX(mission!$E$64:$E$78,MATCH(V$25,mission!$D$64:$D$78,0)),0))</f>
        <v>0</v>
      </c>
      <c r="W114" s="2" cm="1">
        <f t="array" ref="W114">IF(W113=0,IF(VLOOKUP(W$25,mission!$D$64:$F$78,3,FALSE)&lt;=$F$5*60/$C$7*$C$6*$C$4*5,INDEX(mission!$E$64:$E$78,MATCH(W$25,mission!$D$64:$D$78,0)),0))</f>
        <v>0</v>
      </c>
      <c r="X114" s="2"/>
      <c r="Y114" s="2"/>
      <c r="Z114" s="2"/>
    </row>
    <row r="115" s="1" customFormat="1" ht="18" customHeight="1" spans="2:26">
      <c r="B115" s="2">
        <v>90</v>
      </c>
      <c r="C115" s="2">
        <f t="shared" si="6"/>
        <v>90000</v>
      </c>
      <c r="D115" s="2">
        <f>ROUND($C$8*$C$5+$C$8*$C$4*(1-$L$5),0)</f>
        <v>88</v>
      </c>
      <c r="E115" s="2">
        <f t="shared" si="7"/>
        <v>7920</v>
      </c>
      <c r="F115" s="2">
        <f>ROUND(E115*VLOOKUP($B$10,总产出!$T$4:$U$14,2,FALSE),0)</f>
        <v>1584</v>
      </c>
      <c r="G115" s="2">
        <f t="shared" si="8"/>
        <v>100</v>
      </c>
      <c r="H115" s="2">
        <f t="shared" si="9"/>
        <v>2600</v>
      </c>
      <c r="I115" s="2" t="b" cm="1">
        <f t="array" ref="I115">IF(I114=0,IF(VLOOKUP(I$25,mission!$D$64:$F$78,3,FALSE)&lt;=$F$5*60/$C$7*6,INDEX(mission!$E$64:$E$78,MATCH(I$25,mission!$D$64:$D$78,0)),0))</f>
        <v>0</v>
      </c>
      <c r="J115" s="2" cm="1">
        <f t="array" ref="J115">IF(J114=0,IF(VLOOKUP(J$25,mission!$D$64:$F$78,3,FALSE)&lt;=$F$5*60/$C$7*6,INDEX(mission!$E$64:$E$78,MATCH(J$25,mission!$D$64:$D$78,0)),0))</f>
        <v>25</v>
      </c>
      <c r="K115" s="2" cm="1">
        <f t="array" ref="K115">IF(K114=0,IF(VLOOKUP(K$25,mission!$D$64:$F$78,3,FALSE)&lt;=$F$5*60/$C$7*6,INDEX(mission!$E$64:$E$78,MATCH(K$25,mission!$D$64:$D$78,0)),0))</f>
        <v>0</v>
      </c>
      <c r="L115" s="2" cm="1">
        <f t="array" ref="L115">IF(L114=0,IF(VLOOKUP(L$25,mission!$D$64:$F$78,3,FALSE)&lt;=$F$5*60/$C$7*6,INDEX(mission!$E$64:$E$78,MATCH(L$25,mission!$D$64:$D$78,0)),0))</f>
        <v>0</v>
      </c>
      <c r="M115" s="2" cm="1">
        <f t="array" ref="M115">IF(M114=0,IF(VLOOKUP(M$25,mission!$D$64:$F$78,3,FALSE)&lt;=$F$5*60/$C$7*6,INDEX(mission!$E$64:$E$78,MATCH(M$25,mission!$D$64:$D$78,0)),0))</f>
        <v>0</v>
      </c>
      <c r="N115" s="2" t="b" cm="1">
        <f t="array" ref="N115">IF(N114=0,IF(VLOOKUP(N$25,mission!$D$64:$F$78,3,FALSE)&lt;=$F$5*60/$C$7*$C$6*6,INDEX(mission!$E$64:$E$78,MATCH(N$25,mission!$D$64:$D$78,0)),0))</f>
        <v>0</v>
      </c>
      <c r="O115" s="2" cm="1">
        <f t="array" ref="O115">IF(O114=0,IF(VLOOKUP(O$25,mission!$D$64:$F$78,3,FALSE)&lt;=$F$5*60/$C$7*$C$6*6,INDEX(mission!$E$64:$E$78,MATCH(O$25,mission!$D$64:$D$78,0)),0))</f>
        <v>25</v>
      </c>
      <c r="P115" s="2" cm="1">
        <f t="array" ref="P115">IF(P114=0,IF(VLOOKUP(P$25,mission!$D$64:$F$78,3,FALSE)&lt;=$F$5*60/$C$7*$C$6*6,INDEX(mission!$E$64:$E$78,MATCH(P$25,mission!$D$64:$D$78,0)),0))</f>
        <v>0</v>
      </c>
      <c r="Q115" s="2" cm="1">
        <f t="array" ref="Q115">IF(Q114=0,IF(VLOOKUP(Q$25,mission!$D$64:$F$78,3,FALSE)&lt;=$F$5*60/$C$7*$C$6*6,INDEX(mission!$E$64:$E$78,MATCH(Q$25,mission!$D$64:$D$78,0)),0))</f>
        <v>0</v>
      </c>
      <c r="R115" s="2" cm="1">
        <f t="array" ref="R115">IF(R114=0,IF(VLOOKUP(R$25,mission!$D$64:$F$78,3,FALSE)&lt;=$F$5*60/$C$7*$C$6*6,INDEX(mission!$E$64:$E$78,MATCH(R$25,mission!$D$64:$D$78,0)),0))</f>
        <v>0</v>
      </c>
      <c r="S115" s="2" t="b" cm="1">
        <f t="array" ref="S115">IF(S114=0,IF(VLOOKUP(S$25,mission!$D$64:$F$78,3,FALSE)&lt;=$F$5*60/$C$7*$C$6*$C$4*6,INDEX(mission!$E$64:$E$78,MATCH(S$25,mission!$D$64:$D$78,0)),0))</f>
        <v>0</v>
      </c>
      <c r="T115" s="2" cm="1">
        <f t="array" ref="T115">IF(T114=0,IF(VLOOKUP(T$25,mission!$D$64:$F$78,3,FALSE)&lt;=$F$5*60/$C$7*$C$6*$C$4*6,INDEX(mission!$E$64:$E$78,MATCH(T$25,mission!$D$64:$D$78,0)),0))</f>
        <v>50</v>
      </c>
      <c r="U115" s="2" cm="1">
        <f t="array" ref="U115">IF(U114=0,IF(VLOOKUP(U$25,mission!$D$64:$F$78,3,FALSE)&lt;=$F$5*60/$C$7*$C$6*$C$4*6,INDEX(mission!$E$64:$E$78,MATCH(U$25,mission!$D$64:$D$78,0)),0))</f>
        <v>0</v>
      </c>
      <c r="V115" s="2" cm="1">
        <f t="array" ref="V115">IF(V114=0,IF(VLOOKUP(V$25,mission!$D$64:$F$78,3,FALSE)&lt;=$F$5*60/$C$7*$C$6*$C$4*6,INDEX(mission!$E$64:$E$78,MATCH(V$25,mission!$D$64:$D$78,0)),0))</f>
        <v>0</v>
      </c>
      <c r="W115" s="2" cm="1">
        <f t="array" ref="W115">IF(W114=0,IF(VLOOKUP(W$25,mission!$D$64:$F$78,3,FALSE)&lt;=$F$5*60/$C$7*$C$6*$C$4*6,INDEX(mission!$E$64:$E$78,MATCH(W$25,mission!$D$64:$D$78,0)),0))</f>
        <v>0</v>
      </c>
      <c r="X115" s="2"/>
      <c r="Y115" s="2"/>
      <c r="Z115" s="2"/>
    </row>
    <row r="116" s="10" customFormat="1" ht="18" customHeight="1" spans="2:26">
      <c r="B116" s="10">
        <v>91</v>
      </c>
      <c r="C116" s="10">
        <f t="shared" si="6"/>
        <v>91000</v>
      </c>
      <c r="D116" s="10">
        <f>ROUND($C$8*$C$5+$C$8*$C$4*(1-$L$5),0)</f>
        <v>88</v>
      </c>
      <c r="E116" s="10">
        <f t="shared" si="7"/>
        <v>8008</v>
      </c>
      <c r="F116" s="10">
        <f>ROUND(E116*VLOOKUP($B$10,总产出!$T$4:$U$14,2,FALSE),0)</f>
        <v>1602</v>
      </c>
      <c r="G116" s="10">
        <f t="shared" si="8"/>
        <v>0</v>
      </c>
      <c r="H116" s="10">
        <f t="shared" si="9"/>
        <v>2600</v>
      </c>
      <c r="I116" s="10" t="b" cm="1">
        <f t="array" ref="I116">IF(I115=0,IF(VLOOKUP(I$25,mission!$D$64:$F$78,3,FALSE)&lt;=$F$5*60/$C$7*7,INDEX(mission!$E$64:$E$78,MATCH(I$25,mission!$D$64:$D$78,0)),0))</f>
        <v>0</v>
      </c>
      <c r="J116" s="10" t="b" cm="1">
        <f t="array" ref="J116">IF(J115=0,IF(VLOOKUP(J$25,mission!$D$64:$F$78,3,FALSE)&lt;=$F$5*60/$C$7*7,INDEX(mission!$E$64:$E$78,MATCH(J$25,mission!$D$64:$D$78,0)),0))</f>
        <v>0</v>
      </c>
      <c r="K116" s="10" cm="1">
        <f t="array" ref="K116">IF(K115=0,IF(VLOOKUP(K$25,mission!$D$64:$F$78,3,FALSE)&lt;=$F$5*60/$C$7*7,INDEX(mission!$E$64:$E$78,MATCH(K$25,mission!$D$64:$D$78,0)),0))</f>
        <v>0</v>
      </c>
      <c r="L116" s="10" cm="1">
        <f t="array" ref="L116">IF(L115=0,IF(VLOOKUP(L$25,mission!$D$64:$F$78,3,FALSE)&lt;=$F$5*60/$C$7*7,INDEX(mission!$E$64:$E$78,MATCH(L$25,mission!$D$64:$D$78,0)),0))</f>
        <v>0</v>
      </c>
      <c r="M116" s="10" cm="1">
        <f t="array" ref="M116">IF(M115=0,IF(VLOOKUP(M$25,mission!$D$64:$F$78,3,FALSE)&lt;=$F$5*60/$C$7*7,INDEX(mission!$E$64:$E$78,MATCH(M$25,mission!$D$64:$D$78,0)),0))</f>
        <v>0</v>
      </c>
      <c r="N116" s="10" t="b" cm="1">
        <f t="array" ref="N116">IF(N115=0,IF(VLOOKUP(N$25,mission!$D$64:$F$78,3,FALSE)&lt;=$F$5*60/$C$7*$C$6*7,INDEX(mission!$E$64:$E$78,MATCH(N$25,mission!$D$64:$D$78,0)),0))</f>
        <v>0</v>
      </c>
      <c r="O116" s="10" t="b" cm="1">
        <f t="array" ref="O116">IF(O115=0,IF(VLOOKUP(O$25,mission!$D$64:$F$78,3,FALSE)&lt;=$F$5*60/$C$7*$C$6*7,INDEX(mission!$E$64:$E$78,MATCH(O$25,mission!$D$64:$D$78,0)),0))</f>
        <v>0</v>
      </c>
      <c r="P116" s="10" cm="1">
        <f t="array" ref="P116">IF(P115=0,IF(VLOOKUP(P$25,mission!$D$64:$F$78,3,FALSE)&lt;=$F$5*60/$C$7*$C$6*7,INDEX(mission!$E$64:$E$78,MATCH(P$25,mission!$D$64:$D$78,0)),0))</f>
        <v>0</v>
      </c>
      <c r="Q116" s="10" cm="1">
        <f t="array" ref="Q116">IF(Q115=0,IF(VLOOKUP(Q$25,mission!$D$64:$F$78,3,FALSE)&lt;=$F$5*60/$C$7*$C$6*7,INDEX(mission!$E$64:$E$78,MATCH(Q$25,mission!$D$64:$D$78,0)),0))</f>
        <v>0</v>
      </c>
      <c r="R116" s="10" cm="1">
        <f t="array" ref="R116">IF(R115=0,IF(VLOOKUP(R$25,mission!$D$64:$F$78,3,FALSE)&lt;=$F$5*60/$C$7*$C$6*7,INDEX(mission!$E$64:$E$78,MATCH(R$25,mission!$D$64:$D$78,0)),0))</f>
        <v>0</v>
      </c>
      <c r="S116" s="10" t="b" cm="1">
        <f t="array" ref="S116">IF(S115=0,IF(VLOOKUP(S$25,mission!$D$64:$F$78,3,FALSE)&lt;=$F$5*60/$C$7*$C$6*$C$4*7,INDEX(mission!$E$64:$E$78,MATCH(S$25,mission!$D$64:$D$78,0)),0))</f>
        <v>0</v>
      </c>
      <c r="T116" s="10" t="b" cm="1">
        <f t="array" ref="T116">IF(T115=0,IF(VLOOKUP(T$25,mission!$D$64:$F$78,3,FALSE)&lt;=$F$5*60/$C$7*$C$6*$C$4*7,INDEX(mission!$E$64:$E$78,MATCH(T$25,mission!$D$64:$D$78,0)),0))</f>
        <v>0</v>
      </c>
      <c r="U116" s="10" cm="1">
        <f t="array" ref="U116">IF(U115=0,IF(VLOOKUP(U$25,mission!$D$64:$F$78,3,FALSE)&lt;=$F$5*60/$C$7*$C$6*$C$4*7,INDEX(mission!$E$64:$E$78,MATCH(U$25,mission!$D$64:$D$78,0)),0))</f>
        <v>0</v>
      </c>
      <c r="V116" s="10" cm="1">
        <f t="array" ref="V116">IF(V115=0,IF(VLOOKUP(V$25,mission!$D$64:$F$78,3,FALSE)&lt;=$F$5*60/$C$7*$C$6*$C$4*7,INDEX(mission!$E$64:$E$78,MATCH(V$25,mission!$D$64:$D$78,0)),0))</f>
        <v>0</v>
      </c>
      <c r="W116" s="10" cm="1">
        <f t="array" ref="W116">IF(W115=0,IF(VLOOKUP(W$25,mission!$D$64:$F$78,3,FALSE)&lt;=$F$5*60/$C$7*$C$6*$C$4*7,INDEX(mission!$E$64:$E$78,MATCH(W$25,mission!$D$64:$D$78,0)),0))</f>
        <v>0</v>
      </c>
      <c r="X116" s="2"/>
      <c r="Y116" s="2"/>
      <c r="Z116" s="2"/>
    </row>
    <row r="117" s="1" customFormat="1" ht="18" customHeight="1" spans="2:26">
      <c r="B117" s="2">
        <v>92</v>
      </c>
      <c r="C117" s="2">
        <f t="shared" si="6"/>
        <v>92000</v>
      </c>
      <c r="D117" s="2">
        <f>ROUND($C$8*$C$5+$C$8*$C$4*(1-$L$5),0)</f>
        <v>88</v>
      </c>
      <c r="E117" s="2">
        <f t="shared" si="7"/>
        <v>8096</v>
      </c>
      <c r="F117" s="2">
        <f>ROUND(E117*VLOOKUP($B$10,总产出!$T$4:$U$14,2,FALSE),0)</f>
        <v>1619</v>
      </c>
      <c r="G117" s="2">
        <f t="shared" si="8"/>
        <v>0</v>
      </c>
      <c r="H117" s="2">
        <f t="shared" si="9"/>
        <v>2600</v>
      </c>
      <c r="I117" s="2" cm="1">
        <f t="array" ref="I117">IF(VLOOKUP(I$25,mission!$D$64:$F$78,3,FALSE)&lt;=$F$5*60/$C$7,INDEX(mission!$E$64:$E$78,MATCH(I$25,mission!$D$64:$D$78,0)),0)</f>
        <v>0</v>
      </c>
      <c r="J117" s="2" cm="1">
        <f t="array" ref="J117">IF(VLOOKUP(J$25,mission!$D$64:$F$78,3,FALSE)&lt;=$F$5*60/$C$7,INDEX(mission!$E$64:$E$78,MATCH(J$25,mission!$D$64:$D$78,0)),0)</f>
        <v>0</v>
      </c>
      <c r="K117" s="2" cm="1">
        <f t="array" ref="K117">IF(VLOOKUP(K$25,mission!$D$64:$F$78,3,FALSE)&lt;=$F$5*60/$C$7,INDEX(mission!$E$64:$E$78,MATCH(K$25,mission!$D$64:$D$78,0)),0)</f>
        <v>0</v>
      </c>
      <c r="L117" s="2" cm="1">
        <f t="array" ref="L117">IF(VLOOKUP(L$25,mission!$D$64:$F$78,3,FALSE)&lt;=$F$5*60/$C$7,INDEX(mission!$E$64:$E$78,MATCH(L$25,mission!$D$64:$D$78,0)),0)</f>
        <v>0</v>
      </c>
      <c r="M117" s="2" cm="1">
        <f t="array" ref="M117">IF(VLOOKUP(M$25,mission!$D$64:$F$78,3,FALSE)&lt;=$F$5*60/$C$7,INDEX(mission!$E$64:$E$78,MATCH(M$25,mission!$D$64:$D$78,0)),0)</f>
        <v>0</v>
      </c>
      <c r="N117" s="2" cm="1">
        <f t="array" ref="N117">IF(VLOOKUP(N$25,mission!$D$64:$F$78,3,FALSE)&lt;=$F$5*60/$C$7*$C$6,INDEX(mission!$E$64:$E$78,MATCH(N$25,mission!$D$64:$D$78,0)),0)</f>
        <v>0</v>
      </c>
      <c r="O117" s="2" cm="1">
        <f t="array" ref="O117">IF(VLOOKUP(O$25,mission!$D$64:$F$78,3,FALSE)&lt;=$F$5*60/$C$7*$C$6,INDEX(mission!$E$64:$E$78,MATCH(O$25,mission!$D$64:$D$78,0)),0)</f>
        <v>0</v>
      </c>
      <c r="P117" s="2" cm="1">
        <f t="array" ref="P117">IF(VLOOKUP(P$25,mission!$D$64:$F$78,3,FALSE)&lt;=$F$5*60/$C$7*$C$6,INDEX(mission!$E$64:$E$78,MATCH(P$25,mission!$D$64:$D$78,0)),0)</f>
        <v>0</v>
      </c>
      <c r="Q117" s="2" cm="1">
        <f t="array" ref="Q117">IF(VLOOKUP(Q$25,mission!$D$64:$F$78,3,FALSE)&lt;=$F$5*60/$C$7*$C$6,INDEX(mission!$E$64:$E$78,MATCH(Q$25,mission!$D$64:$D$78,0)),0)</f>
        <v>0</v>
      </c>
      <c r="R117" s="2" cm="1">
        <f t="array" ref="R117">IF(VLOOKUP(R$25,mission!$D$64:$F$78,3,FALSE)&lt;=$F$5*60/$C$7*$C$6,INDEX(mission!$E$64:$E$78,MATCH(R$25,mission!$D$64:$D$78,0)),0)</f>
        <v>0</v>
      </c>
      <c r="S117" s="2" cm="1">
        <f t="array" ref="S117">IF(VLOOKUP(S$25,mission!$D$64:$F$78,3,FALSE)&lt;=$F$5*60/$C$7*$C$6*$C$4,INDEX(mission!$E$64:$E$78,MATCH(S$25,mission!$D$64:$D$78,0)),0)</f>
        <v>0</v>
      </c>
      <c r="T117" s="2" cm="1">
        <f t="array" ref="T117">IF(VLOOKUP(T$25,mission!$D$64:$F$78,3,FALSE)&lt;=$F$5*60/$C$7*$C$6*$C$4,INDEX(mission!$E$64:$E$78,MATCH(T$25,mission!$D$64:$D$78,0)),0)</f>
        <v>0</v>
      </c>
      <c r="U117" s="2" cm="1">
        <f t="array" ref="U117">IF(VLOOKUP(U$25,mission!$D$64:$F$78,3,FALSE)&lt;=$F$5*60/$C$7*$C$6*$C$4,INDEX(mission!$E$64:$E$78,MATCH(U$25,mission!$D$64:$D$78,0)),0)</f>
        <v>0</v>
      </c>
      <c r="V117" s="2" cm="1">
        <f t="array" ref="V117">IF(VLOOKUP(V$25,mission!$D$64:$F$78,3,FALSE)&lt;=$F$5*60/$C$7*$C$6*$C$4,INDEX(mission!$E$64:$E$78,MATCH(V$25,mission!$D$64:$D$78,0)),0)</f>
        <v>0</v>
      </c>
      <c r="W117" s="2" cm="1">
        <f t="array" ref="W117">IF(VLOOKUP(W$25,mission!$D$64:$F$78,3,FALSE)&lt;=$F$5*60/$C$7*$C$6*$C$4,INDEX(mission!$E$64:$E$78,MATCH(W$25,mission!$D$64:$D$78,0)),0)</f>
        <v>0</v>
      </c>
      <c r="X117" s="2"/>
      <c r="Y117" s="2"/>
      <c r="Z117" s="2"/>
    </row>
    <row r="118" s="1" customFormat="1" ht="18" customHeight="1" spans="2:26">
      <c r="B118" s="2">
        <v>93</v>
      </c>
      <c r="C118" s="2">
        <f t="shared" si="6"/>
        <v>93000</v>
      </c>
      <c r="D118" s="2">
        <f>ROUND($C$8*$C$5+$C$8*$C$4*(1-$L$5),0)</f>
        <v>88</v>
      </c>
      <c r="E118" s="2">
        <f t="shared" si="7"/>
        <v>8184</v>
      </c>
      <c r="F118" s="2">
        <f>ROUND(E118*VLOOKUP($B$10,总产出!$T$4:$U$14,2,FALSE),0)</f>
        <v>1637</v>
      </c>
      <c r="G118" s="2">
        <f t="shared" si="8"/>
        <v>0</v>
      </c>
      <c r="H118" s="2">
        <f t="shared" si="9"/>
        <v>2600</v>
      </c>
      <c r="I118" s="2" cm="1">
        <f t="array" ref="I118">IF(I117=0,IF(VLOOKUP(I$25,mission!$D$64:$F$78,3,FALSE)&lt;=$F$5*60/$C$7*2,INDEX(mission!$E$64:$E$78,MATCH(I$25,mission!$D$64:$D$78,0)),0))</f>
        <v>0</v>
      </c>
      <c r="J118" s="2" cm="1">
        <f t="array" ref="J118">IF(J117=0,IF(VLOOKUP(J$25,mission!$D$64:$F$78,3,FALSE)&lt;=$F$5*60/$C$7*2,INDEX(mission!$E$64:$E$78,MATCH(J$25,mission!$D$64:$D$78,0)),0))</f>
        <v>0</v>
      </c>
      <c r="K118" s="2" cm="1">
        <f t="array" ref="K118">IF(K117=0,IF(VLOOKUP(K$25,mission!$D$64:$F$78,3,FALSE)&lt;=$F$5*60/$C$7*2,INDEX(mission!$E$64:$E$78,MATCH(K$25,mission!$D$64:$D$78,0)),0))</f>
        <v>0</v>
      </c>
      <c r="L118" s="2" cm="1">
        <f t="array" ref="L118">IF(L117=0,IF(VLOOKUP(L$25,mission!$D$64:$F$78,3,FALSE)&lt;=$F$5*60/$C$7*2,INDEX(mission!$E$64:$E$78,MATCH(L$25,mission!$D$64:$D$78,0)),0))</f>
        <v>0</v>
      </c>
      <c r="M118" s="2" cm="1">
        <f t="array" ref="M118">IF(M117=0,IF(VLOOKUP(M$25,mission!$D$64:$F$78,3,FALSE)&lt;=$F$5*60/$C$7*2,INDEX(mission!$E$64:$E$78,MATCH(M$25,mission!$D$64:$D$78,0)),0))</f>
        <v>0</v>
      </c>
      <c r="N118" s="2" cm="1">
        <f t="array" ref="N118">IF(N117=0,IF(VLOOKUP(N$25,mission!$D$64:$F$78,3,FALSE)&lt;=$F$5*60/$C$7*$C$6*2,INDEX(mission!$E$64:$E$78,MATCH(N$25,mission!$D$64:$D$78,0)),0))</f>
        <v>0</v>
      </c>
      <c r="O118" s="2" cm="1">
        <f t="array" ref="O118">IF(O117=0,IF(VLOOKUP(O$25,mission!$D$64:$F$78,3,FALSE)&lt;=$F$5*60/$C$7*$C$6*2,INDEX(mission!$E$64:$E$78,MATCH(O$25,mission!$D$64:$D$78,0)),0))</f>
        <v>0</v>
      </c>
      <c r="P118" s="2" cm="1">
        <f t="array" ref="P118">IF(P117=0,IF(VLOOKUP(P$25,mission!$D$64:$F$78,3,FALSE)&lt;=$F$5*60/$C$7*$C$6*2,INDEX(mission!$E$64:$E$78,MATCH(P$25,mission!$D$64:$D$78,0)),0))</f>
        <v>0</v>
      </c>
      <c r="Q118" s="2" cm="1">
        <f t="array" ref="Q118">IF(Q117=0,IF(VLOOKUP(Q$25,mission!$D$64:$F$78,3,FALSE)&lt;=$F$5*60/$C$7*$C$6*2,INDEX(mission!$E$64:$E$78,MATCH(Q$25,mission!$D$64:$D$78,0)),0))</f>
        <v>0</v>
      </c>
      <c r="R118" s="2" cm="1">
        <f t="array" ref="R118">IF(R117=0,IF(VLOOKUP(R$25,mission!$D$64:$F$78,3,FALSE)&lt;=$F$5*60/$C$7*$C$6*2,INDEX(mission!$E$64:$E$78,MATCH(R$25,mission!$D$64:$D$78,0)),0))</f>
        <v>0</v>
      </c>
      <c r="S118" s="2" cm="1">
        <f t="array" ref="S118">IF(S117=0,IF(VLOOKUP(S$25,mission!$D$64:$F$78,3,FALSE)&lt;=$F$5*60/$C$7*$C$6*$C$4*2,INDEX(mission!$E$64:$E$78,MATCH(S$25,mission!$D$64:$D$78,0)),0))</f>
        <v>0</v>
      </c>
      <c r="T118" s="2" cm="1">
        <f t="array" ref="T118">IF(T117=0,IF(VLOOKUP(T$25,mission!$D$64:$F$78,3,FALSE)&lt;=$F$5*60/$C$7*$C$6*$C$4*2,INDEX(mission!$E$64:$E$78,MATCH(T$25,mission!$D$64:$D$78,0)),0))</f>
        <v>0</v>
      </c>
      <c r="U118" s="2" cm="1">
        <f t="array" ref="U118">IF(U117=0,IF(VLOOKUP(U$25,mission!$D$64:$F$78,3,FALSE)&lt;=$F$5*60/$C$7*$C$6*$C$4*2,INDEX(mission!$E$64:$E$78,MATCH(U$25,mission!$D$64:$D$78,0)),0))</f>
        <v>0</v>
      </c>
      <c r="V118" s="2" cm="1">
        <f t="array" ref="V118">IF(V117=0,IF(VLOOKUP(V$25,mission!$D$64:$F$78,3,FALSE)&lt;=$F$5*60/$C$7*$C$6*$C$4*2,INDEX(mission!$E$64:$E$78,MATCH(V$25,mission!$D$64:$D$78,0)),0))</f>
        <v>0</v>
      </c>
      <c r="W118" s="2" cm="1">
        <f t="array" ref="W118">IF(W117=0,IF(VLOOKUP(W$25,mission!$D$64:$F$78,3,FALSE)&lt;=$F$5*60/$C$7*$C$6*$C$4*2,INDEX(mission!$E$64:$E$78,MATCH(W$25,mission!$D$64:$D$78,0)),0))</f>
        <v>0</v>
      </c>
      <c r="X118" s="2"/>
      <c r="Y118" s="2"/>
      <c r="Z118" s="2"/>
    </row>
    <row r="119" s="1" customFormat="1" ht="18" customHeight="1" spans="2:26">
      <c r="B119" s="2">
        <v>94</v>
      </c>
      <c r="C119" s="2">
        <f t="shared" si="6"/>
        <v>94000</v>
      </c>
      <c r="D119" s="2">
        <f>ROUND($C$8*$C$5+$C$8*$C$4*(1-$L$5),0)</f>
        <v>88</v>
      </c>
      <c r="E119" s="2">
        <f t="shared" si="7"/>
        <v>8272</v>
      </c>
      <c r="F119" s="2">
        <f>ROUND(E119*VLOOKUP($B$10,总产出!$T$4:$U$14,2,FALSE),0)</f>
        <v>1654</v>
      </c>
      <c r="G119" s="2">
        <f t="shared" si="8"/>
        <v>100</v>
      </c>
      <c r="H119" s="2">
        <f t="shared" si="9"/>
        <v>2700</v>
      </c>
      <c r="I119" s="2" cm="1">
        <f t="array" ref="I119">IF(I118=0,IF(VLOOKUP(I$25,mission!$D$64:$F$78,3,FALSE)&lt;=$F$5*60/$C$7*3,INDEX(mission!$E$64:$E$78,MATCH(I$25,mission!$D$64:$D$78,0)),0))</f>
        <v>25</v>
      </c>
      <c r="J119" s="2" cm="1">
        <f t="array" ref="J119">IF(J118=0,IF(VLOOKUP(J$25,mission!$D$64:$F$78,3,FALSE)&lt;=$F$5*60/$C$7*3,INDEX(mission!$E$64:$E$78,MATCH(J$25,mission!$D$64:$D$78,0)),0))</f>
        <v>0</v>
      </c>
      <c r="K119" s="2" cm="1">
        <f t="array" ref="K119">IF(K118=0,IF(VLOOKUP(K$25,mission!$D$64:$F$78,3,FALSE)&lt;=$F$5*60/$C$7*3,INDEX(mission!$E$64:$E$78,MATCH(K$25,mission!$D$64:$D$78,0)),0))</f>
        <v>0</v>
      </c>
      <c r="L119" s="2" cm="1">
        <f t="array" ref="L119">IF(L118=0,IF(VLOOKUP(L$25,mission!$D$64:$F$78,3,FALSE)&lt;=$F$5*60/$C$7*3,INDEX(mission!$E$64:$E$78,MATCH(L$25,mission!$D$64:$D$78,0)),0))</f>
        <v>0</v>
      </c>
      <c r="M119" s="2" cm="1">
        <f t="array" ref="M119">IF(M118=0,IF(VLOOKUP(M$25,mission!$D$64:$F$78,3,FALSE)&lt;=$F$5*60/$C$7*3,INDEX(mission!$E$64:$E$78,MATCH(M$25,mission!$D$64:$D$78,0)),0))</f>
        <v>0</v>
      </c>
      <c r="N119" s="2" cm="1">
        <f t="array" ref="N119">IF(N118=0,IF(VLOOKUP(N$25,mission!$D$64:$F$78,3,FALSE)&lt;=$F$5*60/$C$7*$C$6*3,INDEX(mission!$E$64:$E$78,MATCH(N$25,mission!$D$64:$D$78,0)),0))</f>
        <v>25</v>
      </c>
      <c r="O119" s="2" cm="1">
        <f t="array" ref="O119">IF(O118=0,IF(VLOOKUP(O$25,mission!$D$64:$F$78,3,FALSE)&lt;=$F$5*60/$C$7*$C$6*3,INDEX(mission!$E$64:$E$78,MATCH(O$25,mission!$D$64:$D$78,0)),0))</f>
        <v>0</v>
      </c>
      <c r="P119" s="2" cm="1">
        <f t="array" ref="P119">IF(P118=0,IF(VLOOKUP(P$25,mission!$D$64:$F$78,3,FALSE)&lt;=$F$5*60/$C$7*$C$6*3,INDEX(mission!$E$64:$E$78,MATCH(P$25,mission!$D$64:$D$78,0)),0))</f>
        <v>0</v>
      </c>
      <c r="Q119" s="2" cm="1">
        <f t="array" ref="Q119">IF(Q118=0,IF(VLOOKUP(Q$25,mission!$D$64:$F$78,3,FALSE)&lt;=$F$5*60/$C$7*$C$6*3,INDEX(mission!$E$64:$E$78,MATCH(Q$25,mission!$D$64:$D$78,0)),0))</f>
        <v>0</v>
      </c>
      <c r="R119" s="2" cm="1">
        <f t="array" ref="R119">IF(R118=0,IF(VLOOKUP(R$25,mission!$D$64:$F$78,3,FALSE)&lt;=$F$5*60/$C$7*$C$6*3,INDEX(mission!$E$64:$E$78,MATCH(R$25,mission!$D$64:$D$78,0)),0))</f>
        <v>0</v>
      </c>
      <c r="S119" s="2" cm="1">
        <f t="array" ref="S119">IF(S118=0,IF(VLOOKUP(S$25,mission!$D$64:$F$78,3,FALSE)&lt;=$F$5*60/$C$7*$C$6*$C$4*3,INDEX(mission!$E$64:$E$78,MATCH(S$25,mission!$D$64:$D$78,0)),0))</f>
        <v>50</v>
      </c>
      <c r="T119" s="2" cm="1">
        <f t="array" ref="T119">IF(T118=0,IF(VLOOKUP(T$25,mission!$D$64:$F$78,3,FALSE)&lt;=$F$5*60/$C$7*$C$6*$C$4*3,INDEX(mission!$E$64:$E$78,MATCH(T$25,mission!$D$64:$D$78,0)),0))</f>
        <v>0</v>
      </c>
      <c r="U119" s="2" cm="1">
        <f t="array" ref="U119">IF(U118=0,IF(VLOOKUP(U$25,mission!$D$64:$F$78,3,FALSE)&lt;=$F$5*60/$C$7*$C$6*$C$4*3,INDEX(mission!$E$64:$E$78,MATCH(U$25,mission!$D$64:$D$78,0)),0))</f>
        <v>0</v>
      </c>
      <c r="V119" s="2" cm="1">
        <f t="array" ref="V119">IF(V118=0,IF(VLOOKUP(V$25,mission!$D$64:$F$78,3,FALSE)&lt;=$F$5*60/$C$7*$C$6*$C$4*3,INDEX(mission!$E$64:$E$78,MATCH(V$25,mission!$D$64:$D$78,0)),0))</f>
        <v>0</v>
      </c>
      <c r="W119" s="2" cm="1">
        <f t="array" ref="W119">IF(W118=0,IF(VLOOKUP(W$25,mission!$D$64:$F$78,3,FALSE)&lt;=$F$5*60/$C$7*$C$6*$C$4*3,INDEX(mission!$E$64:$E$78,MATCH(W$25,mission!$D$64:$D$78,0)),0))</f>
        <v>0</v>
      </c>
      <c r="X119" s="2"/>
      <c r="Y119" s="2"/>
      <c r="Z119" s="2"/>
    </row>
    <row r="120" s="1" customFormat="1" ht="18" customHeight="1" spans="2:26">
      <c r="B120" s="2">
        <v>95</v>
      </c>
      <c r="C120" s="2">
        <f t="shared" si="6"/>
        <v>95000</v>
      </c>
      <c r="D120" s="2">
        <f>ROUND($C$8*$C$5+$C$8*$C$4*(1-$L$5),0)</f>
        <v>88</v>
      </c>
      <c r="E120" s="2">
        <f t="shared" si="7"/>
        <v>8360</v>
      </c>
      <c r="F120" s="2">
        <f>ROUND(E120*VLOOKUP($B$10,总产出!$T$4:$U$14,2,FALSE),0)</f>
        <v>1672</v>
      </c>
      <c r="G120" s="2">
        <f t="shared" si="8"/>
        <v>0</v>
      </c>
      <c r="H120" s="2">
        <f t="shared" si="9"/>
        <v>2700</v>
      </c>
      <c r="I120" s="2" t="b" cm="1">
        <f t="array" ref="I120">IF(I119=0,IF(VLOOKUP(I$25,mission!$D$64:$F$78,3,FALSE)&lt;=$F$5*60/$C$7*4,INDEX(mission!$E$64:$E$78,MATCH(I$25,mission!$D$64:$D$78,0)),0))</f>
        <v>0</v>
      </c>
      <c r="J120" s="2" cm="1">
        <f t="array" ref="J120">IF(J119=0,IF(VLOOKUP(J$25,mission!$D$64:$F$78,3,FALSE)&lt;=$F$5*60/$C$7*4,INDEX(mission!$E$64:$E$78,MATCH(J$25,mission!$D$64:$D$78,0)),0))</f>
        <v>0</v>
      </c>
      <c r="K120" s="2" cm="1">
        <f t="array" ref="K120">IF(K119=0,IF(VLOOKUP(K$25,mission!$D$64:$F$78,3,FALSE)&lt;=$F$5*60/$C$7*4,INDEX(mission!$E$64:$E$78,MATCH(K$25,mission!$D$64:$D$78,0)),0))</f>
        <v>0</v>
      </c>
      <c r="L120" s="2" cm="1">
        <f t="array" ref="L120">IF(L119=0,IF(VLOOKUP(L$25,mission!$D$64:$F$78,3,FALSE)&lt;=$F$5*60/$C$7*4,INDEX(mission!$E$64:$E$78,MATCH(L$25,mission!$D$64:$D$78,0)),0))</f>
        <v>0</v>
      </c>
      <c r="M120" s="2" cm="1">
        <f t="array" ref="M120">IF(M119=0,IF(VLOOKUP(M$25,mission!$D$64:$F$78,3,FALSE)&lt;=$F$5*60/$C$7*4,INDEX(mission!$E$64:$E$78,MATCH(M$25,mission!$D$64:$D$78,0)),0))</f>
        <v>0</v>
      </c>
      <c r="N120" s="2" t="b" cm="1">
        <f t="array" ref="N120">IF(N119=0,IF(VLOOKUP(N$25,mission!$D$64:$F$78,3,FALSE)&lt;=$F$5*60/$C$7*$C$6*4,INDEX(mission!$E$64:$E$78,MATCH(N$25,mission!$D$64:$D$78,0)),0))</f>
        <v>0</v>
      </c>
      <c r="O120" s="2" cm="1">
        <f t="array" ref="O120">IF(O119=0,IF(VLOOKUP(O$25,mission!$D$64:$F$78,3,FALSE)&lt;=$F$5*60/$C$7*$C$6*4,INDEX(mission!$E$64:$E$78,MATCH(O$25,mission!$D$64:$D$78,0)),0))</f>
        <v>0</v>
      </c>
      <c r="P120" s="2" cm="1">
        <f t="array" ref="P120">IF(P119=0,IF(VLOOKUP(P$25,mission!$D$64:$F$78,3,FALSE)&lt;=$F$5*60/$C$7*$C$6*4,INDEX(mission!$E$64:$E$78,MATCH(P$25,mission!$D$64:$D$78,0)),0))</f>
        <v>0</v>
      </c>
      <c r="Q120" s="2" cm="1">
        <f t="array" ref="Q120">IF(Q119=0,IF(VLOOKUP(Q$25,mission!$D$64:$F$78,3,FALSE)&lt;=$F$5*60/$C$7*$C$6*4,INDEX(mission!$E$64:$E$78,MATCH(Q$25,mission!$D$64:$D$78,0)),0))</f>
        <v>0</v>
      </c>
      <c r="R120" s="2" cm="1">
        <f t="array" ref="R120">IF(R119=0,IF(VLOOKUP(R$25,mission!$D$64:$F$78,3,FALSE)&lt;=$F$5*60/$C$7*$C$6*4,INDEX(mission!$E$64:$E$78,MATCH(R$25,mission!$D$64:$D$78,0)),0))</f>
        <v>0</v>
      </c>
      <c r="S120" s="2" t="b" cm="1">
        <f t="array" ref="S120">IF(S119=0,IF(VLOOKUP(S$25,mission!$D$64:$F$78,3,FALSE)&lt;=$F$5*60/$C$7*$C$6*$C$4*4,INDEX(mission!$E$64:$E$78,MATCH(S$25,mission!$D$64:$D$78,0)),0))</f>
        <v>0</v>
      </c>
      <c r="T120" s="2" cm="1">
        <f t="array" ref="T120">IF(T119=0,IF(VLOOKUP(T$25,mission!$D$64:$F$78,3,FALSE)&lt;=$F$5*60/$C$7*$C$6*$C$4*4,INDEX(mission!$E$64:$E$78,MATCH(T$25,mission!$D$64:$D$78,0)),0))</f>
        <v>0</v>
      </c>
      <c r="U120" s="2" cm="1">
        <f t="array" ref="U120">IF(U119=0,IF(VLOOKUP(U$25,mission!$D$64:$F$78,3,FALSE)&lt;=$F$5*60/$C$7*$C$6*$C$4*4,INDEX(mission!$E$64:$E$78,MATCH(U$25,mission!$D$64:$D$78,0)),0))</f>
        <v>0</v>
      </c>
      <c r="V120" s="2" cm="1">
        <f t="array" ref="V120">IF(V119=0,IF(VLOOKUP(V$25,mission!$D$64:$F$78,3,FALSE)&lt;=$F$5*60/$C$7*$C$6*$C$4*4,INDEX(mission!$E$64:$E$78,MATCH(V$25,mission!$D$64:$D$78,0)),0))</f>
        <v>0</v>
      </c>
      <c r="W120" s="2" cm="1">
        <f t="array" ref="W120">IF(W119=0,IF(VLOOKUP(W$25,mission!$D$64:$F$78,3,FALSE)&lt;=$F$5*60/$C$7*$C$6*$C$4*4,INDEX(mission!$E$64:$E$78,MATCH(W$25,mission!$D$64:$D$78,0)),0))</f>
        <v>0</v>
      </c>
      <c r="X120" s="2"/>
      <c r="Y120" s="2"/>
      <c r="Z120" s="2"/>
    </row>
    <row r="121" s="1" customFormat="1" ht="18" customHeight="1" spans="2:26">
      <c r="B121" s="2">
        <v>96</v>
      </c>
      <c r="C121" s="2">
        <f t="shared" si="6"/>
        <v>96000</v>
      </c>
      <c r="D121" s="2">
        <f>ROUND($C$8*$C$5+$C$8*$C$4*(1-$L$5),0)</f>
        <v>88</v>
      </c>
      <c r="E121" s="2">
        <f t="shared" si="7"/>
        <v>8448</v>
      </c>
      <c r="F121" s="2">
        <f>ROUND(E121*VLOOKUP($B$10,总产出!$T$4:$U$14,2,FALSE),0)</f>
        <v>1690</v>
      </c>
      <c r="G121" s="2">
        <f t="shared" si="8"/>
        <v>0</v>
      </c>
      <c r="H121" s="2">
        <f t="shared" si="9"/>
        <v>2700</v>
      </c>
      <c r="I121" s="2" t="b" cm="1">
        <f t="array" ref="I121">IF(I120=0,IF(VLOOKUP(I$25,mission!$D$64:$F$78,3,FALSE)&lt;=$F$5*60/$C$7*5,INDEX(mission!$E$64:$E$78,MATCH(I$25,mission!$D$64:$D$78,0)),0))</f>
        <v>0</v>
      </c>
      <c r="J121" s="2" cm="1">
        <f t="array" ref="J121">IF(J120=0,IF(VLOOKUP(J$25,mission!$D$64:$F$78,3,FALSE)&lt;=$F$5*60/$C$7*5,INDEX(mission!$E$64:$E$78,MATCH(J$25,mission!$D$64:$D$78,0)),0))</f>
        <v>0</v>
      </c>
      <c r="K121" s="2" cm="1">
        <f t="array" ref="K121">IF(K120=0,IF(VLOOKUP(K$25,mission!$D$64:$F$78,3,FALSE)&lt;=$F$5*60/$C$7*5,INDEX(mission!$E$64:$E$78,MATCH(K$25,mission!$D$64:$D$78,0)),0))</f>
        <v>0</v>
      </c>
      <c r="L121" s="2" cm="1">
        <f t="array" ref="L121">IF(L120=0,IF(VLOOKUP(L$25,mission!$D$64:$F$78,3,FALSE)&lt;=$F$5*60/$C$7*5,INDEX(mission!$E$64:$E$78,MATCH(L$25,mission!$D$64:$D$78,0)),0))</f>
        <v>0</v>
      </c>
      <c r="M121" s="2" cm="1">
        <f t="array" ref="M121">IF(M120=0,IF(VLOOKUP(M$25,mission!$D$64:$F$78,3,FALSE)&lt;=$F$5*60/$C$7*5,INDEX(mission!$E$64:$E$78,MATCH(M$25,mission!$D$64:$D$78,0)),0))</f>
        <v>0</v>
      </c>
      <c r="N121" s="2" t="b" cm="1">
        <f t="array" ref="N121">IF(N120=0,IF(VLOOKUP(N$25,mission!$D$64:$F$78,3,FALSE)&lt;=$F$5*60/$C$7*$C$6*5,INDEX(mission!$E$64:$E$78,MATCH(N$25,mission!$D$64:$D$78,0)),0))</f>
        <v>0</v>
      </c>
      <c r="O121" s="2" cm="1">
        <f t="array" ref="O121">IF(O120=0,IF(VLOOKUP(O$25,mission!$D$64:$F$78,3,FALSE)&lt;=$F$5*60/$C$7*$C$6*5,INDEX(mission!$E$64:$E$78,MATCH(O$25,mission!$D$64:$D$78,0)),0))</f>
        <v>0</v>
      </c>
      <c r="P121" s="2" cm="1">
        <f t="array" ref="P121">IF(P120=0,IF(VLOOKUP(P$25,mission!$D$64:$F$78,3,FALSE)&lt;=$F$5*60/$C$7*$C$6*5,INDEX(mission!$E$64:$E$78,MATCH(P$25,mission!$D$64:$D$78,0)),0))</f>
        <v>0</v>
      </c>
      <c r="Q121" s="2" cm="1">
        <f t="array" ref="Q121">IF(Q120=0,IF(VLOOKUP(Q$25,mission!$D$64:$F$78,3,FALSE)&lt;=$F$5*60/$C$7*$C$6*5,INDEX(mission!$E$64:$E$78,MATCH(Q$25,mission!$D$64:$D$78,0)),0))</f>
        <v>0</v>
      </c>
      <c r="R121" s="2" cm="1">
        <f t="array" ref="R121">IF(R120=0,IF(VLOOKUP(R$25,mission!$D$64:$F$78,3,FALSE)&lt;=$F$5*60/$C$7*$C$6*5,INDEX(mission!$E$64:$E$78,MATCH(R$25,mission!$D$64:$D$78,0)),0))</f>
        <v>0</v>
      </c>
      <c r="S121" s="2" t="b" cm="1">
        <f t="array" ref="S121">IF(S120=0,IF(VLOOKUP(S$25,mission!$D$64:$F$78,3,FALSE)&lt;=$F$5*60/$C$7*$C$6*$C$4*5,INDEX(mission!$E$64:$E$78,MATCH(S$25,mission!$D$64:$D$78,0)),0))</f>
        <v>0</v>
      </c>
      <c r="T121" s="2" cm="1">
        <f t="array" ref="T121">IF(T120=0,IF(VLOOKUP(T$25,mission!$D$64:$F$78,3,FALSE)&lt;=$F$5*60/$C$7*$C$6*$C$4*5,INDEX(mission!$E$64:$E$78,MATCH(T$25,mission!$D$64:$D$78,0)),0))</f>
        <v>0</v>
      </c>
      <c r="U121" s="2" cm="1">
        <f t="array" ref="U121">IF(U120=0,IF(VLOOKUP(U$25,mission!$D$64:$F$78,3,FALSE)&lt;=$F$5*60/$C$7*$C$6*$C$4*5,INDEX(mission!$E$64:$E$78,MATCH(U$25,mission!$D$64:$D$78,0)),0))</f>
        <v>0</v>
      </c>
      <c r="V121" s="2" cm="1">
        <f t="array" ref="V121">IF(V120=0,IF(VLOOKUP(V$25,mission!$D$64:$F$78,3,FALSE)&lt;=$F$5*60/$C$7*$C$6*$C$4*5,INDEX(mission!$E$64:$E$78,MATCH(V$25,mission!$D$64:$D$78,0)),0))</f>
        <v>0</v>
      </c>
      <c r="W121" s="2" cm="1">
        <f t="array" ref="W121">IF(W120=0,IF(VLOOKUP(W$25,mission!$D$64:$F$78,3,FALSE)&lt;=$F$5*60/$C$7*$C$6*$C$4*5,INDEX(mission!$E$64:$E$78,MATCH(W$25,mission!$D$64:$D$78,0)),0))</f>
        <v>0</v>
      </c>
      <c r="X121" s="2"/>
      <c r="Y121" s="2"/>
      <c r="Z121" s="2"/>
    </row>
    <row r="122" s="1" customFormat="1" ht="18" customHeight="1" spans="2:26">
      <c r="B122" s="2">
        <v>97</v>
      </c>
      <c r="C122" s="2">
        <f t="shared" si="6"/>
        <v>97000</v>
      </c>
      <c r="D122" s="2">
        <f>ROUND($C$8*$C$5+$C$8*$C$4*(1-$L$5),0)</f>
        <v>88</v>
      </c>
      <c r="E122" s="2">
        <f t="shared" si="7"/>
        <v>8536</v>
      </c>
      <c r="F122" s="2">
        <f>ROUND(E122*VLOOKUP($B$10,总产出!$T$4:$U$14,2,FALSE),0)</f>
        <v>1707</v>
      </c>
      <c r="G122" s="2">
        <f t="shared" si="8"/>
        <v>100</v>
      </c>
      <c r="H122" s="2">
        <f t="shared" si="9"/>
        <v>2800</v>
      </c>
      <c r="I122" s="2" t="b" cm="1">
        <f t="array" ref="I122">IF(I121=0,IF(VLOOKUP(I$25,mission!$D$64:$F$78,3,FALSE)&lt;=$F$5*60/$C$7*6,INDEX(mission!$E$64:$E$78,MATCH(I$25,mission!$D$64:$D$78,0)),0))</f>
        <v>0</v>
      </c>
      <c r="J122" s="2" cm="1">
        <f t="array" ref="J122">IF(J121=0,IF(VLOOKUP(J$25,mission!$D$64:$F$78,3,FALSE)&lt;=$F$5*60/$C$7*6,INDEX(mission!$E$64:$E$78,MATCH(J$25,mission!$D$64:$D$78,0)),0))</f>
        <v>25</v>
      </c>
      <c r="K122" s="2" cm="1">
        <f t="array" ref="K122">IF(K121=0,IF(VLOOKUP(K$25,mission!$D$64:$F$78,3,FALSE)&lt;=$F$5*60/$C$7*6,INDEX(mission!$E$64:$E$78,MATCH(K$25,mission!$D$64:$D$78,0)),0))</f>
        <v>0</v>
      </c>
      <c r="L122" s="2" cm="1">
        <f t="array" ref="L122">IF(L121=0,IF(VLOOKUP(L$25,mission!$D$64:$F$78,3,FALSE)&lt;=$F$5*60/$C$7*6,INDEX(mission!$E$64:$E$78,MATCH(L$25,mission!$D$64:$D$78,0)),0))</f>
        <v>0</v>
      </c>
      <c r="M122" s="2" cm="1">
        <f t="array" ref="M122">IF(M121=0,IF(VLOOKUP(M$25,mission!$D$64:$F$78,3,FALSE)&lt;=$F$5*60/$C$7*6,INDEX(mission!$E$64:$E$78,MATCH(M$25,mission!$D$64:$D$78,0)),0))</f>
        <v>0</v>
      </c>
      <c r="N122" s="2" t="b" cm="1">
        <f t="array" ref="N122">IF(N121=0,IF(VLOOKUP(N$25,mission!$D$64:$F$78,3,FALSE)&lt;=$F$5*60/$C$7*$C$6*6,INDEX(mission!$E$64:$E$78,MATCH(N$25,mission!$D$64:$D$78,0)),0))</f>
        <v>0</v>
      </c>
      <c r="O122" s="2" cm="1">
        <f t="array" ref="O122">IF(O121=0,IF(VLOOKUP(O$25,mission!$D$64:$F$78,3,FALSE)&lt;=$F$5*60/$C$7*$C$6*6,INDEX(mission!$E$64:$E$78,MATCH(O$25,mission!$D$64:$D$78,0)),0))</f>
        <v>25</v>
      </c>
      <c r="P122" s="2" cm="1">
        <f t="array" ref="P122">IF(P121=0,IF(VLOOKUP(P$25,mission!$D$64:$F$78,3,FALSE)&lt;=$F$5*60/$C$7*$C$6*6,INDEX(mission!$E$64:$E$78,MATCH(P$25,mission!$D$64:$D$78,0)),0))</f>
        <v>0</v>
      </c>
      <c r="Q122" s="2" cm="1">
        <f t="array" ref="Q122">IF(Q121=0,IF(VLOOKUP(Q$25,mission!$D$64:$F$78,3,FALSE)&lt;=$F$5*60/$C$7*$C$6*6,INDEX(mission!$E$64:$E$78,MATCH(Q$25,mission!$D$64:$D$78,0)),0))</f>
        <v>0</v>
      </c>
      <c r="R122" s="2" cm="1">
        <f t="array" ref="R122">IF(R121=0,IF(VLOOKUP(R$25,mission!$D$64:$F$78,3,FALSE)&lt;=$F$5*60/$C$7*$C$6*6,INDEX(mission!$E$64:$E$78,MATCH(R$25,mission!$D$64:$D$78,0)),0))</f>
        <v>0</v>
      </c>
      <c r="S122" s="2" t="b" cm="1">
        <f t="array" ref="S122">IF(S121=0,IF(VLOOKUP(S$25,mission!$D$64:$F$78,3,FALSE)&lt;=$F$5*60/$C$7*$C$6*$C$4*6,INDEX(mission!$E$64:$E$78,MATCH(S$25,mission!$D$64:$D$78,0)),0))</f>
        <v>0</v>
      </c>
      <c r="T122" s="2" cm="1">
        <f t="array" ref="T122">IF(T121=0,IF(VLOOKUP(T$25,mission!$D$64:$F$78,3,FALSE)&lt;=$F$5*60/$C$7*$C$6*$C$4*6,INDEX(mission!$E$64:$E$78,MATCH(T$25,mission!$D$64:$D$78,0)),0))</f>
        <v>50</v>
      </c>
      <c r="U122" s="2" cm="1">
        <f t="array" ref="U122">IF(U121=0,IF(VLOOKUP(U$25,mission!$D$64:$F$78,3,FALSE)&lt;=$F$5*60/$C$7*$C$6*$C$4*6,INDEX(mission!$E$64:$E$78,MATCH(U$25,mission!$D$64:$D$78,0)),0))</f>
        <v>0</v>
      </c>
      <c r="V122" s="2" cm="1">
        <f t="array" ref="V122">IF(V121=0,IF(VLOOKUP(V$25,mission!$D$64:$F$78,3,FALSE)&lt;=$F$5*60/$C$7*$C$6*$C$4*6,INDEX(mission!$E$64:$E$78,MATCH(V$25,mission!$D$64:$D$78,0)),0))</f>
        <v>0</v>
      </c>
      <c r="W122" s="2" cm="1">
        <f t="array" ref="W122">IF(W121=0,IF(VLOOKUP(W$25,mission!$D$64:$F$78,3,FALSE)&lt;=$F$5*60/$C$7*$C$6*$C$4*6,INDEX(mission!$E$64:$E$78,MATCH(W$25,mission!$D$64:$D$78,0)),0))</f>
        <v>0</v>
      </c>
      <c r="X122" s="2"/>
      <c r="Y122" s="2"/>
      <c r="Z122" s="2"/>
    </row>
    <row r="123" s="10" customFormat="1" ht="18" customHeight="1" spans="2:26">
      <c r="B123" s="10">
        <v>98</v>
      </c>
      <c r="C123" s="10">
        <f t="shared" si="6"/>
        <v>98000</v>
      </c>
      <c r="D123" s="10">
        <f>ROUND($C$8*$C$5+$C$8*$C$4*(1-$L$5),0)</f>
        <v>88</v>
      </c>
      <c r="E123" s="10">
        <f t="shared" si="7"/>
        <v>8624</v>
      </c>
      <c r="F123" s="10">
        <f>ROUND(E123*VLOOKUP($B$10,总产出!$T$4:$U$14,2,FALSE),0)</f>
        <v>1725</v>
      </c>
      <c r="G123" s="10">
        <f t="shared" si="8"/>
        <v>0</v>
      </c>
      <c r="H123" s="10">
        <f t="shared" si="9"/>
        <v>2800</v>
      </c>
      <c r="I123" s="10" t="b" cm="1">
        <f t="array" ref="I123">IF(I122=0,IF(VLOOKUP(I$25,mission!$D$64:$F$78,3,FALSE)&lt;=$F$5*60/$C$7*7,INDEX(mission!$E$64:$E$78,MATCH(I$25,mission!$D$64:$D$78,0)),0))</f>
        <v>0</v>
      </c>
      <c r="J123" s="10" t="b" cm="1">
        <f t="array" ref="J123">IF(J122=0,IF(VLOOKUP(J$25,mission!$D$64:$F$78,3,FALSE)&lt;=$F$5*60/$C$7*7,INDEX(mission!$E$64:$E$78,MATCH(J$25,mission!$D$64:$D$78,0)),0))</f>
        <v>0</v>
      </c>
      <c r="K123" s="10" cm="1">
        <f t="array" ref="K123">IF(K122=0,IF(VLOOKUP(K$25,mission!$D$64:$F$78,3,FALSE)&lt;=$F$5*60/$C$7*7,INDEX(mission!$E$64:$E$78,MATCH(K$25,mission!$D$64:$D$78,0)),0))</f>
        <v>0</v>
      </c>
      <c r="L123" s="10" cm="1">
        <f t="array" ref="L123">IF(L122=0,IF(VLOOKUP(L$25,mission!$D$64:$F$78,3,FALSE)&lt;=$F$5*60/$C$7*7,INDEX(mission!$E$64:$E$78,MATCH(L$25,mission!$D$64:$D$78,0)),0))</f>
        <v>0</v>
      </c>
      <c r="M123" s="10" cm="1">
        <f t="array" ref="M123">IF(M122=0,IF(VLOOKUP(M$25,mission!$D$64:$F$78,3,FALSE)&lt;=$F$5*60/$C$7*7,INDEX(mission!$E$64:$E$78,MATCH(M$25,mission!$D$64:$D$78,0)),0))</f>
        <v>0</v>
      </c>
      <c r="N123" s="10" t="b" cm="1">
        <f t="array" ref="N123">IF(N122=0,IF(VLOOKUP(N$25,mission!$D$64:$F$78,3,FALSE)&lt;=$F$5*60/$C$7*$C$6*7,INDEX(mission!$E$64:$E$78,MATCH(N$25,mission!$D$64:$D$78,0)),0))</f>
        <v>0</v>
      </c>
      <c r="O123" s="10" t="b" cm="1">
        <f t="array" ref="O123">IF(O122=0,IF(VLOOKUP(O$25,mission!$D$64:$F$78,3,FALSE)&lt;=$F$5*60/$C$7*$C$6*7,INDEX(mission!$E$64:$E$78,MATCH(O$25,mission!$D$64:$D$78,0)),0))</f>
        <v>0</v>
      </c>
      <c r="P123" s="10" cm="1">
        <f t="array" ref="P123">IF(P122=0,IF(VLOOKUP(P$25,mission!$D$64:$F$78,3,FALSE)&lt;=$F$5*60/$C$7*$C$6*7,INDEX(mission!$E$64:$E$78,MATCH(P$25,mission!$D$64:$D$78,0)),0))</f>
        <v>0</v>
      </c>
      <c r="Q123" s="10" cm="1">
        <f t="array" ref="Q123">IF(Q122=0,IF(VLOOKUP(Q$25,mission!$D$64:$F$78,3,FALSE)&lt;=$F$5*60/$C$7*$C$6*7,INDEX(mission!$E$64:$E$78,MATCH(Q$25,mission!$D$64:$D$78,0)),0))</f>
        <v>0</v>
      </c>
      <c r="R123" s="10" cm="1">
        <f t="array" ref="R123">IF(R122=0,IF(VLOOKUP(R$25,mission!$D$64:$F$78,3,FALSE)&lt;=$F$5*60/$C$7*$C$6*7,INDEX(mission!$E$64:$E$78,MATCH(R$25,mission!$D$64:$D$78,0)),0))</f>
        <v>0</v>
      </c>
      <c r="S123" s="10" t="b" cm="1">
        <f t="array" ref="S123">IF(S122=0,IF(VLOOKUP(S$25,mission!$D$64:$F$78,3,FALSE)&lt;=$F$5*60/$C$7*$C$6*$C$4*7,INDEX(mission!$E$64:$E$78,MATCH(S$25,mission!$D$64:$D$78,0)),0))</f>
        <v>0</v>
      </c>
      <c r="T123" s="10" t="b" cm="1">
        <f t="array" ref="T123">IF(T122=0,IF(VLOOKUP(T$25,mission!$D$64:$F$78,3,FALSE)&lt;=$F$5*60/$C$7*$C$6*$C$4*7,INDEX(mission!$E$64:$E$78,MATCH(T$25,mission!$D$64:$D$78,0)),0))</f>
        <v>0</v>
      </c>
      <c r="U123" s="10" cm="1">
        <f t="array" ref="U123">IF(U122=0,IF(VLOOKUP(U$25,mission!$D$64:$F$78,3,FALSE)&lt;=$F$5*60/$C$7*$C$6*$C$4*7,INDEX(mission!$E$64:$E$78,MATCH(U$25,mission!$D$64:$D$78,0)),0))</f>
        <v>0</v>
      </c>
      <c r="V123" s="10" cm="1">
        <f t="array" ref="V123">IF(V122=0,IF(VLOOKUP(V$25,mission!$D$64:$F$78,3,FALSE)&lt;=$F$5*60/$C$7*$C$6*$C$4*7,INDEX(mission!$E$64:$E$78,MATCH(V$25,mission!$D$64:$D$78,0)),0))</f>
        <v>0</v>
      </c>
      <c r="W123" s="10" cm="1">
        <f t="array" ref="W123">IF(W122=0,IF(VLOOKUP(W$25,mission!$D$64:$F$78,3,FALSE)&lt;=$F$5*60/$C$7*$C$6*$C$4*7,INDEX(mission!$E$64:$E$78,MATCH(W$25,mission!$D$64:$D$78,0)),0))</f>
        <v>0</v>
      </c>
      <c r="X123" s="2"/>
      <c r="Y123" s="2"/>
      <c r="Z123" s="2"/>
    </row>
    <row r="124" s="1" customFormat="1" ht="18" customHeight="1" spans="2:26">
      <c r="B124" s="2">
        <v>99</v>
      </c>
      <c r="C124" s="2">
        <f t="shared" si="6"/>
        <v>99000</v>
      </c>
      <c r="D124" s="2">
        <f>ROUND($C$8*$C$5+$C$8*$C$4*(1-$L$5),0)</f>
        <v>88</v>
      </c>
      <c r="E124" s="2">
        <f t="shared" si="7"/>
        <v>8712</v>
      </c>
      <c r="F124" s="2">
        <f>ROUND(E124*VLOOKUP($B$10,总产出!$T$4:$U$14,2,FALSE),0)</f>
        <v>1742</v>
      </c>
      <c r="G124" s="2">
        <f t="shared" si="8"/>
        <v>0</v>
      </c>
      <c r="H124" s="2">
        <f t="shared" si="9"/>
        <v>2800</v>
      </c>
      <c r="I124" s="2" cm="1">
        <f t="array" ref="I124">IF(VLOOKUP(I$25,mission!$D$64:$F$78,3,FALSE)&lt;=$F$5*60/$C$7,INDEX(mission!$E$64:$E$78,MATCH(I$25,mission!$D$64:$D$78,0)),0)</f>
        <v>0</v>
      </c>
      <c r="J124" s="2" cm="1">
        <f t="array" ref="J124">IF(VLOOKUP(J$25,mission!$D$64:$F$78,3,FALSE)&lt;=$F$5*60/$C$7,INDEX(mission!$E$64:$E$78,MATCH(J$25,mission!$D$64:$D$78,0)),0)</f>
        <v>0</v>
      </c>
      <c r="K124" s="2" cm="1">
        <f t="array" ref="K124">IF(VLOOKUP(K$25,mission!$D$64:$F$78,3,FALSE)&lt;=$F$5*60/$C$7,INDEX(mission!$E$64:$E$78,MATCH(K$25,mission!$D$64:$D$78,0)),0)</f>
        <v>0</v>
      </c>
      <c r="L124" s="2" cm="1">
        <f t="array" ref="L124">IF(VLOOKUP(L$25,mission!$D$64:$F$78,3,FALSE)&lt;=$F$5*60/$C$7,INDEX(mission!$E$64:$E$78,MATCH(L$25,mission!$D$64:$D$78,0)),0)</f>
        <v>0</v>
      </c>
      <c r="M124" s="2" cm="1">
        <f t="array" ref="M124">IF(VLOOKUP(M$25,mission!$D$64:$F$78,3,FALSE)&lt;=$F$5*60/$C$7,INDEX(mission!$E$64:$E$78,MATCH(M$25,mission!$D$64:$D$78,0)),0)</f>
        <v>0</v>
      </c>
      <c r="N124" s="2" cm="1">
        <f t="array" ref="N124">IF(VLOOKUP(N$25,mission!$D$64:$F$78,3,FALSE)&lt;=$F$5*60/$C$7*$C$6,INDEX(mission!$E$64:$E$78,MATCH(N$25,mission!$D$64:$D$78,0)),0)</f>
        <v>0</v>
      </c>
      <c r="O124" s="2" cm="1">
        <f t="array" ref="O124">IF(VLOOKUP(O$25,mission!$D$64:$F$78,3,FALSE)&lt;=$F$5*60/$C$7*$C$6,INDEX(mission!$E$64:$E$78,MATCH(O$25,mission!$D$64:$D$78,0)),0)</f>
        <v>0</v>
      </c>
      <c r="P124" s="2" cm="1">
        <f t="array" ref="P124">IF(VLOOKUP(P$25,mission!$D$64:$F$78,3,FALSE)&lt;=$F$5*60/$C$7*$C$6,INDEX(mission!$E$64:$E$78,MATCH(P$25,mission!$D$64:$D$78,0)),0)</f>
        <v>0</v>
      </c>
      <c r="Q124" s="2" cm="1">
        <f t="array" ref="Q124">IF(VLOOKUP(Q$25,mission!$D$64:$F$78,3,FALSE)&lt;=$F$5*60/$C$7*$C$6,INDEX(mission!$E$64:$E$78,MATCH(Q$25,mission!$D$64:$D$78,0)),0)</f>
        <v>0</v>
      </c>
      <c r="R124" s="2" cm="1">
        <f t="array" ref="R124">IF(VLOOKUP(R$25,mission!$D$64:$F$78,3,FALSE)&lt;=$F$5*60/$C$7*$C$6,INDEX(mission!$E$64:$E$78,MATCH(R$25,mission!$D$64:$D$78,0)),0)</f>
        <v>0</v>
      </c>
      <c r="S124" s="2" cm="1">
        <f t="array" ref="S124">IF(VLOOKUP(S$25,mission!$D$64:$F$78,3,FALSE)&lt;=$F$5*60/$C$7*$C$6*$C$4,INDEX(mission!$E$64:$E$78,MATCH(S$25,mission!$D$64:$D$78,0)),0)</f>
        <v>0</v>
      </c>
      <c r="T124" s="2" cm="1">
        <f t="array" ref="T124">IF(VLOOKUP(T$25,mission!$D$64:$F$78,3,FALSE)&lt;=$F$5*60/$C$7*$C$6*$C$4,INDEX(mission!$E$64:$E$78,MATCH(T$25,mission!$D$64:$D$78,0)),0)</f>
        <v>0</v>
      </c>
      <c r="U124" s="2" cm="1">
        <f t="array" ref="U124">IF(VLOOKUP(U$25,mission!$D$64:$F$78,3,FALSE)&lt;=$F$5*60/$C$7*$C$6*$C$4,INDEX(mission!$E$64:$E$78,MATCH(U$25,mission!$D$64:$D$78,0)),0)</f>
        <v>0</v>
      </c>
      <c r="V124" s="2" cm="1">
        <f t="array" ref="V124">IF(VLOOKUP(V$25,mission!$D$64:$F$78,3,FALSE)&lt;=$F$5*60/$C$7*$C$6*$C$4,INDEX(mission!$E$64:$E$78,MATCH(V$25,mission!$D$64:$D$78,0)),0)</f>
        <v>0</v>
      </c>
      <c r="W124" s="2" cm="1">
        <f t="array" ref="W124">IF(VLOOKUP(W$25,mission!$D$64:$F$78,3,FALSE)&lt;=$F$5*60/$C$7*$C$6*$C$4,INDEX(mission!$E$64:$E$78,MATCH(W$25,mission!$D$64:$D$78,0)),0)</f>
        <v>0</v>
      </c>
      <c r="X124" s="2"/>
      <c r="Y124" s="2"/>
      <c r="Z124" s="2"/>
    </row>
    <row r="125" s="1" customFormat="1" ht="18" customHeight="1" spans="2:25">
      <c r="B125" s="2">
        <v>100</v>
      </c>
      <c r="C125" s="2">
        <f t="shared" si="6"/>
        <v>100000</v>
      </c>
      <c r="D125" s="2">
        <f>ROUND($C$8*$C$5+$C$8*$C$4*(1-$L$5),0)</f>
        <v>88</v>
      </c>
      <c r="E125" s="2">
        <f t="shared" si="7"/>
        <v>8800</v>
      </c>
      <c r="F125" s="2">
        <f>ROUND(E125*VLOOKUP($B$10,总产出!$T$4:$U$14,2,FALSE),0)</f>
        <v>1760</v>
      </c>
      <c r="G125" s="2">
        <f t="shared" si="8"/>
        <v>0</v>
      </c>
      <c r="H125" s="2">
        <f t="shared" si="9"/>
        <v>2800</v>
      </c>
      <c r="I125" s="2" cm="1">
        <f t="array" ref="I125">IF(I124=0,IF(VLOOKUP(I$25,mission!$D$64:$F$78,3,FALSE)&lt;=$F$5*60/$C$7*2,INDEX(mission!$E$64:$E$78,MATCH(I$25,mission!$D$64:$D$78,0)),0))</f>
        <v>0</v>
      </c>
      <c r="J125" s="2" cm="1">
        <f t="array" ref="J125">IF(J124=0,IF(VLOOKUP(J$25,mission!$D$64:$F$78,3,FALSE)&lt;=$F$5*60/$C$7*2,INDEX(mission!$E$64:$E$78,MATCH(J$25,mission!$D$64:$D$78,0)),0))</f>
        <v>0</v>
      </c>
      <c r="K125" s="2" cm="1">
        <f t="array" ref="K125">IF(K124=0,IF(VLOOKUP(K$25,mission!$D$64:$F$78,3,FALSE)&lt;=$F$5*60/$C$7*2,INDEX(mission!$E$64:$E$78,MATCH(K$25,mission!$D$64:$D$78,0)),0))</f>
        <v>0</v>
      </c>
      <c r="L125" s="2" cm="1">
        <f t="array" ref="L125">IF(L124=0,IF(VLOOKUP(L$25,mission!$D$64:$F$78,3,FALSE)&lt;=$F$5*60/$C$7*2,INDEX(mission!$E$64:$E$78,MATCH(L$25,mission!$D$64:$D$78,0)),0))</f>
        <v>0</v>
      </c>
      <c r="M125" s="2" cm="1">
        <f t="array" ref="M125">IF(M124=0,IF(VLOOKUP(M$25,mission!$D$64:$F$78,3,FALSE)&lt;=$F$5*60/$C$7*2,INDEX(mission!$E$64:$E$78,MATCH(M$25,mission!$D$64:$D$78,0)),0))</f>
        <v>0</v>
      </c>
      <c r="N125" s="2" cm="1">
        <f t="array" ref="N125">IF(N124=0,IF(VLOOKUP(N$25,mission!$D$64:$F$78,3,FALSE)&lt;=$F$5*60/$C$7*$C$6*2,INDEX(mission!$E$64:$E$78,MATCH(N$25,mission!$D$64:$D$78,0)),0))</f>
        <v>0</v>
      </c>
      <c r="O125" s="2" cm="1">
        <f t="array" ref="O125">IF(O124=0,IF(VLOOKUP(O$25,mission!$D$64:$F$78,3,FALSE)&lt;=$F$5*60/$C$7*$C$6*2,INDEX(mission!$E$64:$E$78,MATCH(O$25,mission!$D$64:$D$78,0)),0))</f>
        <v>0</v>
      </c>
      <c r="P125" s="2" cm="1">
        <f t="array" ref="P125">IF(P124=0,IF(VLOOKUP(P$25,mission!$D$64:$F$78,3,FALSE)&lt;=$F$5*60/$C$7*$C$6*2,INDEX(mission!$E$64:$E$78,MATCH(P$25,mission!$D$64:$D$78,0)),0))</f>
        <v>0</v>
      </c>
      <c r="Q125" s="2" cm="1">
        <f t="array" ref="Q125">IF(Q124=0,IF(VLOOKUP(Q$25,mission!$D$64:$F$78,3,FALSE)&lt;=$F$5*60/$C$7*$C$6*2,INDEX(mission!$E$64:$E$78,MATCH(Q$25,mission!$D$64:$D$78,0)),0))</f>
        <v>0</v>
      </c>
      <c r="R125" s="2" cm="1">
        <f t="array" ref="R125">IF(R124=0,IF(VLOOKUP(R$25,mission!$D$64:$F$78,3,FALSE)&lt;=$F$5*60/$C$7*$C$6*2,INDEX(mission!$E$64:$E$78,MATCH(R$25,mission!$D$64:$D$78,0)),0))</f>
        <v>0</v>
      </c>
      <c r="S125" s="2" cm="1">
        <f t="array" ref="S125">IF(S124=0,IF(VLOOKUP(S$25,mission!$D$64:$F$78,3,FALSE)&lt;=$F$5*60/$C$7*$C$6*$C$4*2,INDEX(mission!$E$64:$E$78,MATCH(S$25,mission!$D$64:$D$78,0)),0))</f>
        <v>0</v>
      </c>
      <c r="T125" s="2" cm="1">
        <f t="array" ref="T125">IF(T124=0,IF(VLOOKUP(T$25,mission!$D$64:$F$78,3,FALSE)&lt;=$F$5*60/$C$7*$C$6*$C$4*2,INDEX(mission!$E$64:$E$78,MATCH(T$25,mission!$D$64:$D$78,0)),0))</f>
        <v>0</v>
      </c>
      <c r="U125" s="2" cm="1">
        <f t="array" ref="U125">IF(U124=0,IF(VLOOKUP(U$25,mission!$D$64:$F$78,3,FALSE)&lt;=$F$5*60/$C$7*$C$6*$C$4*2,INDEX(mission!$E$64:$E$78,MATCH(U$25,mission!$D$64:$D$78,0)),0))</f>
        <v>0</v>
      </c>
      <c r="V125" s="2" cm="1">
        <f t="array" ref="V125">IF(V124=0,IF(VLOOKUP(V$25,mission!$D$64:$F$78,3,FALSE)&lt;=$F$5*60/$C$7*$C$6*$C$4*2,INDEX(mission!$E$64:$E$78,MATCH(V$25,mission!$D$64:$D$78,0)),0))</f>
        <v>0</v>
      </c>
      <c r="W125" s="2" cm="1">
        <f t="array" ref="W125">IF(W124=0,IF(VLOOKUP(W$25,mission!$D$64:$F$78,3,FALSE)&lt;=$F$5*60/$C$7*$C$6*$C$4*2,INDEX(mission!$E$64:$E$78,MATCH(W$25,mission!$D$64:$D$78,0)),0))</f>
        <v>0</v>
      </c>
      <c r="X125" s="2"/>
      <c r="Y125" s="2"/>
    </row>
  </sheetData>
  <mergeCells count="3">
    <mergeCell ref="B2:C3"/>
    <mergeCell ref="E2:F3"/>
    <mergeCell ref="K2:L3"/>
  </mergeCells>
  <pageMargins left="0.7" right="0.7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25"/>
  <sheetViews>
    <sheetView workbookViewId="0">
      <pane ySplit="25" topLeftCell="A26" activePane="bottomLeft" state="frozen"/>
      <selection/>
      <selection pane="bottomLeft" activeCell="L13" sqref="L13"/>
    </sheetView>
  </sheetViews>
  <sheetFormatPr defaultColWidth="9" defaultRowHeight="13.5"/>
  <cols>
    <col min="2" max="8" width="18.625" customWidth="1"/>
    <col min="9" max="13" width="15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H2" s="3" t="s">
        <v>2</v>
      </c>
      <c r="I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H3" s="5"/>
      <c r="I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H4" s="11" t="s">
        <v>9</v>
      </c>
      <c r="I4" s="14"/>
      <c r="K4" s="9" t="s">
        <v>10</v>
      </c>
      <c r="L4" s="9">
        <f>总产出!L4</f>
        <v>0.18</v>
      </c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12"/>
      <c r="I5" s="15"/>
      <c r="K5" s="9" t="s">
        <v>16</v>
      </c>
      <c r="L5" s="7">
        <f>总产出!L5</f>
        <v>0.990909090909091</v>
      </c>
    </row>
    <row r="6" s="1" customFormat="1" ht="18" customHeight="1" spans="2:9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  <c r="H6" s="13"/>
      <c r="I6" s="13"/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25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13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550</v>
      </c>
      <c r="H25" s="9" t="s">
        <v>551</v>
      </c>
      <c r="I25" s="9" t="s">
        <v>250</v>
      </c>
      <c r="J25" s="9" t="s">
        <v>251</v>
      </c>
      <c r="K25" s="9" t="s">
        <v>252</v>
      </c>
      <c r="L25" s="9" t="s">
        <v>253</v>
      </c>
      <c r="M25" s="9" t="s">
        <v>254</v>
      </c>
    </row>
    <row r="26" s="2" customFormat="1" ht="18" customHeight="1" spans="2:13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4</v>
      </c>
      <c r="G26" s="2">
        <f t="shared" ref="G26:G89" si="2">SUM(I26:M26)</f>
        <v>6</v>
      </c>
      <c r="H26" s="2">
        <f>G26</f>
        <v>6</v>
      </c>
      <c r="I26" s="2" cm="1">
        <f t="array" ref="I26">ROUND(IF(SUM(mission!$H$46:$H$60)&gt;=chest!$E$25,INDEX(chest!$F$25:$F$29,MATCH(I$25,chest!$D$25:$D$29,0)),0)*(1+$L$4),0)</f>
        <v>6</v>
      </c>
      <c r="J26" s="2" cm="1">
        <f t="array" ref="J26">ROUND(IF(SUM(mission!$H$46:$H$60)&gt;=chest!$E$26,INDEX(chest!$F$25:$F$29,MATCH(J$25,chest!$D$25:$D$29,0)),0)*(1+$L$4),0)</f>
        <v>0</v>
      </c>
      <c r="K26" s="2" cm="1">
        <f t="array" ref="K26">ROUND(IF(SUM(mission!$H$46:$H$60)&gt;=chest!$E$27,INDEX(chest!$F$25:$F$29,MATCH(K$25,chest!$D$25:$D$29,0)),0)*(1+$L$4),0)</f>
        <v>0</v>
      </c>
      <c r="L26" s="2" cm="1">
        <f t="array" ref="L26">ROUND(IF(SUM(mission!$H$46:$H$60)&gt;=chest!$E$28,INDEX(chest!$F$25:$F$29,MATCH(L$25,chest!$D$25:$D$29,0)),0)*(1+$L$4),0)</f>
        <v>0</v>
      </c>
      <c r="M26" s="2" cm="1">
        <f t="array" ref="M26">ROUND(IF(SUM(mission!$H$46:$H$60)&gt;=chest!$E$29,INDEX(chest!$F$25:$F$29,MATCH(M$25,chest!$D$25:$D$29,0)),0)*(1+$L$4),0)</f>
        <v>0</v>
      </c>
    </row>
    <row r="27" s="2" customFormat="1" ht="18" customHeight="1" spans="2:13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9</v>
      </c>
      <c r="G27" s="2">
        <f t="shared" si="2"/>
        <v>6</v>
      </c>
      <c r="H27" s="2">
        <f t="shared" ref="H27:H90" si="3">G27+H26</f>
        <v>12</v>
      </c>
      <c r="I27" s="2" cm="1">
        <f t="array" ref="I27">ROUND(IF(SUM(mission!$H$46:$H$60)&gt;=chest!$E$25,INDEX(chest!$F$25:$F$29,MATCH(I$25,chest!$D$25:$D$29,0)),0)*(1+$L$4),0)</f>
        <v>6</v>
      </c>
      <c r="J27" s="2" cm="1">
        <f t="array" ref="J27">ROUND(IF(SUM(mission!$H$46:$H$60)&gt;=chest!$E$26,INDEX(chest!$F$25:$F$29,MATCH(J$25,chest!$D$25:$D$29,0)),0)*(1+$L$4),0)</f>
        <v>0</v>
      </c>
      <c r="K27" s="2" cm="1">
        <f t="array" ref="K27">ROUND(IF(SUM(mission!$H$46:$H$60)&gt;=chest!$E$27,INDEX(chest!$F$25:$F$29,MATCH(K$25,chest!$D$25:$D$29,0)),0)*(1+$L$4),0)</f>
        <v>0</v>
      </c>
      <c r="L27" s="2" cm="1">
        <f t="array" ref="L27">ROUND(IF(SUM(mission!$H$46:$H$60)&gt;=chest!$E$28,INDEX(chest!$F$25:$F$29,MATCH(L$25,chest!$D$25:$D$29,0)),0)*(1+$L$4),0)</f>
        <v>0</v>
      </c>
      <c r="M27" s="2" cm="1">
        <f t="array" ref="M27">ROUND(IF(SUM(mission!$H$46:$H$60)&gt;=chest!$E$29,INDEX(chest!$F$25:$F$29,MATCH(M$25,chest!$D$25:$D$29,0)),0)*(1+$L$4),0)</f>
        <v>0</v>
      </c>
    </row>
    <row r="28" s="2" customFormat="1" ht="18" customHeight="1" spans="2:13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13</v>
      </c>
      <c r="G28" s="2">
        <f t="shared" si="2"/>
        <v>6</v>
      </c>
      <c r="H28" s="2">
        <f t="shared" si="3"/>
        <v>18</v>
      </c>
      <c r="I28" s="2" cm="1">
        <f t="array" ref="I28">ROUND(IF(SUM(mission!$H$46:$H$60)&gt;=chest!$E$25,INDEX(chest!$F$25:$F$29,MATCH(I$25,chest!$D$25:$D$29,0)),0)*(1+$L$4),0)</f>
        <v>6</v>
      </c>
      <c r="J28" s="2" cm="1">
        <f t="array" ref="J28">ROUND(IF(SUM(mission!$H$46:$H$60)&gt;=chest!$E$26,INDEX(chest!$F$25:$F$29,MATCH(J$25,chest!$D$25:$D$29,0)),0)*(1+$L$4),0)</f>
        <v>0</v>
      </c>
      <c r="K28" s="2" cm="1">
        <f t="array" ref="K28">ROUND(IF(SUM(mission!$H$46:$H$60)&gt;=chest!$E$27,INDEX(chest!$F$25:$F$29,MATCH(K$25,chest!$D$25:$D$29,0)),0)*(1+$L$4),0)</f>
        <v>0</v>
      </c>
      <c r="L28" s="2" cm="1">
        <f t="array" ref="L28">ROUND(IF(SUM(mission!$H$46:$H$60)&gt;=chest!$E$28,INDEX(chest!$F$25:$F$29,MATCH(L$25,chest!$D$25:$D$29,0)),0)*(1+$L$4),0)</f>
        <v>0</v>
      </c>
      <c r="M28" s="2" cm="1">
        <f t="array" ref="M28">ROUND(IF(SUM(mission!$H$46:$H$60)&gt;=chest!$E$29,INDEX(chest!$F$25:$F$29,MATCH(M$25,chest!$D$25:$D$29,0)),0)*(1+$L$4),0)</f>
        <v>0</v>
      </c>
    </row>
    <row r="29" s="2" customFormat="1" ht="18" customHeight="1" spans="2:13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18</v>
      </c>
      <c r="G29" s="2">
        <f t="shared" si="2"/>
        <v>6</v>
      </c>
      <c r="H29" s="2">
        <f t="shared" si="3"/>
        <v>24</v>
      </c>
      <c r="I29" s="2" cm="1">
        <f t="array" ref="I29">ROUND(IF(SUM(mission!$H$46:$H$60)&gt;=chest!$E$25,INDEX(chest!$F$25:$F$29,MATCH(I$25,chest!$D$25:$D$29,0)),0)*(1+$L$4),0)</f>
        <v>6</v>
      </c>
      <c r="J29" s="2" cm="1">
        <f t="array" ref="J29">ROUND(IF(SUM(mission!$H$46:$H$60)&gt;=chest!$E$26,INDEX(chest!$F$25:$F$29,MATCH(J$25,chest!$D$25:$D$29,0)),0)*(1+$L$4),0)</f>
        <v>0</v>
      </c>
      <c r="K29" s="2" cm="1">
        <f t="array" ref="K29">ROUND(IF(SUM(mission!$H$46:$H$60)&gt;=chest!$E$27,INDEX(chest!$F$25:$F$29,MATCH(K$25,chest!$D$25:$D$29,0)),0)*(1+$L$4),0)</f>
        <v>0</v>
      </c>
      <c r="L29" s="2" cm="1">
        <f t="array" ref="L29">ROUND(IF(SUM(mission!$H$46:$H$60)&gt;=chest!$E$28,INDEX(chest!$F$25:$F$29,MATCH(L$25,chest!$D$25:$D$29,0)),0)*(1+$L$4),0)</f>
        <v>0</v>
      </c>
      <c r="M29" s="2" cm="1">
        <f t="array" ref="M29">ROUND(IF(SUM(mission!$H$46:$H$60)&gt;=chest!$E$29,INDEX(chest!$F$25:$F$29,MATCH(M$25,chest!$D$25:$D$29,0)),0)*(1+$L$4),0)</f>
        <v>0</v>
      </c>
    </row>
    <row r="30" s="2" customFormat="1" ht="18" customHeight="1" spans="2:13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22</v>
      </c>
      <c r="G30" s="2">
        <f t="shared" si="2"/>
        <v>6</v>
      </c>
      <c r="H30" s="2">
        <f t="shared" si="3"/>
        <v>30</v>
      </c>
      <c r="I30" s="2" cm="1">
        <f t="array" ref="I30">ROUND(IF(SUM(mission!$H$46:$H$60)&gt;=chest!$E$25,INDEX(chest!$F$25:$F$29,MATCH(I$25,chest!$D$25:$D$29,0)),0)*(1+$L$4),0)</f>
        <v>6</v>
      </c>
      <c r="J30" s="2" cm="1">
        <f t="array" ref="J30">ROUND(IF(SUM(mission!$H$46:$H$60)&gt;=chest!$E$26,INDEX(chest!$F$25:$F$29,MATCH(J$25,chest!$D$25:$D$29,0)),0)*(1+$L$4),0)</f>
        <v>0</v>
      </c>
      <c r="K30" s="2" cm="1">
        <f t="array" ref="K30">ROUND(IF(SUM(mission!$H$46:$H$60)&gt;=chest!$E$27,INDEX(chest!$F$25:$F$29,MATCH(K$25,chest!$D$25:$D$29,0)),0)*(1+$L$4),0)</f>
        <v>0</v>
      </c>
      <c r="L30" s="2" cm="1">
        <f t="array" ref="L30">ROUND(IF(SUM(mission!$H$46:$H$60)&gt;=chest!$E$28,INDEX(chest!$F$25:$F$29,MATCH(L$25,chest!$D$25:$D$29,0)),0)*(1+$L$4),0)</f>
        <v>0</v>
      </c>
      <c r="M30" s="2" cm="1">
        <f t="array" ref="M30">ROUND(IF(SUM(mission!$H$46:$H$60)&gt;=chest!$E$29,INDEX(chest!$F$25:$F$29,MATCH(M$25,chest!$D$25:$D$29,0)),0)*(1+$L$4),0)</f>
        <v>0</v>
      </c>
    </row>
    <row r="31" s="2" customFormat="1" ht="18" customHeight="1" spans="2:13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26</v>
      </c>
      <c r="G31" s="2">
        <f t="shared" si="2"/>
        <v>6</v>
      </c>
      <c r="H31" s="2">
        <f t="shared" si="3"/>
        <v>36</v>
      </c>
      <c r="I31" s="2" cm="1">
        <f t="array" ref="I31">ROUND(IF(SUM(mission!$H$46:$H$60)&gt;=chest!$E$25,INDEX(chest!$F$25:$F$29,MATCH(I$25,chest!$D$25:$D$29,0)),0)*(1+$L$4),0)</f>
        <v>6</v>
      </c>
      <c r="J31" s="2" cm="1">
        <f t="array" ref="J31">ROUND(IF(SUM(mission!$H$46:$H$60)&gt;=chest!$E$26,INDEX(chest!$F$25:$F$29,MATCH(J$25,chest!$D$25:$D$29,0)),0)*(1+$L$4),0)</f>
        <v>0</v>
      </c>
      <c r="K31" s="2" cm="1">
        <f t="array" ref="K31">ROUND(IF(SUM(mission!$H$46:$H$60)&gt;=chest!$E$27,INDEX(chest!$F$25:$F$29,MATCH(K$25,chest!$D$25:$D$29,0)),0)*(1+$L$4),0)</f>
        <v>0</v>
      </c>
      <c r="L31" s="2" cm="1">
        <f t="array" ref="L31">ROUND(IF(SUM(mission!$H$46:$H$60)&gt;=chest!$E$28,INDEX(chest!$F$25:$F$29,MATCH(L$25,chest!$D$25:$D$29,0)),0)*(1+$L$4),0)</f>
        <v>0</v>
      </c>
      <c r="M31" s="2" cm="1">
        <f t="array" ref="M31">ROUND(IF(SUM(mission!$H$46:$H$60)&gt;=chest!$E$29,INDEX(chest!$F$25:$F$29,MATCH(M$25,chest!$D$25:$D$29,0)),0)*(1+$L$4),0)</f>
        <v>0</v>
      </c>
    </row>
    <row r="32" s="2" customFormat="1" ht="18" customHeight="1" spans="2:13">
      <c r="B32" s="2">
        <v>7</v>
      </c>
      <c r="C32" s="2">
        <f t="shared" si="0"/>
        <v>7000</v>
      </c>
      <c r="D32" s="2">
        <f>ROUND($C$8*$C$5+$C$8*$C$4*(1-$L$5),0)</f>
        <v>88</v>
      </c>
      <c r="E32" s="2">
        <f t="shared" si="1"/>
        <v>616</v>
      </c>
      <c r="F32" s="2">
        <f>ROUND(E32*VLOOKUP($B$10,总产出!$T$4:$U$14,2,FALSE),0)</f>
        <v>31</v>
      </c>
      <c r="G32" s="2">
        <f t="shared" si="2"/>
        <v>6</v>
      </c>
      <c r="H32" s="2">
        <f t="shared" si="3"/>
        <v>42</v>
      </c>
      <c r="I32" s="2" cm="1">
        <f t="array" ref="I32">ROUND(IF(SUM(mission!$H$46:$H$60)&gt;=chest!$E$25,INDEX(chest!$F$25:$F$29,MATCH(I$25,chest!$D$25:$D$29,0)),0)*(1+$L$4),0)</f>
        <v>6</v>
      </c>
      <c r="J32" s="2" cm="1">
        <f t="array" ref="J32">ROUND(IF(SUM(mission!$H$46:$H$60)&gt;=chest!$E$26,INDEX(chest!$F$25:$F$29,MATCH(J$25,chest!$D$25:$D$29,0)),0)*(1+$L$4),0)</f>
        <v>0</v>
      </c>
      <c r="K32" s="2" cm="1">
        <f t="array" ref="K32">ROUND(IF(SUM(mission!$H$46:$H$60)&gt;=chest!$E$27,INDEX(chest!$F$25:$F$29,MATCH(K$25,chest!$D$25:$D$29,0)),0)*(1+$L$4),0)</f>
        <v>0</v>
      </c>
      <c r="L32" s="2" cm="1">
        <f t="array" ref="L32">ROUND(IF(SUM(mission!$H$46:$H$60)&gt;=chest!$E$28,INDEX(chest!$F$25:$F$29,MATCH(L$25,chest!$D$25:$D$29,0)),0)*(1+$L$4),0)</f>
        <v>0</v>
      </c>
      <c r="M32" s="2" cm="1">
        <f t="array" ref="M32">ROUND(IF(SUM(mission!$H$46:$H$60)&gt;=chest!$E$29,INDEX(chest!$F$25:$F$29,MATCH(M$25,chest!$D$25:$D$29,0)),0)*(1+$L$4),0)</f>
        <v>0</v>
      </c>
    </row>
    <row r="33" s="2" customFormat="1" ht="18" customHeight="1" spans="2:13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35</v>
      </c>
      <c r="G33" s="2">
        <f t="shared" si="2"/>
        <v>6</v>
      </c>
      <c r="H33" s="2">
        <f t="shared" si="3"/>
        <v>48</v>
      </c>
      <c r="I33" s="2" cm="1">
        <f t="array" ref="I33">ROUND(IF(SUM(mission!$H$46:$H$60)&gt;=chest!$E$25,INDEX(chest!$F$25:$F$29,MATCH(I$25,chest!$D$25:$D$29,0)),0)*(1+$L$4),0)</f>
        <v>6</v>
      </c>
      <c r="J33" s="2" cm="1">
        <f t="array" ref="J33">ROUND(IF(SUM(mission!$H$46:$H$60)&gt;=chest!$E$26,INDEX(chest!$F$25:$F$29,MATCH(J$25,chest!$D$25:$D$29,0)),0)*(1+$L$4),0)</f>
        <v>0</v>
      </c>
      <c r="K33" s="2" cm="1">
        <f t="array" ref="K33">ROUND(IF(SUM(mission!$H$46:$H$60)&gt;=chest!$E$27,INDEX(chest!$F$25:$F$29,MATCH(K$25,chest!$D$25:$D$29,0)),0)*(1+$L$4),0)</f>
        <v>0</v>
      </c>
      <c r="L33" s="2" cm="1">
        <f t="array" ref="L33">ROUND(IF(SUM(mission!$H$46:$H$60)&gt;=chest!$E$28,INDEX(chest!$F$25:$F$29,MATCH(L$25,chest!$D$25:$D$29,0)),0)*(1+$L$4),0)</f>
        <v>0</v>
      </c>
      <c r="M33" s="2" cm="1">
        <f t="array" ref="M33">ROUND(IF(SUM(mission!$H$46:$H$60)&gt;=chest!$E$29,INDEX(chest!$F$25:$F$29,MATCH(M$25,chest!$D$25:$D$29,0)),0)*(1+$L$4),0)</f>
        <v>0</v>
      </c>
    </row>
    <row r="34" s="2" customFormat="1" ht="18" customHeight="1" spans="2:13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40</v>
      </c>
      <c r="G34" s="2">
        <f t="shared" si="2"/>
        <v>6</v>
      </c>
      <c r="H34" s="2">
        <f t="shared" si="3"/>
        <v>54</v>
      </c>
      <c r="I34" s="2" cm="1">
        <f t="array" ref="I34">ROUND(IF(SUM(mission!$H$46:$H$60)&gt;=chest!$E$25,INDEX(chest!$F$25:$F$29,MATCH(I$25,chest!$D$25:$D$29,0)),0)*(1+$L$4),0)</f>
        <v>6</v>
      </c>
      <c r="J34" s="2" cm="1">
        <f t="array" ref="J34">ROUND(IF(SUM(mission!$H$46:$H$60)&gt;=chest!$E$26,INDEX(chest!$F$25:$F$29,MATCH(J$25,chest!$D$25:$D$29,0)),0)*(1+$L$4),0)</f>
        <v>0</v>
      </c>
      <c r="K34" s="2" cm="1">
        <f t="array" ref="K34">ROUND(IF(SUM(mission!$H$46:$H$60)&gt;=chest!$E$27,INDEX(chest!$F$25:$F$29,MATCH(K$25,chest!$D$25:$D$29,0)),0)*(1+$L$4),0)</f>
        <v>0</v>
      </c>
      <c r="L34" s="2" cm="1">
        <f t="array" ref="L34">ROUND(IF(SUM(mission!$H$46:$H$60)&gt;=chest!$E$28,INDEX(chest!$F$25:$F$29,MATCH(L$25,chest!$D$25:$D$29,0)),0)*(1+$L$4),0)</f>
        <v>0</v>
      </c>
      <c r="M34" s="2" cm="1">
        <f t="array" ref="M34">ROUND(IF(SUM(mission!$H$46:$H$60)&gt;=chest!$E$29,INDEX(chest!$F$25:$F$29,MATCH(M$25,chest!$D$25:$D$29,0)),0)*(1+$L$4),0)</f>
        <v>0</v>
      </c>
    </row>
    <row r="35" s="2" customFormat="1" ht="18" customHeight="1" spans="2:13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44</v>
      </c>
      <c r="G35" s="2">
        <f t="shared" si="2"/>
        <v>6</v>
      </c>
      <c r="H35" s="2">
        <f t="shared" si="3"/>
        <v>60</v>
      </c>
      <c r="I35" s="2" cm="1">
        <f t="array" ref="I35">ROUND(IF(SUM(mission!$H$46:$H$60)&gt;=chest!$E$25,INDEX(chest!$F$25:$F$29,MATCH(I$25,chest!$D$25:$D$29,0)),0)*(1+$L$4),0)</f>
        <v>6</v>
      </c>
      <c r="J35" s="2" cm="1">
        <f t="array" ref="J35">ROUND(IF(SUM(mission!$H$46:$H$60)&gt;=chest!$E$26,INDEX(chest!$F$25:$F$29,MATCH(J$25,chest!$D$25:$D$29,0)),0)*(1+$L$4),0)</f>
        <v>0</v>
      </c>
      <c r="K35" s="2" cm="1">
        <f t="array" ref="K35">ROUND(IF(SUM(mission!$H$46:$H$60)&gt;=chest!$E$27,INDEX(chest!$F$25:$F$29,MATCH(K$25,chest!$D$25:$D$29,0)),0)*(1+$L$4),0)</f>
        <v>0</v>
      </c>
      <c r="L35" s="2" cm="1">
        <f t="array" ref="L35">ROUND(IF(SUM(mission!$H$46:$H$60)&gt;=chest!$E$28,INDEX(chest!$F$25:$F$29,MATCH(L$25,chest!$D$25:$D$29,0)),0)*(1+$L$4),0)</f>
        <v>0</v>
      </c>
      <c r="M35" s="2" cm="1">
        <f t="array" ref="M35">ROUND(IF(SUM(mission!$H$46:$H$60)&gt;=chest!$E$29,INDEX(chest!$F$25:$F$29,MATCH(M$25,chest!$D$25:$D$29,0)),0)*(1+$L$4),0)</f>
        <v>0</v>
      </c>
    </row>
    <row r="36" s="2" customFormat="1" ht="18" customHeight="1" spans="2:13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48</v>
      </c>
      <c r="G36" s="2">
        <f t="shared" si="2"/>
        <v>6</v>
      </c>
      <c r="H36" s="2">
        <f t="shared" si="3"/>
        <v>66</v>
      </c>
      <c r="I36" s="2" cm="1">
        <f t="array" ref="I36">ROUND(IF(SUM(mission!$H$46:$H$60)&gt;=chest!$E$25,INDEX(chest!$F$25:$F$29,MATCH(I$25,chest!$D$25:$D$29,0)),0)*(1+$L$4),0)</f>
        <v>6</v>
      </c>
      <c r="J36" s="2" cm="1">
        <f t="array" ref="J36">ROUND(IF(SUM(mission!$H$46:$H$60)&gt;=chest!$E$26,INDEX(chest!$F$25:$F$29,MATCH(J$25,chest!$D$25:$D$29,0)),0)*(1+$L$4),0)</f>
        <v>0</v>
      </c>
      <c r="K36" s="2" cm="1">
        <f t="array" ref="K36">ROUND(IF(SUM(mission!$H$46:$H$60)&gt;=chest!$E$27,INDEX(chest!$F$25:$F$29,MATCH(K$25,chest!$D$25:$D$29,0)),0)*(1+$L$4),0)</f>
        <v>0</v>
      </c>
      <c r="L36" s="2" cm="1">
        <f t="array" ref="L36">ROUND(IF(SUM(mission!$H$46:$H$60)&gt;=chest!$E$28,INDEX(chest!$F$25:$F$29,MATCH(L$25,chest!$D$25:$D$29,0)),0)*(1+$L$4),0)</f>
        <v>0</v>
      </c>
      <c r="M36" s="2" cm="1">
        <f t="array" ref="M36">ROUND(IF(SUM(mission!$H$46:$H$60)&gt;=chest!$E$29,INDEX(chest!$F$25:$F$29,MATCH(M$25,chest!$D$25:$D$29,0)),0)*(1+$L$4),0)</f>
        <v>0</v>
      </c>
    </row>
    <row r="37" s="2" customFormat="1" ht="18" customHeight="1" spans="2:13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53</v>
      </c>
      <c r="G37" s="2">
        <f t="shared" si="2"/>
        <v>6</v>
      </c>
      <c r="H37" s="2">
        <f t="shared" si="3"/>
        <v>72</v>
      </c>
      <c r="I37" s="2" cm="1">
        <f t="array" ref="I37">ROUND(IF(SUM(mission!$H$46:$H$60)&gt;=chest!$E$25,INDEX(chest!$F$25:$F$29,MATCH(I$25,chest!$D$25:$D$29,0)),0)*(1+$L$4),0)</f>
        <v>6</v>
      </c>
      <c r="J37" s="2" cm="1">
        <f t="array" ref="J37">ROUND(IF(SUM(mission!$H$46:$H$60)&gt;=chest!$E$26,INDEX(chest!$F$25:$F$29,MATCH(J$25,chest!$D$25:$D$29,0)),0)*(1+$L$4),0)</f>
        <v>0</v>
      </c>
      <c r="K37" s="2" cm="1">
        <f t="array" ref="K37">ROUND(IF(SUM(mission!$H$46:$H$60)&gt;=chest!$E$27,INDEX(chest!$F$25:$F$29,MATCH(K$25,chest!$D$25:$D$29,0)),0)*(1+$L$4),0)</f>
        <v>0</v>
      </c>
      <c r="L37" s="2" cm="1">
        <f t="array" ref="L37">ROUND(IF(SUM(mission!$H$46:$H$60)&gt;=chest!$E$28,INDEX(chest!$F$25:$F$29,MATCH(L$25,chest!$D$25:$D$29,0)),0)*(1+$L$4),0)</f>
        <v>0</v>
      </c>
      <c r="M37" s="2" cm="1">
        <f t="array" ref="M37">ROUND(IF(SUM(mission!$H$46:$H$60)&gt;=chest!$E$29,INDEX(chest!$F$25:$F$29,MATCH(M$25,chest!$D$25:$D$29,0)),0)*(1+$L$4),0)</f>
        <v>0</v>
      </c>
    </row>
    <row r="38" s="2" customFormat="1" ht="18" customHeight="1" spans="2:13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57</v>
      </c>
      <c r="G38" s="2">
        <f t="shared" si="2"/>
        <v>6</v>
      </c>
      <c r="H38" s="2">
        <f t="shared" si="3"/>
        <v>78</v>
      </c>
      <c r="I38" s="2" cm="1">
        <f t="array" ref="I38">ROUND(IF(SUM(mission!$H$46:$H$60)&gt;=chest!$E$25,INDEX(chest!$F$25:$F$29,MATCH(I$25,chest!$D$25:$D$29,0)),0)*(1+$L$4),0)</f>
        <v>6</v>
      </c>
      <c r="J38" s="2" cm="1">
        <f t="array" ref="J38">ROUND(IF(SUM(mission!$H$46:$H$60)&gt;=chest!$E$26,INDEX(chest!$F$25:$F$29,MATCH(J$25,chest!$D$25:$D$29,0)),0)*(1+$L$4),0)</f>
        <v>0</v>
      </c>
      <c r="K38" s="2" cm="1">
        <f t="array" ref="K38">ROUND(IF(SUM(mission!$H$46:$H$60)&gt;=chest!$E$27,INDEX(chest!$F$25:$F$29,MATCH(K$25,chest!$D$25:$D$29,0)),0)*(1+$L$4),0)</f>
        <v>0</v>
      </c>
      <c r="L38" s="2" cm="1">
        <f t="array" ref="L38">ROUND(IF(SUM(mission!$H$46:$H$60)&gt;=chest!$E$28,INDEX(chest!$F$25:$F$29,MATCH(L$25,chest!$D$25:$D$29,0)),0)*(1+$L$4),0)</f>
        <v>0</v>
      </c>
      <c r="M38" s="2" cm="1">
        <f t="array" ref="M38">ROUND(IF(SUM(mission!$H$46:$H$60)&gt;=chest!$E$29,INDEX(chest!$F$25:$F$29,MATCH(M$25,chest!$D$25:$D$29,0)),0)*(1+$L$4),0)</f>
        <v>0</v>
      </c>
    </row>
    <row r="39" s="2" customFormat="1" ht="18" customHeight="1" spans="2:13">
      <c r="B39" s="2">
        <v>14</v>
      </c>
      <c r="C39" s="2">
        <f t="shared" si="0"/>
        <v>14000</v>
      </c>
      <c r="D39" s="2">
        <f>ROUND($C$8*$C$5+$C$8*$C$4*(1-$L$5),0)</f>
        <v>88</v>
      </c>
      <c r="E39" s="2">
        <f t="shared" si="1"/>
        <v>1232</v>
      </c>
      <c r="F39" s="2">
        <f>ROUND(E39*VLOOKUP($B$10,总产出!$T$4:$U$14,2,FALSE),0)</f>
        <v>62</v>
      </c>
      <c r="G39" s="2">
        <f t="shared" si="2"/>
        <v>6</v>
      </c>
      <c r="H39" s="2">
        <f t="shared" si="3"/>
        <v>84</v>
      </c>
      <c r="I39" s="2" cm="1">
        <f t="array" ref="I39">ROUND(IF(SUM(mission!$H$46:$H$60)&gt;=chest!$E$25,INDEX(chest!$F$25:$F$29,MATCH(I$25,chest!$D$25:$D$29,0)),0)*(1+$L$4),0)</f>
        <v>6</v>
      </c>
      <c r="J39" s="2" cm="1">
        <f t="array" ref="J39">ROUND(IF(SUM(mission!$H$46:$H$60)&gt;=chest!$E$26,INDEX(chest!$F$25:$F$29,MATCH(J$25,chest!$D$25:$D$29,0)),0)*(1+$L$4),0)</f>
        <v>0</v>
      </c>
      <c r="K39" s="2" cm="1">
        <f t="array" ref="K39">ROUND(IF(SUM(mission!$H$46:$H$60)&gt;=chest!$E$27,INDEX(chest!$F$25:$F$29,MATCH(K$25,chest!$D$25:$D$29,0)),0)*(1+$L$4),0)</f>
        <v>0</v>
      </c>
      <c r="L39" s="2" cm="1">
        <f t="array" ref="L39">ROUND(IF(SUM(mission!$H$46:$H$60)&gt;=chest!$E$28,INDEX(chest!$F$25:$F$29,MATCH(L$25,chest!$D$25:$D$29,0)),0)*(1+$L$4),0)</f>
        <v>0</v>
      </c>
      <c r="M39" s="2" cm="1">
        <f t="array" ref="M39">ROUND(IF(SUM(mission!$H$46:$H$60)&gt;=chest!$E$29,INDEX(chest!$F$25:$F$29,MATCH(M$25,chest!$D$25:$D$29,0)),0)*(1+$L$4),0)</f>
        <v>0</v>
      </c>
    </row>
    <row r="40" s="2" customFormat="1" ht="18" customHeight="1" spans="2:13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66</v>
      </c>
      <c r="G40" s="2">
        <f t="shared" si="2"/>
        <v>6</v>
      </c>
      <c r="H40" s="2">
        <f t="shared" si="3"/>
        <v>90</v>
      </c>
      <c r="I40" s="2" cm="1">
        <f t="array" ref="I40">ROUND(IF(SUM(mission!$H$46:$H$60)&gt;=chest!$E$25,INDEX(chest!$F$25:$F$29,MATCH(I$25,chest!$D$25:$D$29,0)),0)*(1+$L$4),0)</f>
        <v>6</v>
      </c>
      <c r="J40" s="2" cm="1">
        <f t="array" ref="J40">ROUND(IF(SUM(mission!$H$46:$H$60)&gt;=chest!$E$26,INDEX(chest!$F$25:$F$29,MATCH(J$25,chest!$D$25:$D$29,0)),0)*(1+$L$4),0)</f>
        <v>0</v>
      </c>
      <c r="K40" s="2" cm="1">
        <f t="array" ref="K40">ROUND(IF(SUM(mission!$H$46:$H$60)&gt;=chest!$E$27,INDEX(chest!$F$25:$F$29,MATCH(K$25,chest!$D$25:$D$29,0)),0)*(1+$L$4),0)</f>
        <v>0</v>
      </c>
      <c r="L40" s="2" cm="1">
        <f t="array" ref="L40">ROUND(IF(SUM(mission!$H$46:$H$60)&gt;=chest!$E$28,INDEX(chest!$F$25:$F$29,MATCH(L$25,chest!$D$25:$D$29,0)),0)*(1+$L$4),0)</f>
        <v>0</v>
      </c>
      <c r="M40" s="2" cm="1">
        <f t="array" ref="M40">ROUND(IF(SUM(mission!$H$46:$H$60)&gt;=chest!$E$29,INDEX(chest!$F$25:$F$29,MATCH(M$25,chest!$D$25:$D$29,0)),0)*(1+$L$4),0)</f>
        <v>0</v>
      </c>
    </row>
    <row r="41" s="2" customFormat="1" ht="18" customHeight="1" spans="2:13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70</v>
      </c>
      <c r="G41" s="2">
        <f t="shared" si="2"/>
        <v>6</v>
      </c>
      <c r="H41" s="2">
        <f t="shared" si="3"/>
        <v>96</v>
      </c>
      <c r="I41" s="2" cm="1">
        <f t="array" ref="I41">ROUND(IF(SUM(mission!$H$46:$H$60)&gt;=chest!$E$25,INDEX(chest!$F$25:$F$29,MATCH(I$25,chest!$D$25:$D$29,0)),0)*(1+$L$4),0)</f>
        <v>6</v>
      </c>
      <c r="J41" s="2" cm="1">
        <f t="array" ref="J41">ROUND(IF(SUM(mission!$H$46:$H$60)&gt;=chest!$E$26,INDEX(chest!$F$25:$F$29,MATCH(J$25,chest!$D$25:$D$29,0)),0)*(1+$L$4),0)</f>
        <v>0</v>
      </c>
      <c r="K41" s="2" cm="1">
        <f t="array" ref="K41">ROUND(IF(SUM(mission!$H$46:$H$60)&gt;=chest!$E$27,INDEX(chest!$F$25:$F$29,MATCH(K$25,chest!$D$25:$D$29,0)),0)*(1+$L$4),0)</f>
        <v>0</v>
      </c>
      <c r="L41" s="2" cm="1">
        <f t="array" ref="L41">ROUND(IF(SUM(mission!$H$46:$H$60)&gt;=chest!$E$28,INDEX(chest!$F$25:$F$29,MATCH(L$25,chest!$D$25:$D$29,0)),0)*(1+$L$4),0)</f>
        <v>0</v>
      </c>
      <c r="M41" s="2" cm="1">
        <f t="array" ref="M41">ROUND(IF(SUM(mission!$H$46:$H$60)&gt;=chest!$E$29,INDEX(chest!$F$25:$F$29,MATCH(M$25,chest!$D$25:$D$29,0)),0)*(1+$L$4),0)</f>
        <v>0</v>
      </c>
    </row>
    <row r="42" s="2" customFormat="1" ht="18" customHeight="1" spans="2:13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75</v>
      </c>
      <c r="G42" s="2">
        <f t="shared" si="2"/>
        <v>6</v>
      </c>
      <c r="H42" s="2">
        <f t="shared" si="3"/>
        <v>102</v>
      </c>
      <c r="I42" s="2" cm="1">
        <f t="array" ref="I42">ROUND(IF(SUM(mission!$H$46:$H$60)&gt;=chest!$E$25,INDEX(chest!$F$25:$F$29,MATCH(I$25,chest!$D$25:$D$29,0)),0)*(1+$L$4),0)</f>
        <v>6</v>
      </c>
      <c r="J42" s="2" cm="1">
        <f t="array" ref="J42">ROUND(IF(SUM(mission!$H$46:$H$60)&gt;=chest!$E$26,INDEX(chest!$F$25:$F$29,MATCH(J$25,chest!$D$25:$D$29,0)),0)*(1+$L$4),0)</f>
        <v>0</v>
      </c>
      <c r="K42" s="2" cm="1">
        <f t="array" ref="K42">ROUND(IF(SUM(mission!$H$46:$H$60)&gt;=chest!$E$27,INDEX(chest!$F$25:$F$29,MATCH(K$25,chest!$D$25:$D$29,0)),0)*(1+$L$4),0)</f>
        <v>0</v>
      </c>
      <c r="L42" s="2" cm="1">
        <f t="array" ref="L42">ROUND(IF(SUM(mission!$H$46:$H$60)&gt;=chest!$E$28,INDEX(chest!$F$25:$F$29,MATCH(L$25,chest!$D$25:$D$29,0)),0)*(1+$L$4),0)</f>
        <v>0</v>
      </c>
      <c r="M42" s="2" cm="1">
        <f t="array" ref="M42">ROUND(IF(SUM(mission!$H$46:$H$60)&gt;=chest!$E$29,INDEX(chest!$F$25:$F$29,MATCH(M$25,chest!$D$25:$D$29,0)),0)*(1+$L$4),0)</f>
        <v>0</v>
      </c>
    </row>
    <row r="43" s="2" customFormat="1" ht="18" customHeight="1" spans="2:13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79</v>
      </c>
      <c r="G43" s="2">
        <f t="shared" si="2"/>
        <v>6</v>
      </c>
      <c r="H43" s="2">
        <f t="shared" si="3"/>
        <v>108</v>
      </c>
      <c r="I43" s="2" cm="1">
        <f t="array" ref="I43">ROUND(IF(SUM(mission!$H$46:$H$60)&gt;=chest!$E$25,INDEX(chest!$F$25:$F$29,MATCH(I$25,chest!$D$25:$D$29,0)),0)*(1+$L$4),0)</f>
        <v>6</v>
      </c>
      <c r="J43" s="2" cm="1">
        <f t="array" ref="J43">ROUND(IF(SUM(mission!$H$46:$H$60)&gt;=chest!$E$26,INDEX(chest!$F$25:$F$29,MATCH(J$25,chest!$D$25:$D$29,0)),0)*(1+$L$4),0)</f>
        <v>0</v>
      </c>
      <c r="K43" s="2" cm="1">
        <f t="array" ref="K43">ROUND(IF(SUM(mission!$H$46:$H$60)&gt;=chest!$E$27,INDEX(chest!$F$25:$F$29,MATCH(K$25,chest!$D$25:$D$29,0)),0)*(1+$L$4),0)</f>
        <v>0</v>
      </c>
      <c r="L43" s="2" cm="1">
        <f t="array" ref="L43">ROUND(IF(SUM(mission!$H$46:$H$60)&gt;=chest!$E$28,INDEX(chest!$F$25:$F$29,MATCH(L$25,chest!$D$25:$D$29,0)),0)*(1+$L$4),0)</f>
        <v>0</v>
      </c>
      <c r="M43" s="2" cm="1">
        <f t="array" ref="M43">ROUND(IF(SUM(mission!$H$46:$H$60)&gt;=chest!$E$29,INDEX(chest!$F$25:$F$29,MATCH(M$25,chest!$D$25:$D$29,0)),0)*(1+$L$4),0)</f>
        <v>0</v>
      </c>
    </row>
    <row r="44" s="2" customFormat="1" ht="18" customHeight="1" spans="2:13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84</v>
      </c>
      <c r="G44" s="2">
        <f t="shared" si="2"/>
        <v>6</v>
      </c>
      <c r="H44" s="2">
        <f t="shared" si="3"/>
        <v>114</v>
      </c>
      <c r="I44" s="2" cm="1">
        <f t="array" ref="I44">ROUND(IF(SUM(mission!$H$46:$H$60)&gt;=chest!$E$25,INDEX(chest!$F$25:$F$29,MATCH(I$25,chest!$D$25:$D$29,0)),0)*(1+$L$4),0)</f>
        <v>6</v>
      </c>
      <c r="J44" s="2" cm="1">
        <f t="array" ref="J44">ROUND(IF(SUM(mission!$H$46:$H$60)&gt;=chest!$E$26,INDEX(chest!$F$25:$F$29,MATCH(J$25,chest!$D$25:$D$29,0)),0)*(1+$L$4),0)</f>
        <v>0</v>
      </c>
      <c r="K44" s="2" cm="1">
        <f t="array" ref="K44">ROUND(IF(SUM(mission!$H$46:$H$60)&gt;=chest!$E$27,INDEX(chest!$F$25:$F$29,MATCH(K$25,chest!$D$25:$D$29,0)),0)*(1+$L$4),0)</f>
        <v>0</v>
      </c>
      <c r="L44" s="2" cm="1">
        <f t="array" ref="L44">ROUND(IF(SUM(mission!$H$46:$H$60)&gt;=chest!$E$28,INDEX(chest!$F$25:$F$29,MATCH(L$25,chest!$D$25:$D$29,0)),0)*(1+$L$4),0)</f>
        <v>0</v>
      </c>
      <c r="M44" s="2" cm="1">
        <f t="array" ref="M44">ROUND(IF(SUM(mission!$H$46:$H$60)&gt;=chest!$E$29,INDEX(chest!$F$25:$F$29,MATCH(M$25,chest!$D$25:$D$29,0)),0)*(1+$L$4),0)</f>
        <v>0</v>
      </c>
    </row>
    <row r="45" s="1" customFormat="1" ht="18" customHeight="1" spans="2:13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88</v>
      </c>
      <c r="G45" s="2">
        <f t="shared" si="2"/>
        <v>6</v>
      </c>
      <c r="H45" s="2">
        <f t="shared" si="3"/>
        <v>120</v>
      </c>
      <c r="I45" s="2" cm="1">
        <f t="array" ref="I45">ROUND(IF(SUM(mission!$H$46:$H$60)&gt;=chest!$E$25,INDEX(chest!$F$25:$F$29,MATCH(I$25,chest!$D$25:$D$29,0)),0)*(1+$L$4),0)</f>
        <v>6</v>
      </c>
      <c r="J45" s="2" cm="1">
        <f t="array" ref="J45">ROUND(IF(SUM(mission!$H$46:$H$60)&gt;=chest!$E$26,INDEX(chest!$F$25:$F$29,MATCH(J$25,chest!$D$25:$D$29,0)),0)*(1+$L$4),0)</f>
        <v>0</v>
      </c>
      <c r="K45" s="2" cm="1">
        <f t="array" ref="K45">ROUND(IF(SUM(mission!$H$46:$H$60)&gt;=chest!$E$27,INDEX(chest!$F$25:$F$29,MATCH(K$25,chest!$D$25:$D$29,0)),0)*(1+$L$4),0)</f>
        <v>0</v>
      </c>
      <c r="L45" s="2" cm="1">
        <f t="array" ref="L45">ROUND(IF(SUM(mission!$H$46:$H$60)&gt;=chest!$E$28,INDEX(chest!$F$25:$F$29,MATCH(L$25,chest!$D$25:$D$29,0)),0)*(1+$L$4),0)</f>
        <v>0</v>
      </c>
      <c r="M45" s="2" cm="1">
        <f t="array" ref="M45">ROUND(IF(SUM(mission!$H$46:$H$60)&gt;=chest!$E$29,INDEX(chest!$F$25:$F$29,MATCH(M$25,chest!$D$25:$D$29,0)),0)*(1+$L$4),0)</f>
        <v>0</v>
      </c>
    </row>
    <row r="46" s="1" customFormat="1" ht="18" customHeight="1" spans="2:13">
      <c r="B46" s="2">
        <v>21</v>
      </c>
      <c r="C46" s="2">
        <f t="shared" si="0"/>
        <v>21000</v>
      </c>
      <c r="D46" s="2">
        <f>ROUND($C$8*$C$5+$C$8*$C$4*(1-$L$5),0)</f>
        <v>88</v>
      </c>
      <c r="E46" s="2">
        <f t="shared" si="1"/>
        <v>1848</v>
      </c>
      <c r="F46" s="2">
        <f>ROUND(E46*VLOOKUP($B$10,总产出!$T$4:$U$14,2,FALSE),0)</f>
        <v>92</v>
      </c>
      <c r="G46" s="2">
        <f t="shared" si="2"/>
        <v>6</v>
      </c>
      <c r="H46" s="2">
        <f t="shared" si="3"/>
        <v>126</v>
      </c>
      <c r="I46" s="2" cm="1">
        <f t="array" ref="I46">ROUND(IF(SUM(mission!$H$46:$H$60)&gt;=chest!$E$25,INDEX(chest!$F$25:$F$29,MATCH(I$25,chest!$D$25:$D$29,0)),0)*(1+$L$4),0)</f>
        <v>6</v>
      </c>
      <c r="J46" s="2" cm="1">
        <f t="array" ref="J46">ROUND(IF(SUM(mission!$H$46:$H$60)&gt;=chest!$E$26,INDEX(chest!$F$25:$F$29,MATCH(J$25,chest!$D$25:$D$29,0)),0)*(1+$L$4),0)</f>
        <v>0</v>
      </c>
      <c r="K46" s="2" cm="1">
        <f t="array" ref="K46">ROUND(IF(SUM(mission!$H$46:$H$60)&gt;=chest!$E$27,INDEX(chest!$F$25:$F$29,MATCH(K$25,chest!$D$25:$D$29,0)),0)*(1+$L$4),0)</f>
        <v>0</v>
      </c>
      <c r="L46" s="2" cm="1">
        <f t="array" ref="L46">ROUND(IF(SUM(mission!$H$46:$H$60)&gt;=chest!$E$28,INDEX(chest!$F$25:$F$29,MATCH(L$25,chest!$D$25:$D$29,0)),0)*(1+$L$4),0)</f>
        <v>0</v>
      </c>
      <c r="M46" s="2" cm="1">
        <f t="array" ref="M46">ROUND(IF(SUM(mission!$H$46:$H$60)&gt;=chest!$E$29,INDEX(chest!$F$25:$F$29,MATCH(M$25,chest!$D$25:$D$29,0)),0)*(1+$L$4),0)</f>
        <v>0</v>
      </c>
    </row>
    <row r="47" s="1" customFormat="1" ht="18" customHeight="1" spans="2:13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97</v>
      </c>
      <c r="G47" s="2">
        <f t="shared" si="2"/>
        <v>6</v>
      </c>
      <c r="H47" s="2">
        <f t="shared" si="3"/>
        <v>132</v>
      </c>
      <c r="I47" s="2" cm="1">
        <f t="array" ref="I47">ROUND(IF(SUM(mission!$H$46:$H$60)&gt;=chest!$E$25,INDEX(chest!$F$25:$F$29,MATCH(I$25,chest!$D$25:$D$29,0)),0)*(1+$L$4),0)</f>
        <v>6</v>
      </c>
      <c r="J47" s="2" cm="1">
        <f t="array" ref="J47">ROUND(IF(SUM(mission!$H$46:$H$60)&gt;=chest!$E$26,INDEX(chest!$F$25:$F$29,MATCH(J$25,chest!$D$25:$D$29,0)),0)*(1+$L$4),0)</f>
        <v>0</v>
      </c>
      <c r="K47" s="2" cm="1">
        <f t="array" ref="K47">ROUND(IF(SUM(mission!$H$46:$H$60)&gt;=chest!$E$27,INDEX(chest!$F$25:$F$29,MATCH(K$25,chest!$D$25:$D$29,0)),0)*(1+$L$4),0)</f>
        <v>0</v>
      </c>
      <c r="L47" s="2" cm="1">
        <f t="array" ref="L47">ROUND(IF(SUM(mission!$H$46:$H$60)&gt;=chest!$E$28,INDEX(chest!$F$25:$F$29,MATCH(L$25,chest!$D$25:$D$29,0)),0)*(1+$L$4),0)</f>
        <v>0</v>
      </c>
      <c r="M47" s="2" cm="1">
        <f t="array" ref="M47">ROUND(IF(SUM(mission!$H$46:$H$60)&gt;=chest!$E$29,INDEX(chest!$F$25:$F$29,MATCH(M$25,chest!$D$25:$D$29,0)),0)*(1+$L$4),0)</f>
        <v>0</v>
      </c>
    </row>
    <row r="48" s="1" customFormat="1" ht="18" customHeight="1" spans="2:13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101</v>
      </c>
      <c r="G48" s="2">
        <f t="shared" si="2"/>
        <v>6</v>
      </c>
      <c r="H48" s="2">
        <f t="shared" si="3"/>
        <v>138</v>
      </c>
      <c r="I48" s="2" cm="1">
        <f t="array" ref="I48">ROUND(IF(SUM(mission!$H$46:$H$60)&gt;=chest!$E$25,INDEX(chest!$F$25:$F$29,MATCH(I$25,chest!$D$25:$D$29,0)),0)*(1+$L$4),0)</f>
        <v>6</v>
      </c>
      <c r="J48" s="2" cm="1">
        <f t="array" ref="J48">ROUND(IF(SUM(mission!$H$46:$H$60)&gt;=chest!$E$26,INDEX(chest!$F$25:$F$29,MATCH(J$25,chest!$D$25:$D$29,0)),0)*(1+$L$4),0)</f>
        <v>0</v>
      </c>
      <c r="K48" s="2" cm="1">
        <f t="array" ref="K48">ROUND(IF(SUM(mission!$H$46:$H$60)&gt;=chest!$E$27,INDEX(chest!$F$25:$F$29,MATCH(K$25,chest!$D$25:$D$29,0)),0)*(1+$L$4),0)</f>
        <v>0</v>
      </c>
      <c r="L48" s="2" cm="1">
        <f t="array" ref="L48">ROUND(IF(SUM(mission!$H$46:$H$60)&gt;=chest!$E$28,INDEX(chest!$F$25:$F$29,MATCH(L$25,chest!$D$25:$D$29,0)),0)*(1+$L$4),0)</f>
        <v>0</v>
      </c>
      <c r="M48" s="2" cm="1">
        <f t="array" ref="M48">ROUND(IF(SUM(mission!$H$46:$H$60)&gt;=chest!$E$29,INDEX(chest!$F$25:$F$29,MATCH(M$25,chest!$D$25:$D$29,0)),0)*(1+$L$4),0)</f>
        <v>0</v>
      </c>
    </row>
    <row r="49" s="1" customFormat="1" ht="18" customHeight="1" spans="2:13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106</v>
      </c>
      <c r="G49" s="2">
        <f t="shared" si="2"/>
        <v>6</v>
      </c>
      <c r="H49" s="2">
        <f t="shared" si="3"/>
        <v>144</v>
      </c>
      <c r="I49" s="2" cm="1">
        <f t="array" ref="I49">ROUND(IF(SUM(mission!$H$46:$H$60)&gt;=chest!$E$25,INDEX(chest!$F$25:$F$29,MATCH(I$25,chest!$D$25:$D$29,0)),0)*(1+$L$4),0)</f>
        <v>6</v>
      </c>
      <c r="J49" s="2" cm="1">
        <f t="array" ref="J49">ROUND(IF(SUM(mission!$H$46:$H$60)&gt;=chest!$E$26,INDEX(chest!$F$25:$F$29,MATCH(J$25,chest!$D$25:$D$29,0)),0)*(1+$L$4),0)</f>
        <v>0</v>
      </c>
      <c r="K49" s="2" cm="1">
        <f t="array" ref="K49">ROUND(IF(SUM(mission!$H$46:$H$60)&gt;=chest!$E$27,INDEX(chest!$F$25:$F$29,MATCH(K$25,chest!$D$25:$D$29,0)),0)*(1+$L$4),0)</f>
        <v>0</v>
      </c>
      <c r="L49" s="2" cm="1">
        <f t="array" ref="L49">ROUND(IF(SUM(mission!$H$46:$H$60)&gt;=chest!$E$28,INDEX(chest!$F$25:$F$29,MATCH(L$25,chest!$D$25:$D$29,0)),0)*(1+$L$4),0)</f>
        <v>0</v>
      </c>
      <c r="M49" s="2" cm="1">
        <f t="array" ref="M49">ROUND(IF(SUM(mission!$H$46:$H$60)&gt;=chest!$E$29,INDEX(chest!$F$25:$F$29,MATCH(M$25,chest!$D$25:$D$29,0)),0)*(1+$L$4),0)</f>
        <v>0</v>
      </c>
    </row>
    <row r="50" s="1" customFormat="1" ht="18" customHeight="1" spans="2:13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110</v>
      </c>
      <c r="G50" s="2">
        <f t="shared" si="2"/>
        <v>6</v>
      </c>
      <c r="H50" s="2">
        <f t="shared" si="3"/>
        <v>150</v>
      </c>
      <c r="I50" s="2" cm="1">
        <f t="array" ref="I50">ROUND(IF(SUM(mission!$H$46:$H$60)&gt;=chest!$E$25,INDEX(chest!$F$25:$F$29,MATCH(I$25,chest!$D$25:$D$29,0)),0)*(1+$L$4),0)</f>
        <v>6</v>
      </c>
      <c r="J50" s="2" cm="1">
        <f t="array" ref="J50">ROUND(IF(SUM(mission!$H$46:$H$60)&gt;=chest!$E$26,INDEX(chest!$F$25:$F$29,MATCH(J$25,chest!$D$25:$D$29,0)),0)*(1+$L$4),0)</f>
        <v>0</v>
      </c>
      <c r="K50" s="2" cm="1">
        <f t="array" ref="K50">ROUND(IF(SUM(mission!$H$46:$H$60)&gt;=chest!$E$27,INDEX(chest!$F$25:$F$29,MATCH(K$25,chest!$D$25:$D$29,0)),0)*(1+$L$4),0)</f>
        <v>0</v>
      </c>
      <c r="L50" s="2" cm="1">
        <f t="array" ref="L50">ROUND(IF(SUM(mission!$H$46:$H$60)&gt;=chest!$E$28,INDEX(chest!$F$25:$F$29,MATCH(L$25,chest!$D$25:$D$29,0)),0)*(1+$L$4),0)</f>
        <v>0</v>
      </c>
      <c r="M50" s="2" cm="1">
        <f t="array" ref="M50">ROUND(IF(SUM(mission!$H$46:$H$60)&gt;=chest!$E$29,INDEX(chest!$F$25:$F$29,MATCH(M$25,chest!$D$25:$D$29,0)),0)*(1+$L$4),0)</f>
        <v>0</v>
      </c>
    </row>
    <row r="51" s="1" customFormat="1" ht="18" customHeight="1" spans="2:13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114</v>
      </c>
      <c r="G51" s="2">
        <f t="shared" si="2"/>
        <v>6</v>
      </c>
      <c r="H51" s="2">
        <f t="shared" si="3"/>
        <v>156</v>
      </c>
      <c r="I51" s="2" cm="1">
        <f t="array" ref="I51">ROUND(IF(SUM(mission!$H$46:$H$60)&gt;=chest!$E$25,INDEX(chest!$F$25:$F$29,MATCH(I$25,chest!$D$25:$D$29,0)),0)*(1+$L$4),0)</f>
        <v>6</v>
      </c>
      <c r="J51" s="2" cm="1">
        <f t="array" ref="J51">ROUND(IF(SUM(mission!$H$46:$H$60)&gt;=chest!$E$26,INDEX(chest!$F$25:$F$29,MATCH(J$25,chest!$D$25:$D$29,0)),0)*(1+$L$4),0)</f>
        <v>0</v>
      </c>
      <c r="K51" s="2" cm="1">
        <f t="array" ref="K51">ROUND(IF(SUM(mission!$H$46:$H$60)&gt;=chest!$E$27,INDEX(chest!$F$25:$F$29,MATCH(K$25,chest!$D$25:$D$29,0)),0)*(1+$L$4),0)</f>
        <v>0</v>
      </c>
      <c r="L51" s="2" cm="1">
        <f t="array" ref="L51">ROUND(IF(SUM(mission!$H$46:$H$60)&gt;=chest!$E$28,INDEX(chest!$F$25:$F$29,MATCH(L$25,chest!$D$25:$D$29,0)),0)*(1+$L$4),0)</f>
        <v>0</v>
      </c>
      <c r="M51" s="2" cm="1">
        <f t="array" ref="M51">ROUND(IF(SUM(mission!$H$46:$H$60)&gt;=chest!$E$29,INDEX(chest!$F$25:$F$29,MATCH(M$25,chest!$D$25:$D$29,0)),0)*(1+$L$4),0)</f>
        <v>0</v>
      </c>
    </row>
    <row r="52" s="1" customFormat="1" ht="18" customHeight="1" spans="2:13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119</v>
      </c>
      <c r="G52" s="2">
        <f t="shared" si="2"/>
        <v>6</v>
      </c>
      <c r="H52" s="2">
        <f t="shared" si="3"/>
        <v>162</v>
      </c>
      <c r="I52" s="2" cm="1">
        <f t="array" ref="I52">ROUND(IF(SUM(mission!$H$46:$H$60)&gt;=chest!$E$25,INDEX(chest!$F$25:$F$29,MATCH(I$25,chest!$D$25:$D$29,0)),0)*(1+$L$4),0)</f>
        <v>6</v>
      </c>
      <c r="J52" s="2" cm="1">
        <f t="array" ref="J52">ROUND(IF(SUM(mission!$H$46:$H$60)&gt;=chest!$E$26,INDEX(chest!$F$25:$F$29,MATCH(J$25,chest!$D$25:$D$29,0)),0)*(1+$L$4),0)</f>
        <v>0</v>
      </c>
      <c r="K52" s="2" cm="1">
        <f t="array" ref="K52">ROUND(IF(SUM(mission!$H$46:$H$60)&gt;=chest!$E$27,INDEX(chest!$F$25:$F$29,MATCH(K$25,chest!$D$25:$D$29,0)),0)*(1+$L$4),0)</f>
        <v>0</v>
      </c>
      <c r="L52" s="2" cm="1">
        <f t="array" ref="L52">ROUND(IF(SUM(mission!$H$46:$H$60)&gt;=chest!$E$28,INDEX(chest!$F$25:$F$29,MATCH(L$25,chest!$D$25:$D$29,0)),0)*(1+$L$4),0)</f>
        <v>0</v>
      </c>
      <c r="M52" s="2" cm="1">
        <f t="array" ref="M52">ROUND(IF(SUM(mission!$H$46:$H$60)&gt;=chest!$E$29,INDEX(chest!$F$25:$F$29,MATCH(M$25,chest!$D$25:$D$29,0)),0)*(1+$L$4),0)</f>
        <v>0</v>
      </c>
    </row>
    <row r="53" s="1" customFormat="1" ht="18" customHeight="1" spans="2:13">
      <c r="B53" s="2">
        <v>28</v>
      </c>
      <c r="C53" s="2">
        <f t="shared" si="0"/>
        <v>28000</v>
      </c>
      <c r="D53" s="2">
        <f>ROUND($C$8*$C$5+$C$8*$C$4*(1-$L$5),0)</f>
        <v>88</v>
      </c>
      <c r="E53" s="2">
        <f t="shared" si="1"/>
        <v>2464</v>
      </c>
      <c r="F53" s="2">
        <f>ROUND(E53*VLOOKUP($B$10,总产出!$T$4:$U$14,2,FALSE),0)</f>
        <v>123</v>
      </c>
      <c r="G53" s="2">
        <f t="shared" si="2"/>
        <v>6</v>
      </c>
      <c r="H53" s="2">
        <f t="shared" si="3"/>
        <v>168</v>
      </c>
      <c r="I53" s="2" cm="1">
        <f t="array" ref="I53">ROUND(IF(SUM(mission!$H$46:$H$60)&gt;=chest!$E$25,INDEX(chest!$F$25:$F$29,MATCH(I$25,chest!$D$25:$D$29,0)),0)*(1+$L$4),0)</f>
        <v>6</v>
      </c>
      <c r="J53" s="2" cm="1">
        <f t="array" ref="J53">ROUND(IF(SUM(mission!$H$46:$H$60)&gt;=chest!$E$26,INDEX(chest!$F$25:$F$29,MATCH(J$25,chest!$D$25:$D$29,0)),0)*(1+$L$4),0)</f>
        <v>0</v>
      </c>
      <c r="K53" s="2" cm="1">
        <f t="array" ref="K53">ROUND(IF(SUM(mission!$H$46:$H$60)&gt;=chest!$E$27,INDEX(chest!$F$25:$F$29,MATCH(K$25,chest!$D$25:$D$29,0)),0)*(1+$L$4),0)</f>
        <v>0</v>
      </c>
      <c r="L53" s="2" cm="1">
        <f t="array" ref="L53">ROUND(IF(SUM(mission!$H$46:$H$60)&gt;=chest!$E$28,INDEX(chest!$F$25:$F$29,MATCH(L$25,chest!$D$25:$D$29,0)),0)*(1+$L$4),0)</f>
        <v>0</v>
      </c>
      <c r="M53" s="2" cm="1">
        <f t="array" ref="M53">ROUND(IF(SUM(mission!$H$46:$H$60)&gt;=chest!$E$29,INDEX(chest!$F$25:$F$29,MATCH(M$25,chest!$D$25:$D$29,0)),0)*(1+$L$4),0)</f>
        <v>0</v>
      </c>
    </row>
    <row r="54" s="1" customFormat="1" ht="18" customHeight="1" spans="2:13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128</v>
      </c>
      <c r="G54" s="2">
        <f t="shared" si="2"/>
        <v>6</v>
      </c>
      <c r="H54" s="2">
        <f t="shared" si="3"/>
        <v>174</v>
      </c>
      <c r="I54" s="2" cm="1">
        <f t="array" ref="I54">ROUND(IF(SUM(mission!$H$46:$H$60)&gt;=chest!$E$25,INDEX(chest!$F$25:$F$29,MATCH(I$25,chest!$D$25:$D$29,0)),0)*(1+$L$4),0)</f>
        <v>6</v>
      </c>
      <c r="J54" s="2" cm="1">
        <f t="array" ref="J54">ROUND(IF(SUM(mission!$H$46:$H$60)&gt;=chest!$E$26,INDEX(chest!$F$25:$F$29,MATCH(J$25,chest!$D$25:$D$29,0)),0)*(1+$L$4),0)</f>
        <v>0</v>
      </c>
      <c r="K54" s="2" cm="1">
        <f t="array" ref="K54">ROUND(IF(SUM(mission!$H$46:$H$60)&gt;=chest!$E$27,INDEX(chest!$F$25:$F$29,MATCH(K$25,chest!$D$25:$D$29,0)),0)*(1+$L$4),0)</f>
        <v>0</v>
      </c>
      <c r="L54" s="2" cm="1">
        <f t="array" ref="L54">ROUND(IF(SUM(mission!$H$46:$H$60)&gt;=chest!$E$28,INDEX(chest!$F$25:$F$29,MATCH(L$25,chest!$D$25:$D$29,0)),0)*(1+$L$4),0)</f>
        <v>0</v>
      </c>
      <c r="M54" s="2" cm="1">
        <f t="array" ref="M54">ROUND(IF(SUM(mission!$H$46:$H$60)&gt;=chest!$E$29,INDEX(chest!$F$25:$F$29,MATCH(M$25,chest!$D$25:$D$29,0)),0)*(1+$L$4),0)</f>
        <v>0</v>
      </c>
    </row>
    <row r="55" s="1" customFormat="1" ht="18" customHeight="1" spans="2:13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132</v>
      </c>
      <c r="G55" s="2">
        <f t="shared" si="2"/>
        <v>6</v>
      </c>
      <c r="H55" s="2">
        <f t="shared" si="3"/>
        <v>180</v>
      </c>
      <c r="I55" s="2" cm="1">
        <f t="array" ref="I55">ROUND(IF(SUM(mission!$H$46:$H$60)&gt;=chest!$E$25,INDEX(chest!$F$25:$F$29,MATCH(I$25,chest!$D$25:$D$29,0)),0)*(1+$L$4),0)</f>
        <v>6</v>
      </c>
      <c r="J55" s="2" cm="1">
        <f t="array" ref="J55">ROUND(IF(SUM(mission!$H$46:$H$60)&gt;=chest!$E$26,INDEX(chest!$F$25:$F$29,MATCH(J$25,chest!$D$25:$D$29,0)),0)*(1+$L$4),0)</f>
        <v>0</v>
      </c>
      <c r="K55" s="2" cm="1">
        <f t="array" ref="K55">ROUND(IF(SUM(mission!$H$46:$H$60)&gt;=chest!$E$27,INDEX(chest!$F$25:$F$29,MATCH(K$25,chest!$D$25:$D$29,0)),0)*(1+$L$4),0)</f>
        <v>0</v>
      </c>
      <c r="L55" s="2" cm="1">
        <f t="array" ref="L55">ROUND(IF(SUM(mission!$H$46:$H$60)&gt;=chest!$E$28,INDEX(chest!$F$25:$F$29,MATCH(L$25,chest!$D$25:$D$29,0)),0)*(1+$L$4),0)</f>
        <v>0</v>
      </c>
      <c r="M55" s="2" cm="1">
        <f t="array" ref="M55">ROUND(IF(SUM(mission!$H$46:$H$60)&gt;=chest!$E$29,INDEX(chest!$F$25:$F$29,MATCH(M$25,chest!$D$25:$D$29,0)),0)*(1+$L$4),0)</f>
        <v>0</v>
      </c>
    </row>
    <row r="56" s="1" customFormat="1" ht="18" customHeight="1" spans="2:13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136</v>
      </c>
      <c r="G56" s="2">
        <f t="shared" si="2"/>
        <v>6</v>
      </c>
      <c r="H56" s="2">
        <f t="shared" si="3"/>
        <v>186</v>
      </c>
      <c r="I56" s="2" cm="1">
        <f t="array" ref="I56">ROUND(IF(SUM(mission!$H$46:$H$60)&gt;=chest!$E$25,INDEX(chest!$F$25:$F$29,MATCH(I$25,chest!$D$25:$D$29,0)),0)*(1+$L$4),0)</f>
        <v>6</v>
      </c>
      <c r="J56" s="2" cm="1">
        <f t="array" ref="J56">ROUND(IF(SUM(mission!$H$46:$H$60)&gt;=chest!$E$26,INDEX(chest!$F$25:$F$29,MATCH(J$25,chest!$D$25:$D$29,0)),0)*(1+$L$4),0)</f>
        <v>0</v>
      </c>
      <c r="K56" s="2" cm="1">
        <f t="array" ref="K56">ROUND(IF(SUM(mission!$H$46:$H$60)&gt;=chest!$E$27,INDEX(chest!$F$25:$F$29,MATCH(K$25,chest!$D$25:$D$29,0)),0)*(1+$L$4),0)</f>
        <v>0</v>
      </c>
      <c r="L56" s="2" cm="1">
        <f t="array" ref="L56">ROUND(IF(SUM(mission!$H$46:$H$60)&gt;=chest!$E$28,INDEX(chest!$F$25:$F$29,MATCH(L$25,chest!$D$25:$D$29,0)),0)*(1+$L$4),0)</f>
        <v>0</v>
      </c>
      <c r="M56" s="2" cm="1">
        <f t="array" ref="M56">ROUND(IF(SUM(mission!$H$46:$H$60)&gt;=chest!$E$29,INDEX(chest!$F$25:$F$29,MATCH(M$25,chest!$D$25:$D$29,0)),0)*(1+$L$4),0)</f>
        <v>0</v>
      </c>
    </row>
    <row r="57" s="1" customFormat="1" ht="18" customHeight="1" spans="2:13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141</v>
      </c>
      <c r="G57" s="2">
        <f t="shared" si="2"/>
        <v>6</v>
      </c>
      <c r="H57" s="2">
        <f t="shared" si="3"/>
        <v>192</v>
      </c>
      <c r="I57" s="2" cm="1">
        <f t="array" ref="I57">ROUND(IF(SUM(mission!$H$46:$H$60)&gt;=chest!$E$25,INDEX(chest!$F$25:$F$29,MATCH(I$25,chest!$D$25:$D$29,0)),0)*(1+$L$4),0)</f>
        <v>6</v>
      </c>
      <c r="J57" s="2" cm="1">
        <f t="array" ref="J57">ROUND(IF(SUM(mission!$H$46:$H$60)&gt;=chest!$E$26,INDEX(chest!$F$25:$F$29,MATCH(J$25,chest!$D$25:$D$29,0)),0)*(1+$L$4),0)</f>
        <v>0</v>
      </c>
      <c r="K57" s="2" cm="1">
        <f t="array" ref="K57">ROUND(IF(SUM(mission!$H$46:$H$60)&gt;=chest!$E$27,INDEX(chest!$F$25:$F$29,MATCH(K$25,chest!$D$25:$D$29,0)),0)*(1+$L$4),0)</f>
        <v>0</v>
      </c>
      <c r="L57" s="2" cm="1">
        <f t="array" ref="L57">ROUND(IF(SUM(mission!$H$46:$H$60)&gt;=chest!$E$28,INDEX(chest!$F$25:$F$29,MATCH(L$25,chest!$D$25:$D$29,0)),0)*(1+$L$4),0)</f>
        <v>0</v>
      </c>
      <c r="M57" s="2" cm="1">
        <f t="array" ref="M57">ROUND(IF(SUM(mission!$H$46:$H$60)&gt;=chest!$E$29,INDEX(chest!$F$25:$F$29,MATCH(M$25,chest!$D$25:$D$29,0)),0)*(1+$L$4),0)</f>
        <v>0</v>
      </c>
    </row>
    <row r="58" s="1" customFormat="1" ht="18" customHeight="1" spans="2:13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145</v>
      </c>
      <c r="G58" s="2">
        <f t="shared" si="2"/>
        <v>6</v>
      </c>
      <c r="H58" s="2">
        <f t="shared" si="3"/>
        <v>198</v>
      </c>
      <c r="I58" s="2" cm="1">
        <f t="array" ref="I58">ROUND(IF(SUM(mission!$H$46:$H$60)&gt;=chest!$E$25,INDEX(chest!$F$25:$F$29,MATCH(I$25,chest!$D$25:$D$29,0)),0)*(1+$L$4),0)</f>
        <v>6</v>
      </c>
      <c r="J58" s="2" cm="1">
        <f t="array" ref="J58">ROUND(IF(SUM(mission!$H$46:$H$60)&gt;=chest!$E$26,INDEX(chest!$F$25:$F$29,MATCH(J$25,chest!$D$25:$D$29,0)),0)*(1+$L$4),0)</f>
        <v>0</v>
      </c>
      <c r="K58" s="2" cm="1">
        <f t="array" ref="K58">ROUND(IF(SUM(mission!$H$46:$H$60)&gt;=chest!$E$27,INDEX(chest!$F$25:$F$29,MATCH(K$25,chest!$D$25:$D$29,0)),0)*(1+$L$4),0)</f>
        <v>0</v>
      </c>
      <c r="L58" s="2" cm="1">
        <f t="array" ref="L58">ROUND(IF(SUM(mission!$H$46:$H$60)&gt;=chest!$E$28,INDEX(chest!$F$25:$F$29,MATCH(L$25,chest!$D$25:$D$29,0)),0)*(1+$L$4),0)</f>
        <v>0</v>
      </c>
      <c r="M58" s="2" cm="1">
        <f t="array" ref="M58">ROUND(IF(SUM(mission!$H$46:$H$60)&gt;=chest!$E$29,INDEX(chest!$F$25:$F$29,MATCH(M$25,chest!$D$25:$D$29,0)),0)*(1+$L$4),0)</f>
        <v>0</v>
      </c>
    </row>
    <row r="59" s="1" customFormat="1" ht="18" customHeight="1" spans="2:13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150</v>
      </c>
      <c r="G59" s="2">
        <f t="shared" si="2"/>
        <v>6</v>
      </c>
      <c r="H59" s="2">
        <f t="shared" si="3"/>
        <v>204</v>
      </c>
      <c r="I59" s="2" cm="1">
        <f t="array" ref="I59">ROUND(IF(SUM(mission!$H$46:$H$60)&gt;=chest!$E$25,INDEX(chest!$F$25:$F$29,MATCH(I$25,chest!$D$25:$D$29,0)),0)*(1+$L$4),0)</f>
        <v>6</v>
      </c>
      <c r="J59" s="2" cm="1">
        <f t="array" ref="J59">ROUND(IF(SUM(mission!$H$46:$H$60)&gt;=chest!$E$26,INDEX(chest!$F$25:$F$29,MATCH(J$25,chest!$D$25:$D$29,0)),0)*(1+$L$4),0)</f>
        <v>0</v>
      </c>
      <c r="K59" s="2" cm="1">
        <f t="array" ref="K59">ROUND(IF(SUM(mission!$H$46:$H$60)&gt;=chest!$E$27,INDEX(chest!$F$25:$F$29,MATCH(K$25,chest!$D$25:$D$29,0)),0)*(1+$L$4),0)</f>
        <v>0</v>
      </c>
      <c r="L59" s="2" cm="1">
        <f t="array" ref="L59">ROUND(IF(SUM(mission!$H$46:$H$60)&gt;=chest!$E$28,INDEX(chest!$F$25:$F$29,MATCH(L$25,chest!$D$25:$D$29,0)),0)*(1+$L$4),0)</f>
        <v>0</v>
      </c>
      <c r="M59" s="2" cm="1">
        <f t="array" ref="M59">ROUND(IF(SUM(mission!$H$46:$H$60)&gt;=chest!$E$29,INDEX(chest!$F$25:$F$29,MATCH(M$25,chest!$D$25:$D$29,0)),0)*(1+$L$4),0)</f>
        <v>0</v>
      </c>
    </row>
    <row r="60" s="1" customFormat="1" ht="18" customHeight="1" spans="2:13">
      <c r="B60" s="2">
        <v>35</v>
      </c>
      <c r="C60" s="2">
        <f t="shared" si="0"/>
        <v>35000</v>
      </c>
      <c r="D60" s="2">
        <f>ROUND($C$8*$C$5+$C$8*$C$4*(1-$L$5),0)</f>
        <v>88</v>
      </c>
      <c r="E60" s="2">
        <f t="shared" si="1"/>
        <v>3080</v>
      </c>
      <c r="F60" s="2">
        <f>ROUND(E60*VLOOKUP($B$10,总产出!$T$4:$U$14,2,FALSE),0)</f>
        <v>154</v>
      </c>
      <c r="G60" s="2">
        <f t="shared" si="2"/>
        <v>6</v>
      </c>
      <c r="H60" s="2">
        <f t="shared" si="3"/>
        <v>210</v>
      </c>
      <c r="I60" s="2" cm="1">
        <f t="array" ref="I60">ROUND(IF(SUM(mission!$H$46:$H$60)&gt;=chest!$E$25,INDEX(chest!$F$25:$F$29,MATCH(I$25,chest!$D$25:$D$29,0)),0)*(1+$L$4),0)</f>
        <v>6</v>
      </c>
      <c r="J60" s="2" cm="1">
        <f t="array" ref="J60">ROUND(IF(SUM(mission!$H$46:$H$60)&gt;=chest!$E$26,INDEX(chest!$F$25:$F$29,MATCH(J$25,chest!$D$25:$D$29,0)),0)*(1+$L$4),0)</f>
        <v>0</v>
      </c>
      <c r="K60" s="2" cm="1">
        <f t="array" ref="K60">ROUND(IF(SUM(mission!$H$46:$H$60)&gt;=chest!$E$27,INDEX(chest!$F$25:$F$29,MATCH(K$25,chest!$D$25:$D$29,0)),0)*(1+$L$4),0)</f>
        <v>0</v>
      </c>
      <c r="L60" s="2" cm="1">
        <f t="array" ref="L60">ROUND(IF(SUM(mission!$H$46:$H$60)&gt;=chest!$E$28,INDEX(chest!$F$25:$F$29,MATCH(L$25,chest!$D$25:$D$29,0)),0)*(1+$L$4),0)</f>
        <v>0</v>
      </c>
      <c r="M60" s="2" cm="1">
        <f t="array" ref="M60">ROUND(IF(SUM(mission!$H$46:$H$60)&gt;=chest!$E$29,INDEX(chest!$F$25:$F$29,MATCH(M$25,chest!$D$25:$D$29,0)),0)*(1+$L$4),0)</f>
        <v>0</v>
      </c>
    </row>
    <row r="61" s="1" customFormat="1" ht="18" customHeight="1" spans="2:13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158</v>
      </c>
      <c r="G61" s="2">
        <f t="shared" si="2"/>
        <v>6</v>
      </c>
      <c r="H61" s="2">
        <f t="shared" si="3"/>
        <v>216</v>
      </c>
      <c r="I61" s="2" cm="1">
        <f t="array" ref="I61">ROUND(IF(SUM(mission!$H$46:$H$60)&gt;=chest!$E$25,INDEX(chest!$F$25:$F$29,MATCH(I$25,chest!$D$25:$D$29,0)),0)*(1+$L$4),0)</f>
        <v>6</v>
      </c>
      <c r="J61" s="2" cm="1">
        <f t="array" ref="J61">ROUND(IF(SUM(mission!$H$46:$H$60)&gt;=chest!$E$26,INDEX(chest!$F$25:$F$29,MATCH(J$25,chest!$D$25:$D$29,0)),0)*(1+$L$4),0)</f>
        <v>0</v>
      </c>
      <c r="K61" s="2" cm="1">
        <f t="array" ref="K61">ROUND(IF(SUM(mission!$H$46:$H$60)&gt;=chest!$E$27,INDEX(chest!$F$25:$F$29,MATCH(K$25,chest!$D$25:$D$29,0)),0)*(1+$L$4),0)</f>
        <v>0</v>
      </c>
      <c r="L61" s="2" cm="1">
        <f t="array" ref="L61">ROUND(IF(SUM(mission!$H$46:$H$60)&gt;=chest!$E$28,INDEX(chest!$F$25:$F$29,MATCH(L$25,chest!$D$25:$D$29,0)),0)*(1+$L$4),0)</f>
        <v>0</v>
      </c>
      <c r="M61" s="2" cm="1">
        <f t="array" ref="M61">ROUND(IF(SUM(mission!$H$46:$H$60)&gt;=chest!$E$29,INDEX(chest!$F$25:$F$29,MATCH(M$25,chest!$D$25:$D$29,0)),0)*(1+$L$4),0)</f>
        <v>0</v>
      </c>
    </row>
    <row r="62" s="1" customFormat="1" ht="18" customHeight="1" spans="2:13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163</v>
      </c>
      <c r="G62" s="2">
        <f t="shared" si="2"/>
        <v>6</v>
      </c>
      <c r="H62" s="2">
        <f t="shared" si="3"/>
        <v>222</v>
      </c>
      <c r="I62" s="2" cm="1">
        <f t="array" ref="I62">ROUND(IF(SUM(mission!$H$46:$H$60)&gt;=chest!$E$25,INDEX(chest!$F$25:$F$29,MATCH(I$25,chest!$D$25:$D$29,0)),0)*(1+$L$4),0)</f>
        <v>6</v>
      </c>
      <c r="J62" s="2" cm="1">
        <f t="array" ref="J62">ROUND(IF(SUM(mission!$H$46:$H$60)&gt;=chest!$E$26,INDEX(chest!$F$25:$F$29,MATCH(J$25,chest!$D$25:$D$29,0)),0)*(1+$L$4),0)</f>
        <v>0</v>
      </c>
      <c r="K62" s="2" cm="1">
        <f t="array" ref="K62">ROUND(IF(SUM(mission!$H$46:$H$60)&gt;=chest!$E$27,INDEX(chest!$F$25:$F$29,MATCH(K$25,chest!$D$25:$D$29,0)),0)*(1+$L$4),0)</f>
        <v>0</v>
      </c>
      <c r="L62" s="2" cm="1">
        <f t="array" ref="L62">ROUND(IF(SUM(mission!$H$46:$H$60)&gt;=chest!$E$28,INDEX(chest!$F$25:$F$29,MATCH(L$25,chest!$D$25:$D$29,0)),0)*(1+$L$4),0)</f>
        <v>0</v>
      </c>
      <c r="M62" s="2" cm="1">
        <f t="array" ref="M62">ROUND(IF(SUM(mission!$H$46:$H$60)&gt;=chest!$E$29,INDEX(chest!$F$25:$F$29,MATCH(M$25,chest!$D$25:$D$29,0)),0)*(1+$L$4),0)</f>
        <v>0</v>
      </c>
    </row>
    <row r="63" s="1" customFormat="1" ht="18" customHeight="1" spans="2:13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167</v>
      </c>
      <c r="G63" s="2">
        <f t="shared" si="2"/>
        <v>6</v>
      </c>
      <c r="H63" s="2">
        <f t="shared" si="3"/>
        <v>228</v>
      </c>
      <c r="I63" s="2" cm="1">
        <f t="array" ref="I63">ROUND(IF(SUM(mission!$H$46:$H$60)&gt;=chest!$E$25,INDEX(chest!$F$25:$F$29,MATCH(I$25,chest!$D$25:$D$29,0)),0)*(1+$L$4),0)</f>
        <v>6</v>
      </c>
      <c r="J63" s="2" cm="1">
        <f t="array" ref="J63">ROUND(IF(SUM(mission!$H$46:$H$60)&gt;=chest!$E$26,INDEX(chest!$F$25:$F$29,MATCH(J$25,chest!$D$25:$D$29,0)),0)*(1+$L$4),0)</f>
        <v>0</v>
      </c>
      <c r="K63" s="2" cm="1">
        <f t="array" ref="K63">ROUND(IF(SUM(mission!$H$46:$H$60)&gt;=chest!$E$27,INDEX(chest!$F$25:$F$29,MATCH(K$25,chest!$D$25:$D$29,0)),0)*(1+$L$4),0)</f>
        <v>0</v>
      </c>
      <c r="L63" s="2" cm="1">
        <f t="array" ref="L63">ROUND(IF(SUM(mission!$H$46:$H$60)&gt;=chest!$E$28,INDEX(chest!$F$25:$F$29,MATCH(L$25,chest!$D$25:$D$29,0)),0)*(1+$L$4),0)</f>
        <v>0</v>
      </c>
      <c r="M63" s="2" cm="1">
        <f t="array" ref="M63">ROUND(IF(SUM(mission!$H$46:$H$60)&gt;=chest!$E$29,INDEX(chest!$F$25:$F$29,MATCH(M$25,chest!$D$25:$D$29,0)),0)*(1+$L$4),0)</f>
        <v>0</v>
      </c>
    </row>
    <row r="64" s="1" customFormat="1" ht="18" customHeight="1" spans="2:13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172</v>
      </c>
      <c r="G64" s="2">
        <f t="shared" si="2"/>
        <v>6</v>
      </c>
      <c r="H64" s="2">
        <f t="shared" si="3"/>
        <v>234</v>
      </c>
      <c r="I64" s="2" cm="1">
        <f t="array" ref="I64">ROUND(IF(SUM(mission!$H$46:$H$60)&gt;=chest!$E$25,INDEX(chest!$F$25:$F$29,MATCH(I$25,chest!$D$25:$D$29,0)),0)*(1+$L$4),0)</f>
        <v>6</v>
      </c>
      <c r="J64" s="2" cm="1">
        <f t="array" ref="J64">ROUND(IF(SUM(mission!$H$46:$H$60)&gt;=chest!$E$26,INDEX(chest!$F$25:$F$29,MATCH(J$25,chest!$D$25:$D$29,0)),0)*(1+$L$4),0)</f>
        <v>0</v>
      </c>
      <c r="K64" s="2" cm="1">
        <f t="array" ref="K64">ROUND(IF(SUM(mission!$H$46:$H$60)&gt;=chest!$E$27,INDEX(chest!$F$25:$F$29,MATCH(K$25,chest!$D$25:$D$29,0)),0)*(1+$L$4),0)</f>
        <v>0</v>
      </c>
      <c r="L64" s="2" cm="1">
        <f t="array" ref="L64">ROUND(IF(SUM(mission!$H$46:$H$60)&gt;=chest!$E$28,INDEX(chest!$F$25:$F$29,MATCH(L$25,chest!$D$25:$D$29,0)),0)*(1+$L$4),0)</f>
        <v>0</v>
      </c>
      <c r="M64" s="2" cm="1">
        <f t="array" ref="M64">ROUND(IF(SUM(mission!$H$46:$H$60)&gt;=chest!$E$29,INDEX(chest!$F$25:$F$29,MATCH(M$25,chest!$D$25:$D$29,0)),0)*(1+$L$4),0)</f>
        <v>0</v>
      </c>
    </row>
    <row r="65" s="1" customFormat="1" ht="18" customHeight="1" spans="2:13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176</v>
      </c>
      <c r="G65" s="2">
        <f t="shared" si="2"/>
        <v>6</v>
      </c>
      <c r="H65" s="2">
        <f t="shared" si="3"/>
        <v>240</v>
      </c>
      <c r="I65" s="2" cm="1">
        <f t="array" ref="I65">ROUND(IF(SUM(mission!$H$46:$H$60)&gt;=chest!$E$25,INDEX(chest!$F$25:$F$29,MATCH(I$25,chest!$D$25:$D$29,0)),0)*(1+$L$4),0)</f>
        <v>6</v>
      </c>
      <c r="J65" s="2" cm="1">
        <f t="array" ref="J65">ROUND(IF(SUM(mission!$H$46:$H$60)&gt;=chest!$E$26,INDEX(chest!$F$25:$F$29,MATCH(J$25,chest!$D$25:$D$29,0)),0)*(1+$L$4),0)</f>
        <v>0</v>
      </c>
      <c r="K65" s="2" cm="1">
        <f t="array" ref="K65">ROUND(IF(SUM(mission!$H$46:$H$60)&gt;=chest!$E$27,INDEX(chest!$F$25:$F$29,MATCH(K$25,chest!$D$25:$D$29,0)),0)*(1+$L$4),0)</f>
        <v>0</v>
      </c>
      <c r="L65" s="2" cm="1">
        <f t="array" ref="L65">ROUND(IF(SUM(mission!$H$46:$H$60)&gt;=chest!$E$28,INDEX(chest!$F$25:$F$29,MATCH(L$25,chest!$D$25:$D$29,0)),0)*(1+$L$4),0)</f>
        <v>0</v>
      </c>
      <c r="M65" s="2" cm="1">
        <f t="array" ref="M65">ROUND(IF(SUM(mission!$H$46:$H$60)&gt;=chest!$E$29,INDEX(chest!$F$25:$F$29,MATCH(M$25,chest!$D$25:$D$29,0)),0)*(1+$L$4),0)</f>
        <v>0</v>
      </c>
    </row>
    <row r="66" s="1" customFormat="1" ht="18" customHeight="1" spans="2:13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180</v>
      </c>
      <c r="G66" s="2">
        <f t="shared" si="2"/>
        <v>6</v>
      </c>
      <c r="H66" s="2">
        <f t="shared" si="3"/>
        <v>246</v>
      </c>
      <c r="I66" s="2" cm="1">
        <f t="array" ref="I66">ROUND(IF(SUM(mission!$H$46:$H$60)&gt;=chest!$E$25,INDEX(chest!$F$25:$F$29,MATCH(I$25,chest!$D$25:$D$29,0)),0)*(1+$L$4),0)</f>
        <v>6</v>
      </c>
      <c r="J66" s="2" cm="1">
        <f t="array" ref="J66">ROUND(IF(SUM(mission!$H$46:$H$60)&gt;=chest!$E$26,INDEX(chest!$F$25:$F$29,MATCH(J$25,chest!$D$25:$D$29,0)),0)*(1+$L$4),0)</f>
        <v>0</v>
      </c>
      <c r="K66" s="2" cm="1">
        <f t="array" ref="K66">ROUND(IF(SUM(mission!$H$46:$H$60)&gt;=chest!$E$27,INDEX(chest!$F$25:$F$29,MATCH(K$25,chest!$D$25:$D$29,0)),0)*(1+$L$4),0)</f>
        <v>0</v>
      </c>
      <c r="L66" s="2" cm="1">
        <f t="array" ref="L66">ROUND(IF(SUM(mission!$H$46:$H$60)&gt;=chest!$E$28,INDEX(chest!$F$25:$F$29,MATCH(L$25,chest!$D$25:$D$29,0)),0)*(1+$L$4),0)</f>
        <v>0</v>
      </c>
      <c r="M66" s="2" cm="1">
        <f t="array" ref="M66">ROUND(IF(SUM(mission!$H$46:$H$60)&gt;=chest!$E$29,INDEX(chest!$F$25:$F$29,MATCH(M$25,chest!$D$25:$D$29,0)),0)*(1+$L$4),0)</f>
        <v>0</v>
      </c>
    </row>
    <row r="67" s="1" customFormat="1" ht="18" customHeight="1" spans="2:13">
      <c r="B67" s="2">
        <v>42</v>
      </c>
      <c r="C67" s="2">
        <f t="shared" si="0"/>
        <v>42000</v>
      </c>
      <c r="D67" s="2">
        <f>ROUND($C$8*$C$5+$C$8*$C$4*(1-$L$5),0)</f>
        <v>88</v>
      </c>
      <c r="E67" s="2">
        <f t="shared" si="1"/>
        <v>3696</v>
      </c>
      <c r="F67" s="2">
        <f>ROUND(E67*VLOOKUP($B$10,总产出!$T$4:$U$14,2,FALSE),0)</f>
        <v>185</v>
      </c>
      <c r="G67" s="2">
        <f t="shared" si="2"/>
        <v>6</v>
      </c>
      <c r="H67" s="2">
        <f t="shared" si="3"/>
        <v>252</v>
      </c>
      <c r="I67" s="2" cm="1">
        <f t="array" ref="I67">ROUND(IF(SUM(mission!$H$46:$H$60)&gt;=chest!$E$25,INDEX(chest!$F$25:$F$29,MATCH(I$25,chest!$D$25:$D$29,0)),0)*(1+$L$4),0)</f>
        <v>6</v>
      </c>
      <c r="J67" s="2" cm="1">
        <f t="array" ref="J67">ROUND(IF(SUM(mission!$H$46:$H$60)&gt;=chest!$E$26,INDEX(chest!$F$25:$F$29,MATCH(J$25,chest!$D$25:$D$29,0)),0)*(1+$L$4),0)</f>
        <v>0</v>
      </c>
      <c r="K67" s="2" cm="1">
        <f t="array" ref="K67">ROUND(IF(SUM(mission!$H$46:$H$60)&gt;=chest!$E$27,INDEX(chest!$F$25:$F$29,MATCH(K$25,chest!$D$25:$D$29,0)),0)*(1+$L$4),0)</f>
        <v>0</v>
      </c>
      <c r="L67" s="2" cm="1">
        <f t="array" ref="L67">ROUND(IF(SUM(mission!$H$46:$H$60)&gt;=chest!$E$28,INDEX(chest!$F$25:$F$29,MATCH(L$25,chest!$D$25:$D$29,0)),0)*(1+$L$4),0)</f>
        <v>0</v>
      </c>
      <c r="M67" s="2" cm="1">
        <f t="array" ref="M67">ROUND(IF(SUM(mission!$H$46:$H$60)&gt;=chest!$E$29,INDEX(chest!$F$25:$F$29,MATCH(M$25,chest!$D$25:$D$29,0)),0)*(1+$L$4),0)</f>
        <v>0</v>
      </c>
    </row>
    <row r="68" s="1" customFormat="1" ht="18" customHeight="1" spans="2:13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189</v>
      </c>
      <c r="G68" s="2">
        <f t="shared" si="2"/>
        <v>6</v>
      </c>
      <c r="H68" s="2">
        <f t="shared" si="3"/>
        <v>258</v>
      </c>
      <c r="I68" s="2" cm="1">
        <f t="array" ref="I68">ROUND(IF(SUM(mission!$H$46:$H$60)&gt;=chest!$E$25,INDEX(chest!$F$25:$F$29,MATCH(I$25,chest!$D$25:$D$29,0)),0)*(1+$L$4),0)</f>
        <v>6</v>
      </c>
      <c r="J68" s="2" cm="1">
        <f t="array" ref="J68">ROUND(IF(SUM(mission!$H$46:$H$60)&gt;=chest!$E$26,INDEX(chest!$F$25:$F$29,MATCH(J$25,chest!$D$25:$D$29,0)),0)*(1+$L$4),0)</f>
        <v>0</v>
      </c>
      <c r="K68" s="2" cm="1">
        <f t="array" ref="K68">ROUND(IF(SUM(mission!$H$46:$H$60)&gt;=chest!$E$27,INDEX(chest!$F$25:$F$29,MATCH(K$25,chest!$D$25:$D$29,0)),0)*(1+$L$4),0)</f>
        <v>0</v>
      </c>
      <c r="L68" s="2" cm="1">
        <f t="array" ref="L68">ROUND(IF(SUM(mission!$H$46:$H$60)&gt;=chest!$E$28,INDEX(chest!$F$25:$F$29,MATCH(L$25,chest!$D$25:$D$29,0)),0)*(1+$L$4),0)</f>
        <v>0</v>
      </c>
      <c r="M68" s="2" cm="1">
        <f t="array" ref="M68">ROUND(IF(SUM(mission!$H$46:$H$60)&gt;=chest!$E$29,INDEX(chest!$F$25:$F$29,MATCH(M$25,chest!$D$25:$D$29,0)),0)*(1+$L$4),0)</f>
        <v>0</v>
      </c>
    </row>
    <row r="69" s="1" customFormat="1" ht="18" customHeight="1" spans="2:13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194</v>
      </c>
      <c r="G69" s="2">
        <f t="shared" si="2"/>
        <v>6</v>
      </c>
      <c r="H69" s="2">
        <f t="shared" si="3"/>
        <v>264</v>
      </c>
      <c r="I69" s="2" cm="1">
        <f t="array" ref="I69">ROUND(IF(SUM(mission!$H$46:$H$60)&gt;=chest!$E$25,INDEX(chest!$F$25:$F$29,MATCH(I$25,chest!$D$25:$D$29,0)),0)*(1+$L$4),0)</f>
        <v>6</v>
      </c>
      <c r="J69" s="2" cm="1">
        <f t="array" ref="J69">ROUND(IF(SUM(mission!$H$46:$H$60)&gt;=chest!$E$26,INDEX(chest!$F$25:$F$29,MATCH(J$25,chest!$D$25:$D$29,0)),0)*(1+$L$4),0)</f>
        <v>0</v>
      </c>
      <c r="K69" s="2" cm="1">
        <f t="array" ref="K69">ROUND(IF(SUM(mission!$H$46:$H$60)&gt;=chest!$E$27,INDEX(chest!$F$25:$F$29,MATCH(K$25,chest!$D$25:$D$29,0)),0)*(1+$L$4),0)</f>
        <v>0</v>
      </c>
      <c r="L69" s="2" cm="1">
        <f t="array" ref="L69">ROUND(IF(SUM(mission!$H$46:$H$60)&gt;=chest!$E$28,INDEX(chest!$F$25:$F$29,MATCH(L$25,chest!$D$25:$D$29,0)),0)*(1+$L$4),0)</f>
        <v>0</v>
      </c>
      <c r="M69" s="2" cm="1">
        <f t="array" ref="M69">ROUND(IF(SUM(mission!$H$46:$H$60)&gt;=chest!$E$29,INDEX(chest!$F$25:$F$29,MATCH(M$25,chest!$D$25:$D$29,0)),0)*(1+$L$4),0)</f>
        <v>0</v>
      </c>
    </row>
    <row r="70" s="1" customFormat="1" ht="18" customHeight="1" spans="2:13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198</v>
      </c>
      <c r="G70" s="2">
        <f t="shared" si="2"/>
        <v>6</v>
      </c>
      <c r="H70" s="2">
        <f t="shared" si="3"/>
        <v>270</v>
      </c>
      <c r="I70" s="2" cm="1">
        <f t="array" ref="I70">ROUND(IF(SUM(mission!$H$46:$H$60)&gt;=chest!$E$25,INDEX(chest!$F$25:$F$29,MATCH(I$25,chest!$D$25:$D$29,0)),0)*(1+$L$4),0)</f>
        <v>6</v>
      </c>
      <c r="J70" s="2" cm="1">
        <f t="array" ref="J70">ROUND(IF(SUM(mission!$H$46:$H$60)&gt;=chest!$E$26,INDEX(chest!$F$25:$F$29,MATCH(J$25,chest!$D$25:$D$29,0)),0)*(1+$L$4),0)</f>
        <v>0</v>
      </c>
      <c r="K70" s="2" cm="1">
        <f t="array" ref="K70">ROUND(IF(SUM(mission!$H$46:$H$60)&gt;=chest!$E$27,INDEX(chest!$F$25:$F$29,MATCH(K$25,chest!$D$25:$D$29,0)),0)*(1+$L$4),0)</f>
        <v>0</v>
      </c>
      <c r="L70" s="2" cm="1">
        <f t="array" ref="L70">ROUND(IF(SUM(mission!$H$46:$H$60)&gt;=chest!$E$28,INDEX(chest!$F$25:$F$29,MATCH(L$25,chest!$D$25:$D$29,0)),0)*(1+$L$4),0)</f>
        <v>0</v>
      </c>
      <c r="M70" s="2" cm="1">
        <f t="array" ref="M70">ROUND(IF(SUM(mission!$H$46:$H$60)&gt;=chest!$E$29,INDEX(chest!$F$25:$F$29,MATCH(M$25,chest!$D$25:$D$29,0)),0)*(1+$L$4),0)</f>
        <v>0</v>
      </c>
    </row>
    <row r="71" s="1" customFormat="1" ht="18" customHeight="1" spans="2:13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202</v>
      </c>
      <c r="G71" s="2">
        <f t="shared" si="2"/>
        <v>6</v>
      </c>
      <c r="H71" s="2">
        <f t="shared" si="3"/>
        <v>276</v>
      </c>
      <c r="I71" s="2" cm="1">
        <f t="array" ref="I71">ROUND(IF(SUM(mission!$H$46:$H$60)&gt;=chest!$E$25,INDEX(chest!$F$25:$F$29,MATCH(I$25,chest!$D$25:$D$29,0)),0)*(1+$L$4),0)</f>
        <v>6</v>
      </c>
      <c r="J71" s="2" cm="1">
        <f t="array" ref="J71">ROUND(IF(SUM(mission!$H$46:$H$60)&gt;=chest!$E$26,INDEX(chest!$F$25:$F$29,MATCH(J$25,chest!$D$25:$D$29,0)),0)*(1+$L$4),0)</f>
        <v>0</v>
      </c>
      <c r="K71" s="2" cm="1">
        <f t="array" ref="K71">ROUND(IF(SUM(mission!$H$46:$H$60)&gt;=chest!$E$27,INDEX(chest!$F$25:$F$29,MATCH(K$25,chest!$D$25:$D$29,0)),0)*(1+$L$4),0)</f>
        <v>0</v>
      </c>
      <c r="L71" s="2" cm="1">
        <f t="array" ref="L71">ROUND(IF(SUM(mission!$H$46:$H$60)&gt;=chest!$E$28,INDEX(chest!$F$25:$F$29,MATCH(L$25,chest!$D$25:$D$29,0)),0)*(1+$L$4),0)</f>
        <v>0</v>
      </c>
      <c r="M71" s="2" cm="1">
        <f t="array" ref="M71">ROUND(IF(SUM(mission!$H$46:$H$60)&gt;=chest!$E$29,INDEX(chest!$F$25:$F$29,MATCH(M$25,chest!$D$25:$D$29,0)),0)*(1+$L$4),0)</f>
        <v>0</v>
      </c>
    </row>
    <row r="72" s="1" customFormat="1" ht="18" customHeight="1" spans="2:13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207</v>
      </c>
      <c r="G72" s="2">
        <f t="shared" si="2"/>
        <v>6</v>
      </c>
      <c r="H72" s="2">
        <f t="shared" si="3"/>
        <v>282</v>
      </c>
      <c r="I72" s="2" cm="1">
        <f t="array" ref="I72">ROUND(IF(SUM(mission!$H$46:$H$60)&gt;=chest!$E$25,INDEX(chest!$F$25:$F$29,MATCH(I$25,chest!$D$25:$D$29,0)),0)*(1+$L$4),0)</f>
        <v>6</v>
      </c>
      <c r="J72" s="2" cm="1">
        <f t="array" ref="J72">ROUND(IF(SUM(mission!$H$46:$H$60)&gt;=chest!$E$26,INDEX(chest!$F$25:$F$29,MATCH(J$25,chest!$D$25:$D$29,0)),0)*(1+$L$4),0)</f>
        <v>0</v>
      </c>
      <c r="K72" s="2" cm="1">
        <f t="array" ref="K72">ROUND(IF(SUM(mission!$H$46:$H$60)&gt;=chest!$E$27,INDEX(chest!$F$25:$F$29,MATCH(K$25,chest!$D$25:$D$29,0)),0)*(1+$L$4),0)</f>
        <v>0</v>
      </c>
      <c r="L72" s="2" cm="1">
        <f t="array" ref="L72">ROUND(IF(SUM(mission!$H$46:$H$60)&gt;=chest!$E$28,INDEX(chest!$F$25:$F$29,MATCH(L$25,chest!$D$25:$D$29,0)),0)*(1+$L$4),0)</f>
        <v>0</v>
      </c>
      <c r="M72" s="2" cm="1">
        <f t="array" ref="M72">ROUND(IF(SUM(mission!$H$46:$H$60)&gt;=chest!$E$29,INDEX(chest!$F$25:$F$29,MATCH(M$25,chest!$D$25:$D$29,0)),0)*(1+$L$4),0)</f>
        <v>0</v>
      </c>
    </row>
    <row r="73" s="1" customFormat="1" ht="18" customHeight="1" spans="2:13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211</v>
      </c>
      <c r="G73" s="2">
        <f t="shared" si="2"/>
        <v>6</v>
      </c>
      <c r="H73" s="2">
        <f t="shared" si="3"/>
        <v>288</v>
      </c>
      <c r="I73" s="2" cm="1">
        <f t="array" ref="I73">ROUND(IF(SUM(mission!$H$46:$H$60)&gt;=chest!$E$25,INDEX(chest!$F$25:$F$29,MATCH(I$25,chest!$D$25:$D$29,0)),0)*(1+$L$4),0)</f>
        <v>6</v>
      </c>
      <c r="J73" s="2" cm="1">
        <f t="array" ref="J73">ROUND(IF(SUM(mission!$H$46:$H$60)&gt;=chest!$E$26,INDEX(chest!$F$25:$F$29,MATCH(J$25,chest!$D$25:$D$29,0)),0)*(1+$L$4),0)</f>
        <v>0</v>
      </c>
      <c r="K73" s="2" cm="1">
        <f t="array" ref="K73">ROUND(IF(SUM(mission!$H$46:$H$60)&gt;=chest!$E$27,INDEX(chest!$F$25:$F$29,MATCH(K$25,chest!$D$25:$D$29,0)),0)*(1+$L$4),0)</f>
        <v>0</v>
      </c>
      <c r="L73" s="2" cm="1">
        <f t="array" ref="L73">ROUND(IF(SUM(mission!$H$46:$H$60)&gt;=chest!$E$28,INDEX(chest!$F$25:$F$29,MATCH(L$25,chest!$D$25:$D$29,0)),0)*(1+$L$4),0)</f>
        <v>0</v>
      </c>
      <c r="M73" s="2" cm="1">
        <f t="array" ref="M73">ROUND(IF(SUM(mission!$H$46:$H$60)&gt;=chest!$E$29,INDEX(chest!$F$25:$F$29,MATCH(M$25,chest!$D$25:$D$29,0)),0)*(1+$L$4),0)</f>
        <v>0</v>
      </c>
    </row>
    <row r="74" s="1" customFormat="1" ht="18" customHeight="1" spans="2:13">
      <c r="B74" s="2">
        <v>49</v>
      </c>
      <c r="C74" s="2">
        <f t="shared" si="0"/>
        <v>49000</v>
      </c>
      <c r="D74" s="2">
        <f>ROUND($C$8*$C$5+$C$8*$C$4*(1-$L$5),0)</f>
        <v>88</v>
      </c>
      <c r="E74" s="2">
        <f t="shared" si="1"/>
        <v>4312</v>
      </c>
      <c r="F74" s="2">
        <f>ROUND(E74*VLOOKUP($B$10,总产出!$T$4:$U$14,2,FALSE),0)</f>
        <v>216</v>
      </c>
      <c r="G74" s="2">
        <f t="shared" si="2"/>
        <v>6</v>
      </c>
      <c r="H74" s="2">
        <f t="shared" si="3"/>
        <v>294</v>
      </c>
      <c r="I74" s="2" cm="1">
        <f t="array" ref="I74">ROUND(IF(SUM(mission!$H$46:$H$60)&gt;=chest!$E$25,INDEX(chest!$F$25:$F$29,MATCH(I$25,chest!$D$25:$D$29,0)),0)*(1+$L$4),0)</f>
        <v>6</v>
      </c>
      <c r="J74" s="2" cm="1">
        <f t="array" ref="J74">ROUND(IF(SUM(mission!$H$46:$H$60)&gt;=chest!$E$26,INDEX(chest!$F$25:$F$29,MATCH(J$25,chest!$D$25:$D$29,0)),0)*(1+$L$4),0)</f>
        <v>0</v>
      </c>
      <c r="K74" s="2" cm="1">
        <f t="array" ref="K74">ROUND(IF(SUM(mission!$H$46:$H$60)&gt;=chest!$E$27,INDEX(chest!$F$25:$F$29,MATCH(K$25,chest!$D$25:$D$29,0)),0)*(1+$L$4),0)</f>
        <v>0</v>
      </c>
      <c r="L74" s="2" cm="1">
        <f t="array" ref="L74">ROUND(IF(SUM(mission!$H$46:$H$60)&gt;=chest!$E$28,INDEX(chest!$F$25:$F$29,MATCH(L$25,chest!$D$25:$D$29,0)),0)*(1+$L$4),0)</f>
        <v>0</v>
      </c>
      <c r="M74" s="2" cm="1">
        <f t="array" ref="M74">ROUND(IF(SUM(mission!$H$46:$H$60)&gt;=chest!$E$29,INDEX(chest!$F$25:$F$29,MATCH(M$25,chest!$D$25:$D$29,0)),0)*(1+$L$4),0)</f>
        <v>0</v>
      </c>
    </row>
    <row r="75" s="1" customFormat="1" ht="18" customHeight="1" spans="2:13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220</v>
      </c>
      <c r="G75" s="2">
        <f t="shared" si="2"/>
        <v>6</v>
      </c>
      <c r="H75" s="2">
        <f t="shared" si="3"/>
        <v>300</v>
      </c>
      <c r="I75" s="2" cm="1">
        <f t="array" ref="I75">ROUND(IF(SUM(mission!$H$46:$H$60)&gt;=chest!$E$25,INDEX(chest!$F$25:$F$29,MATCH(I$25,chest!$D$25:$D$29,0)),0)*(1+$L$4),0)</f>
        <v>6</v>
      </c>
      <c r="J75" s="2" cm="1">
        <f t="array" ref="J75">ROUND(IF(SUM(mission!$H$46:$H$60)&gt;=chest!$E$26,INDEX(chest!$F$25:$F$29,MATCH(J$25,chest!$D$25:$D$29,0)),0)*(1+$L$4),0)</f>
        <v>0</v>
      </c>
      <c r="K75" s="2" cm="1">
        <f t="array" ref="K75">ROUND(IF(SUM(mission!$H$46:$H$60)&gt;=chest!$E$27,INDEX(chest!$F$25:$F$29,MATCH(K$25,chest!$D$25:$D$29,0)),0)*(1+$L$4),0)</f>
        <v>0</v>
      </c>
      <c r="L75" s="2" cm="1">
        <f t="array" ref="L75">ROUND(IF(SUM(mission!$H$46:$H$60)&gt;=chest!$E$28,INDEX(chest!$F$25:$F$29,MATCH(L$25,chest!$D$25:$D$29,0)),0)*(1+$L$4),0)</f>
        <v>0</v>
      </c>
      <c r="M75" s="2" cm="1">
        <f t="array" ref="M75">ROUND(IF(SUM(mission!$H$46:$H$60)&gt;=chest!$E$29,INDEX(chest!$F$25:$F$29,MATCH(M$25,chest!$D$25:$D$29,0)),0)*(1+$L$4),0)</f>
        <v>0</v>
      </c>
    </row>
    <row r="76" s="1" customFormat="1" ht="18" customHeight="1" spans="2:13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224</v>
      </c>
      <c r="G76" s="2">
        <f t="shared" si="2"/>
        <v>6</v>
      </c>
      <c r="H76" s="2">
        <f t="shared" si="3"/>
        <v>306</v>
      </c>
      <c r="I76" s="2" cm="1">
        <f t="array" ref="I76">ROUND(IF(SUM(mission!$H$46:$H$60)&gt;=chest!$E$25,INDEX(chest!$F$25:$F$29,MATCH(I$25,chest!$D$25:$D$29,0)),0)*(1+$L$4),0)</f>
        <v>6</v>
      </c>
      <c r="J76" s="2" cm="1">
        <f t="array" ref="J76">ROUND(IF(SUM(mission!$H$46:$H$60)&gt;=chest!$E$26,INDEX(chest!$F$25:$F$29,MATCH(J$25,chest!$D$25:$D$29,0)),0)*(1+$L$4),0)</f>
        <v>0</v>
      </c>
      <c r="K76" s="2" cm="1">
        <f t="array" ref="K76">ROUND(IF(SUM(mission!$H$46:$H$60)&gt;=chest!$E$27,INDEX(chest!$F$25:$F$29,MATCH(K$25,chest!$D$25:$D$29,0)),0)*(1+$L$4),0)</f>
        <v>0</v>
      </c>
      <c r="L76" s="2" cm="1">
        <f t="array" ref="L76">ROUND(IF(SUM(mission!$H$46:$H$60)&gt;=chest!$E$28,INDEX(chest!$F$25:$F$29,MATCH(L$25,chest!$D$25:$D$29,0)),0)*(1+$L$4),0)</f>
        <v>0</v>
      </c>
      <c r="M76" s="2" cm="1">
        <f t="array" ref="M76">ROUND(IF(SUM(mission!$H$46:$H$60)&gt;=chest!$E$29,INDEX(chest!$F$25:$F$29,MATCH(M$25,chest!$D$25:$D$29,0)),0)*(1+$L$4),0)</f>
        <v>0</v>
      </c>
    </row>
    <row r="77" s="1" customFormat="1" ht="18" customHeight="1" spans="2:13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229</v>
      </c>
      <c r="G77" s="2">
        <f t="shared" si="2"/>
        <v>6</v>
      </c>
      <c r="H77" s="2">
        <f t="shared" si="3"/>
        <v>312</v>
      </c>
      <c r="I77" s="2" cm="1">
        <f t="array" ref="I77">ROUND(IF(SUM(mission!$H$46:$H$60)&gt;=chest!$E$25,INDEX(chest!$F$25:$F$29,MATCH(I$25,chest!$D$25:$D$29,0)),0)*(1+$L$4),0)</f>
        <v>6</v>
      </c>
      <c r="J77" s="2" cm="1">
        <f t="array" ref="J77">ROUND(IF(SUM(mission!$H$46:$H$60)&gt;=chest!$E$26,INDEX(chest!$F$25:$F$29,MATCH(J$25,chest!$D$25:$D$29,0)),0)*(1+$L$4),0)</f>
        <v>0</v>
      </c>
      <c r="K77" s="2" cm="1">
        <f t="array" ref="K77">ROUND(IF(SUM(mission!$H$46:$H$60)&gt;=chest!$E$27,INDEX(chest!$F$25:$F$29,MATCH(K$25,chest!$D$25:$D$29,0)),0)*(1+$L$4),0)</f>
        <v>0</v>
      </c>
      <c r="L77" s="2" cm="1">
        <f t="array" ref="L77">ROUND(IF(SUM(mission!$H$46:$H$60)&gt;=chest!$E$28,INDEX(chest!$F$25:$F$29,MATCH(L$25,chest!$D$25:$D$29,0)),0)*(1+$L$4),0)</f>
        <v>0</v>
      </c>
      <c r="M77" s="2" cm="1">
        <f t="array" ref="M77">ROUND(IF(SUM(mission!$H$46:$H$60)&gt;=chest!$E$29,INDEX(chest!$F$25:$F$29,MATCH(M$25,chest!$D$25:$D$29,0)),0)*(1+$L$4),0)</f>
        <v>0</v>
      </c>
    </row>
    <row r="78" s="1" customFormat="1" ht="18" customHeight="1" spans="2:13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233</v>
      </c>
      <c r="G78" s="2">
        <f t="shared" si="2"/>
        <v>6</v>
      </c>
      <c r="H78" s="2">
        <f t="shared" si="3"/>
        <v>318</v>
      </c>
      <c r="I78" s="2" cm="1">
        <f t="array" ref="I78">ROUND(IF(SUM(mission!$H$46:$H$60)&gt;=chest!$E$25,INDEX(chest!$F$25:$F$29,MATCH(I$25,chest!$D$25:$D$29,0)),0)*(1+$L$4),0)</f>
        <v>6</v>
      </c>
      <c r="J78" s="2" cm="1">
        <f t="array" ref="J78">ROUND(IF(SUM(mission!$H$46:$H$60)&gt;=chest!$E$26,INDEX(chest!$F$25:$F$29,MATCH(J$25,chest!$D$25:$D$29,0)),0)*(1+$L$4),0)</f>
        <v>0</v>
      </c>
      <c r="K78" s="2" cm="1">
        <f t="array" ref="K78">ROUND(IF(SUM(mission!$H$46:$H$60)&gt;=chest!$E$27,INDEX(chest!$F$25:$F$29,MATCH(K$25,chest!$D$25:$D$29,0)),0)*(1+$L$4),0)</f>
        <v>0</v>
      </c>
      <c r="L78" s="2" cm="1">
        <f t="array" ref="L78">ROUND(IF(SUM(mission!$H$46:$H$60)&gt;=chest!$E$28,INDEX(chest!$F$25:$F$29,MATCH(L$25,chest!$D$25:$D$29,0)),0)*(1+$L$4),0)</f>
        <v>0</v>
      </c>
      <c r="M78" s="2" cm="1">
        <f t="array" ref="M78">ROUND(IF(SUM(mission!$H$46:$H$60)&gt;=chest!$E$29,INDEX(chest!$F$25:$F$29,MATCH(M$25,chest!$D$25:$D$29,0)),0)*(1+$L$4),0)</f>
        <v>0</v>
      </c>
    </row>
    <row r="79" s="1" customFormat="1" ht="18" customHeight="1" spans="2:13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238</v>
      </c>
      <c r="G79" s="2">
        <f t="shared" si="2"/>
        <v>6</v>
      </c>
      <c r="H79" s="2">
        <f t="shared" si="3"/>
        <v>324</v>
      </c>
      <c r="I79" s="2" cm="1">
        <f t="array" ref="I79">ROUND(IF(SUM(mission!$H$46:$H$60)&gt;=chest!$E$25,INDEX(chest!$F$25:$F$29,MATCH(I$25,chest!$D$25:$D$29,0)),0)*(1+$L$4),0)</f>
        <v>6</v>
      </c>
      <c r="J79" s="2" cm="1">
        <f t="array" ref="J79">ROUND(IF(SUM(mission!$H$46:$H$60)&gt;=chest!$E$26,INDEX(chest!$F$25:$F$29,MATCH(J$25,chest!$D$25:$D$29,0)),0)*(1+$L$4),0)</f>
        <v>0</v>
      </c>
      <c r="K79" s="2" cm="1">
        <f t="array" ref="K79">ROUND(IF(SUM(mission!$H$46:$H$60)&gt;=chest!$E$27,INDEX(chest!$F$25:$F$29,MATCH(K$25,chest!$D$25:$D$29,0)),0)*(1+$L$4),0)</f>
        <v>0</v>
      </c>
      <c r="L79" s="2" cm="1">
        <f t="array" ref="L79">ROUND(IF(SUM(mission!$H$46:$H$60)&gt;=chest!$E$28,INDEX(chest!$F$25:$F$29,MATCH(L$25,chest!$D$25:$D$29,0)),0)*(1+$L$4),0)</f>
        <v>0</v>
      </c>
      <c r="M79" s="2" cm="1">
        <f t="array" ref="M79">ROUND(IF(SUM(mission!$H$46:$H$60)&gt;=chest!$E$29,INDEX(chest!$F$25:$F$29,MATCH(M$25,chest!$D$25:$D$29,0)),0)*(1+$L$4),0)</f>
        <v>0</v>
      </c>
    </row>
    <row r="80" s="1" customFormat="1" ht="18" customHeight="1" spans="2:13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242</v>
      </c>
      <c r="G80" s="2">
        <f t="shared" si="2"/>
        <v>6</v>
      </c>
      <c r="H80" s="2">
        <f t="shared" si="3"/>
        <v>330</v>
      </c>
      <c r="I80" s="2" cm="1">
        <f t="array" ref="I80">ROUND(IF(SUM(mission!$H$46:$H$60)&gt;=chest!$E$25,INDEX(chest!$F$25:$F$29,MATCH(I$25,chest!$D$25:$D$29,0)),0)*(1+$L$4),0)</f>
        <v>6</v>
      </c>
      <c r="J80" s="2" cm="1">
        <f t="array" ref="J80">ROUND(IF(SUM(mission!$H$46:$H$60)&gt;=chest!$E$26,INDEX(chest!$F$25:$F$29,MATCH(J$25,chest!$D$25:$D$29,0)),0)*(1+$L$4),0)</f>
        <v>0</v>
      </c>
      <c r="K80" s="2" cm="1">
        <f t="array" ref="K80">ROUND(IF(SUM(mission!$H$46:$H$60)&gt;=chest!$E$27,INDEX(chest!$F$25:$F$29,MATCH(K$25,chest!$D$25:$D$29,0)),0)*(1+$L$4),0)</f>
        <v>0</v>
      </c>
      <c r="L80" s="2" cm="1">
        <f t="array" ref="L80">ROUND(IF(SUM(mission!$H$46:$H$60)&gt;=chest!$E$28,INDEX(chest!$F$25:$F$29,MATCH(L$25,chest!$D$25:$D$29,0)),0)*(1+$L$4),0)</f>
        <v>0</v>
      </c>
      <c r="M80" s="2" cm="1">
        <f t="array" ref="M80">ROUND(IF(SUM(mission!$H$46:$H$60)&gt;=chest!$E$29,INDEX(chest!$F$25:$F$29,MATCH(M$25,chest!$D$25:$D$29,0)),0)*(1+$L$4),0)</f>
        <v>0</v>
      </c>
    </row>
    <row r="81" s="1" customFormat="1" ht="18" customHeight="1" spans="2:13">
      <c r="B81" s="2">
        <v>56</v>
      </c>
      <c r="C81" s="2">
        <f t="shared" si="0"/>
        <v>56000</v>
      </c>
      <c r="D81" s="2">
        <f>ROUND($C$8*$C$5+$C$8*$C$4*(1-$L$5),0)</f>
        <v>88</v>
      </c>
      <c r="E81" s="2">
        <f t="shared" si="1"/>
        <v>4928</v>
      </c>
      <c r="F81" s="2">
        <f>ROUND(E81*VLOOKUP($B$10,总产出!$T$4:$U$14,2,FALSE),0)</f>
        <v>246</v>
      </c>
      <c r="G81" s="2">
        <f t="shared" si="2"/>
        <v>6</v>
      </c>
      <c r="H81" s="2">
        <f t="shared" si="3"/>
        <v>336</v>
      </c>
      <c r="I81" s="2" cm="1">
        <f t="array" ref="I81">ROUND(IF(SUM(mission!$H$46:$H$60)&gt;=chest!$E$25,INDEX(chest!$F$25:$F$29,MATCH(I$25,chest!$D$25:$D$29,0)),0)*(1+$L$4),0)</f>
        <v>6</v>
      </c>
      <c r="J81" s="2" cm="1">
        <f t="array" ref="J81">ROUND(IF(SUM(mission!$H$46:$H$60)&gt;=chest!$E$26,INDEX(chest!$F$25:$F$29,MATCH(J$25,chest!$D$25:$D$29,0)),0)*(1+$L$4),0)</f>
        <v>0</v>
      </c>
      <c r="K81" s="2" cm="1">
        <f t="array" ref="K81">ROUND(IF(SUM(mission!$H$46:$H$60)&gt;=chest!$E$27,INDEX(chest!$F$25:$F$29,MATCH(K$25,chest!$D$25:$D$29,0)),0)*(1+$L$4),0)</f>
        <v>0</v>
      </c>
      <c r="L81" s="2" cm="1">
        <f t="array" ref="L81">ROUND(IF(SUM(mission!$H$46:$H$60)&gt;=chest!$E$28,INDEX(chest!$F$25:$F$29,MATCH(L$25,chest!$D$25:$D$29,0)),0)*(1+$L$4),0)</f>
        <v>0</v>
      </c>
      <c r="M81" s="2" cm="1">
        <f t="array" ref="M81">ROUND(IF(SUM(mission!$H$46:$H$60)&gt;=chest!$E$29,INDEX(chest!$F$25:$F$29,MATCH(M$25,chest!$D$25:$D$29,0)),0)*(1+$L$4),0)</f>
        <v>0</v>
      </c>
    </row>
    <row r="82" s="1" customFormat="1" ht="18" customHeight="1" spans="2:13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251</v>
      </c>
      <c r="G82" s="2">
        <f t="shared" si="2"/>
        <v>6</v>
      </c>
      <c r="H82" s="2">
        <f t="shared" si="3"/>
        <v>342</v>
      </c>
      <c r="I82" s="2" cm="1">
        <f t="array" ref="I82">ROUND(IF(SUM(mission!$H$46:$H$60)&gt;=chest!$E$25,INDEX(chest!$F$25:$F$29,MATCH(I$25,chest!$D$25:$D$29,0)),0)*(1+$L$4),0)</f>
        <v>6</v>
      </c>
      <c r="J82" s="2" cm="1">
        <f t="array" ref="J82">ROUND(IF(SUM(mission!$H$46:$H$60)&gt;=chest!$E$26,INDEX(chest!$F$25:$F$29,MATCH(J$25,chest!$D$25:$D$29,0)),0)*(1+$L$4),0)</f>
        <v>0</v>
      </c>
      <c r="K82" s="2" cm="1">
        <f t="array" ref="K82">ROUND(IF(SUM(mission!$H$46:$H$60)&gt;=chest!$E$27,INDEX(chest!$F$25:$F$29,MATCH(K$25,chest!$D$25:$D$29,0)),0)*(1+$L$4),0)</f>
        <v>0</v>
      </c>
      <c r="L82" s="2" cm="1">
        <f t="array" ref="L82">ROUND(IF(SUM(mission!$H$46:$H$60)&gt;=chest!$E$28,INDEX(chest!$F$25:$F$29,MATCH(L$25,chest!$D$25:$D$29,0)),0)*(1+$L$4),0)</f>
        <v>0</v>
      </c>
      <c r="M82" s="2" cm="1">
        <f t="array" ref="M82">ROUND(IF(SUM(mission!$H$46:$H$60)&gt;=chest!$E$29,INDEX(chest!$F$25:$F$29,MATCH(M$25,chest!$D$25:$D$29,0)),0)*(1+$L$4),0)</f>
        <v>0</v>
      </c>
    </row>
    <row r="83" s="1" customFormat="1" ht="18" customHeight="1" spans="2:13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255</v>
      </c>
      <c r="G83" s="2">
        <f t="shared" si="2"/>
        <v>6</v>
      </c>
      <c r="H83" s="2">
        <f t="shared" si="3"/>
        <v>348</v>
      </c>
      <c r="I83" s="2" cm="1">
        <f t="array" ref="I83">ROUND(IF(SUM(mission!$H$46:$H$60)&gt;=chest!$E$25,INDEX(chest!$F$25:$F$29,MATCH(I$25,chest!$D$25:$D$29,0)),0)*(1+$L$4),0)</f>
        <v>6</v>
      </c>
      <c r="J83" s="2" cm="1">
        <f t="array" ref="J83">ROUND(IF(SUM(mission!$H$46:$H$60)&gt;=chest!$E$26,INDEX(chest!$F$25:$F$29,MATCH(J$25,chest!$D$25:$D$29,0)),0)*(1+$L$4),0)</f>
        <v>0</v>
      </c>
      <c r="K83" s="2" cm="1">
        <f t="array" ref="K83">ROUND(IF(SUM(mission!$H$46:$H$60)&gt;=chest!$E$27,INDEX(chest!$F$25:$F$29,MATCH(K$25,chest!$D$25:$D$29,0)),0)*(1+$L$4),0)</f>
        <v>0</v>
      </c>
      <c r="L83" s="2" cm="1">
        <f t="array" ref="L83">ROUND(IF(SUM(mission!$H$46:$H$60)&gt;=chest!$E$28,INDEX(chest!$F$25:$F$29,MATCH(L$25,chest!$D$25:$D$29,0)),0)*(1+$L$4),0)</f>
        <v>0</v>
      </c>
      <c r="M83" s="2" cm="1">
        <f t="array" ref="M83">ROUND(IF(SUM(mission!$H$46:$H$60)&gt;=chest!$E$29,INDEX(chest!$F$25:$F$29,MATCH(M$25,chest!$D$25:$D$29,0)),0)*(1+$L$4),0)</f>
        <v>0</v>
      </c>
    </row>
    <row r="84" s="1" customFormat="1" ht="18" customHeight="1" spans="2:13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260</v>
      </c>
      <c r="G84" s="2">
        <f t="shared" si="2"/>
        <v>6</v>
      </c>
      <c r="H84" s="2">
        <f t="shared" si="3"/>
        <v>354</v>
      </c>
      <c r="I84" s="2" cm="1">
        <f t="array" ref="I84">ROUND(IF(SUM(mission!$H$46:$H$60)&gt;=chest!$E$25,INDEX(chest!$F$25:$F$29,MATCH(I$25,chest!$D$25:$D$29,0)),0)*(1+$L$4),0)</f>
        <v>6</v>
      </c>
      <c r="J84" s="2" cm="1">
        <f t="array" ref="J84">ROUND(IF(SUM(mission!$H$46:$H$60)&gt;=chest!$E$26,INDEX(chest!$F$25:$F$29,MATCH(J$25,chest!$D$25:$D$29,0)),0)*(1+$L$4),0)</f>
        <v>0</v>
      </c>
      <c r="K84" s="2" cm="1">
        <f t="array" ref="K84">ROUND(IF(SUM(mission!$H$46:$H$60)&gt;=chest!$E$27,INDEX(chest!$F$25:$F$29,MATCH(K$25,chest!$D$25:$D$29,0)),0)*(1+$L$4),0)</f>
        <v>0</v>
      </c>
      <c r="L84" s="2" cm="1">
        <f t="array" ref="L84">ROUND(IF(SUM(mission!$H$46:$H$60)&gt;=chest!$E$28,INDEX(chest!$F$25:$F$29,MATCH(L$25,chest!$D$25:$D$29,0)),0)*(1+$L$4),0)</f>
        <v>0</v>
      </c>
      <c r="M84" s="2" cm="1">
        <f t="array" ref="M84">ROUND(IF(SUM(mission!$H$46:$H$60)&gt;=chest!$E$29,INDEX(chest!$F$25:$F$29,MATCH(M$25,chest!$D$25:$D$29,0)),0)*(1+$L$4),0)</f>
        <v>0</v>
      </c>
    </row>
    <row r="85" s="1" customFormat="1" ht="18" customHeight="1" spans="2:13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264</v>
      </c>
      <c r="G85" s="2">
        <f t="shared" si="2"/>
        <v>6</v>
      </c>
      <c r="H85" s="2">
        <f t="shared" si="3"/>
        <v>360</v>
      </c>
      <c r="I85" s="2" cm="1">
        <f t="array" ref="I85">ROUND(IF(SUM(mission!$H$46:$H$60)&gt;=chest!$E$25,INDEX(chest!$F$25:$F$29,MATCH(I$25,chest!$D$25:$D$29,0)),0)*(1+$L$4),0)</f>
        <v>6</v>
      </c>
      <c r="J85" s="2" cm="1">
        <f t="array" ref="J85">ROUND(IF(SUM(mission!$H$46:$H$60)&gt;=chest!$E$26,INDEX(chest!$F$25:$F$29,MATCH(J$25,chest!$D$25:$D$29,0)),0)*(1+$L$4),0)</f>
        <v>0</v>
      </c>
      <c r="K85" s="2" cm="1">
        <f t="array" ref="K85">ROUND(IF(SUM(mission!$H$46:$H$60)&gt;=chest!$E$27,INDEX(chest!$F$25:$F$29,MATCH(K$25,chest!$D$25:$D$29,0)),0)*(1+$L$4),0)</f>
        <v>0</v>
      </c>
      <c r="L85" s="2" cm="1">
        <f t="array" ref="L85">ROUND(IF(SUM(mission!$H$46:$H$60)&gt;=chest!$E$28,INDEX(chest!$F$25:$F$29,MATCH(L$25,chest!$D$25:$D$29,0)),0)*(1+$L$4),0)</f>
        <v>0</v>
      </c>
      <c r="M85" s="2" cm="1">
        <f t="array" ref="M85">ROUND(IF(SUM(mission!$H$46:$H$60)&gt;=chest!$E$29,INDEX(chest!$F$25:$F$29,MATCH(M$25,chest!$D$25:$D$29,0)),0)*(1+$L$4),0)</f>
        <v>0</v>
      </c>
    </row>
    <row r="86" s="1" customFormat="1" ht="18" customHeight="1" spans="2:13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268</v>
      </c>
      <c r="G86" s="2">
        <f t="shared" si="2"/>
        <v>6</v>
      </c>
      <c r="H86" s="2">
        <f t="shared" si="3"/>
        <v>366</v>
      </c>
      <c r="I86" s="2" cm="1">
        <f t="array" ref="I86">ROUND(IF(SUM(mission!$H$46:$H$60)&gt;=chest!$E$25,INDEX(chest!$F$25:$F$29,MATCH(I$25,chest!$D$25:$D$29,0)),0)*(1+$L$4),0)</f>
        <v>6</v>
      </c>
      <c r="J86" s="2" cm="1">
        <f t="array" ref="J86">ROUND(IF(SUM(mission!$H$46:$H$60)&gt;=chest!$E$26,INDEX(chest!$F$25:$F$29,MATCH(J$25,chest!$D$25:$D$29,0)),0)*(1+$L$4),0)</f>
        <v>0</v>
      </c>
      <c r="K86" s="2" cm="1">
        <f t="array" ref="K86">ROUND(IF(SUM(mission!$H$46:$H$60)&gt;=chest!$E$27,INDEX(chest!$F$25:$F$29,MATCH(K$25,chest!$D$25:$D$29,0)),0)*(1+$L$4),0)</f>
        <v>0</v>
      </c>
      <c r="L86" s="2" cm="1">
        <f t="array" ref="L86">ROUND(IF(SUM(mission!$H$46:$H$60)&gt;=chest!$E$28,INDEX(chest!$F$25:$F$29,MATCH(L$25,chest!$D$25:$D$29,0)),0)*(1+$L$4),0)</f>
        <v>0</v>
      </c>
      <c r="M86" s="2" cm="1">
        <f t="array" ref="M86">ROUND(IF(SUM(mission!$H$46:$H$60)&gt;=chest!$E$29,INDEX(chest!$F$25:$F$29,MATCH(M$25,chest!$D$25:$D$29,0)),0)*(1+$L$4),0)</f>
        <v>0</v>
      </c>
    </row>
    <row r="87" s="1" customFormat="1" ht="18" customHeight="1" spans="2:13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273</v>
      </c>
      <c r="G87" s="2">
        <f t="shared" si="2"/>
        <v>6</v>
      </c>
      <c r="H87" s="2">
        <f t="shared" si="3"/>
        <v>372</v>
      </c>
      <c r="I87" s="2" cm="1">
        <f t="array" ref="I87">ROUND(IF(SUM(mission!$H$46:$H$60)&gt;=chest!$E$25,INDEX(chest!$F$25:$F$29,MATCH(I$25,chest!$D$25:$D$29,0)),0)*(1+$L$4),0)</f>
        <v>6</v>
      </c>
      <c r="J87" s="2" cm="1">
        <f t="array" ref="J87">ROUND(IF(SUM(mission!$H$46:$H$60)&gt;=chest!$E$26,INDEX(chest!$F$25:$F$29,MATCH(J$25,chest!$D$25:$D$29,0)),0)*(1+$L$4),0)</f>
        <v>0</v>
      </c>
      <c r="K87" s="2" cm="1">
        <f t="array" ref="K87">ROUND(IF(SUM(mission!$H$46:$H$60)&gt;=chest!$E$27,INDEX(chest!$F$25:$F$29,MATCH(K$25,chest!$D$25:$D$29,0)),0)*(1+$L$4),0)</f>
        <v>0</v>
      </c>
      <c r="L87" s="2" cm="1">
        <f t="array" ref="L87">ROUND(IF(SUM(mission!$H$46:$H$60)&gt;=chest!$E$28,INDEX(chest!$F$25:$F$29,MATCH(L$25,chest!$D$25:$D$29,0)),0)*(1+$L$4),0)</f>
        <v>0</v>
      </c>
      <c r="M87" s="2" cm="1">
        <f t="array" ref="M87">ROUND(IF(SUM(mission!$H$46:$H$60)&gt;=chest!$E$29,INDEX(chest!$F$25:$F$29,MATCH(M$25,chest!$D$25:$D$29,0)),0)*(1+$L$4),0)</f>
        <v>0</v>
      </c>
    </row>
    <row r="88" s="1" customFormat="1" ht="18" customHeight="1" spans="2:13">
      <c r="B88" s="2">
        <v>63</v>
      </c>
      <c r="C88" s="2">
        <f t="shared" si="0"/>
        <v>63000</v>
      </c>
      <c r="D88" s="2">
        <f>ROUND($C$8*$C$5+$C$8*$C$4*(1-$L$5),0)</f>
        <v>88</v>
      </c>
      <c r="E88" s="2">
        <f t="shared" si="1"/>
        <v>5544</v>
      </c>
      <c r="F88" s="2">
        <f>ROUND(E88*VLOOKUP($B$10,总产出!$T$4:$U$14,2,FALSE),0)</f>
        <v>277</v>
      </c>
      <c r="G88" s="2">
        <f t="shared" si="2"/>
        <v>6</v>
      </c>
      <c r="H88" s="2">
        <f t="shared" si="3"/>
        <v>378</v>
      </c>
      <c r="I88" s="2" cm="1">
        <f t="array" ref="I88">ROUND(IF(SUM(mission!$H$46:$H$60)&gt;=chest!$E$25,INDEX(chest!$F$25:$F$29,MATCH(I$25,chest!$D$25:$D$29,0)),0)*(1+$L$4),0)</f>
        <v>6</v>
      </c>
      <c r="J88" s="2" cm="1">
        <f t="array" ref="J88">ROUND(IF(SUM(mission!$H$46:$H$60)&gt;=chest!$E$26,INDEX(chest!$F$25:$F$29,MATCH(J$25,chest!$D$25:$D$29,0)),0)*(1+$L$4),0)</f>
        <v>0</v>
      </c>
      <c r="K88" s="2" cm="1">
        <f t="array" ref="K88">ROUND(IF(SUM(mission!$H$46:$H$60)&gt;=chest!$E$27,INDEX(chest!$F$25:$F$29,MATCH(K$25,chest!$D$25:$D$29,0)),0)*(1+$L$4),0)</f>
        <v>0</v>
      </c>
      <c r="L88" s="2" cm="1">
        <f t="array" ref="L88">ROUND(IF(SUM(mission!$H$46:$H$60)&gt;=chest!$E$28,INDEX(chest!$F$25:$F$29,MATCH(L$25,chest!$D$25:$D$29,0)),0)*(1+$L$4),0)</f>
        <v>0</v>
      </c>
      <c r="M88" s="2" cm="1">
        <f t="array" ref="M88">ROUND(IF(SUM(mission!$H$46:$H$60)&gt;=chest!$E$29,INDEX(chest!$F$25:$F$29,MATCH(M$25,chest!$D$25:$D$29,0)),0)*(1+$L$4),0)</f>
        <v>0</v>
      </c>
    </row>
    <row r="89" s="1" customFormat="1" ht="18" customHeight="1" spans="2:13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282</v>
      </c>
      <c r="G89" s="2">
        <f t="shared" si="2"/>
        <v>6</v>
      </c>
      <c r="H89" s="2">
        <f t="shared" si="3"/>
        <v>384</v>
      </c>
      <c r="I89" s="2" cm="1">
        <f t="array" ref="I89">ROUND(IF(SUM(mission!$H$46:$H$60)&gt;=chest!$E$25,INDEX(chest!$F$25:$F$29,MATCH(I$25,chest!$D$25:$D$29,0)),0)*(1+$L$4),0)</f>
        <v>6</v>
      </c>
      <c r="J89" s="2" cm="1">
        <f t="array" ref="J89">ROUND(IF(SUM(mission!$H$46:$H$60)&gt;=chest!$E$26,INDEX(chest!$F$25:$F$29,MATCH(J$25,chest!$D$25:$D$29,0)),0)*(1+$L$4),0)</f>
        <v>0</v>
      </c>
      <c r="K89" s="2" cm="1">
        <f t="array" ref="K89">ROUND(IF(SUM(mission!$H$46:$H$60)&gt;=chest!$E$27,INDEX(chest!$F$25:$F$29,MATCH(K$25,chest!$D$25:$D$29,0)),0)*(1+$L$4),0)</f>
        <v>0</v>
      </c>
      <c r="L89" s="2" cm="1">
        <f t="array" ref="L89">ROUND(IF(SUM(mission!$H$46:$H$60)&gt;=chest!$E$28,INDEX(chest!$F$25:$F$29,MATCH(L$25,chest!$D$25:$D$29,0)),0)*(1+$L$4),0)</f>
        <v>0</v>
      </c>
      <c r="M89" s="2" cm="1">
        <f t="array" ref="M89">ROUND(IF(SUM(mission!$H$46:$H$60)&gt;=chest!$E$29,INDEX(chest!$F$25:$F$29,MATCH(M$25,chest!$D$25:$D$29,0)),0)*(1+$L$4),0)</f>
        <v>0</v>
      </c>
    </row>
    <row r="90" s="1" customFormat="1" ht="18" customHeight="1" spans="2:13">
      <c r="B90" s="2">
        <v>65</v>
      </c>
      <c r="C90" s="2">
        <f t="shared" ref="C90:C125" si="4">$C$8*B90</f>
        <v>65000</v>
      </c>
      <c r="D90" s="2">
        <f>ROUND($C$8*$C$5+$C$8*$C$4*(1-$L$5),0)</f>
        <v>88</v>
      </c>
      <c r="E90" s="2">
        <f t="shared" ref="E90:E125" si="5">D90*B90</f>
        <v>5720</v>
      </c>
      <c r="F90" s="2">
        <f>ROUND(E90*VLOOKUP($B$10,总产出!$T$4:$U$14,2,FALSE),0)</f>
        <v>286</v>
      </c>
      <c r="G90" s="2">
        <f t="shared" ref="G90:G125" si="6">SUM(I90:M90)</f>
        <v>6</v>
      </c>
      <c r="H90" s="2">
        <f t="shared" si="3"/>
        <v>390</v>
      </c>
      <c r="I90" s="2" cm="1">
        <f t="array" ref="I90">ROUND(IF(SUM(mission!$H$46:$H$60)&gt;=chest!$E$25,INDEX(chest!$F$25:$F$29,MATCH(I$25,chest!$D$25:$D$29,0)),0)*(1+$L$4),0)</f>
        <v>6</v>
      </c>
      <c r="J90" s="2" cm="1">
        <f t="array" ref="J90">ROUND(IF(SUM(mission!$H$46:$H$60)&gt;=chest!$E$26,INDEX(chest!$F$25:$F$29,MATCH(J$25,chest!$D$25:$D$29,0)),0)*(1+$L$4),0)</f>
        <v>0</v>
      </c>
      <c r="K90" s="2" cm="1">
        <f t="array" ref="K90">ROUND(IF(SUM(mission!$H$46:$H$60)&gt;=chest!$E$27,INDEX(chest!$F$25:$F$29,MATCH(K$25,chest!$D$25:$D$29,0)),0)*(1+$L$4),0)</f>
        <v>0</v>
      </c>
      <c r="L90" s="2" cm="1">
        <f t="array" ref="L90">ROUND(IF(SUM(mission!$H$46:$H$60)&gt;=chest!$E$28,INDEX(chest!$F$25:$F$29,MATCH(L$25,chest!$D$25:$D$29,0)),0)*(1+$L$4),0)</f>
        <v>0</v>
      </c>
      <c r="M90" s="2" cm="1">
        <f t="array" ref="M90">ROUND(IF(SUM(mission!$H$46:$H$60)&gt;=chest!$E$29,INDEX(chest!$F$25:$F$29,MATCH(M$25,chest!$D$25:$D$29,0)),0)*(1+$L$4),0)</f>
        <v>0</v>
      </c>
    </row>
    <row r="91" s="1" customFormat="1" ht="18" customHeight="1" spans="2:13">
      <c r="B91" s="2">
        <v>66</v>
      </c>
      <c r="C91" s="2">
        <f t="shared" si="4"/>
        <v>66000</v>
      </c>
      <c r="D91" s="2">
        <f>ROUND($C$8*$C$5+$C$8*$C$4*(1-$L$5),0)</f>
        <v>88</v>
      </c>
      <c r="E91" s="2">
        <f t="shared" si="5"/>
        <v>5808</v>
      </c>
      <c r="F91" s="2">
        <f>ROUND(E91*VLOOKUP($B$10,总产出!$T$4:$U$14,2,FALSE),0)</f>
        <v>290</v>
      </c>
      <c r="G91" s="2">
        <f t="shared" si="6"/>
        <v>6</v>
      </c>
      <c r="H91" s="2">
        <f t="shared" ref="H91:H125" si="7">G91+H90</f>
        <v>396</v>
      </c>
      <c r="I91" s="2" cm="1">
        <f t="array" ref="I91">ROUND(IF(SUM(mission!$H$46:$H$60)&gt;=chest!$E$25,INDEX(chest!$F$25:$F$29,MATCH(I$25,chest!$D$25:$D$29,0)),0)*(1+$L$4),0)</f>
        <v>6</v>
      </c>
      <c r="J91" s="2" cm="1">
        <f t="array" ref="J91">ROUND(IF(SUM(mission!$H$46:$H$60)&gt;=chest!$E$26,INDEX(chest!$F$25:$F$29,MATCH(J$25,chest!$D$25:$D$29,0)),0)*(1+$L$4),0)</f>
        <v>0</v>
      </c>
      <c r="K91" s="2" cm="1">
        <f t="array" ref="K91">ROUND(IF(SUM(mission!$H$46:$H$60)&gt;=chest!$E$27,INDEX(chest!$F$25:$F$29,MATCH(K$25,chest!$D$25:$D$29,0)),0)*(1+$L$4),0)</f>
        <v>0</v>
      </c>
      <c r="L91" s="2" cm="1">
        <f t="array" ref="L91">ROUND(IF(SUM(mission!$H$46:$H$60)&gt;=chest!$E$28,INDEX(chest!$F$25:$F$29,MATCH(L$25,chest!$D$25:$D$29,0)),0)*(1+$L$4),0)</f>
        <v>0</v>
      </c>
      <c r="M91" s="2" cm="1">
        <f t="array" ref="M91">ROUND(IF(SUM(mission!$H$46:$H$60)&gt;=chest!$E$29,INDEX(chest!$F$25:$F$29,MATCH(M$25,chest!$D$25:$D$29,0)),0)*(1+$L$4),0)</f>
        <v>0</v>
      </c>
    </row>
    <row r="92" s="1" customFormat="1" ht="18" customHeight="1" spans="2:13">
      <c r="B92" s="2">
        <v>67</v>
      </c>
      <c r="C92" s="2">
        <f t="shared" si="4"/>
        <v>67000</v>
      </c>
      <c r="D92" s="2">
        <f>ROUND($C$8*$C$5+$C$8*$C$4*(1-$L$5),0)</f>
        <v>88</v>
      </c>
      <c r="E92" s="2">
        <f t="shared" si="5"/>
        <v>5896</v>
      </c>
      <c r="F92" s="2">
        <f>ROUND(E92*VLOOKUP($B$10,总产出!$T$4:$U$14,2,FALSE),0)</f>
        <v>295</v>
      </c>
      <c r="G92" s="2">
        <f t="shared" si="6"/>
        <v>6</v>
      </c>
      <c r="H92" s="2">
        <f t="shared" si="7"/>
        <v>402</v>
      </c>
      <c r="I92" s="2" cm="1">
        <f t="array" ref="I92">ROUND(IF(SUM(mission!$H$46:$H$60)&gt;=chest!$E$25,INDEX(chest!$F$25:$F$29,MATCH(I$25,chest!$D$25:$D$29,0)),0)*(1+$L$4),0)</f>
        <v>6</v>
      </c>
      <c r="J92" s="2" cm="1">
        <f t="array" ref="J92">ROUND(IF(SUM(mission!$H$46:$H$60)&gt;=chest!$E$26,INDEX(chest!$F$25:$F$29,MATCH(J$25,chest!$D$25:$D$29,0)),0)*(1+$L$4),0)</f>
        <v>0</v>
      </c>
      <c r="K92" s="2" cm="1">
        <f t="array" ref="K92">ROUND(IF(SUM(mission!$H$46:$H$60)&gt;=chest!$E$27,INDEX(chest!$F$25:$F$29,MATCH(K$25,chest!$D$25:$D$29,0)),0)*(1+$L$4),0)</f>
        <v>0</v>
      </c>
      <c r="L92" s="2" cm="1">
        <f t="array" ref="L92">ROUND(IF(SUM(mission!$H$46:$H$60)&gt;=chest!$E$28,INDEX(chest!$F$25:$F$29,MATCH(L$25,chest!$D$25:$D$29,0)),0)*(1+$L$4),0)</f>
        <v>0</v>
      </c>
      <c r="M92" s="2" cm="1">
        <f t="array" ref="M92">ROUND(IF(SUM(mission!$H$46:$H$60)&gt;=chest!$E$29,INDEX(chest!$F$25:$F$29,MATCH(M$25,chest!$D$25:$D$29,0)),0)*(1+$L$4),0)</f>
        <v>0</v>
      </c>
    </row>
    <row r="93" s="1" customFormat="1" ht="18" customHeight="1" spans="2:13">
      <c r="B93" s="2">
        <v>68</v>
      </c>
      <c r="C93" s="2">
        <f t="shared" si="4"/>
        <v>68000</v>
      </c>
      <c r="D93" s="2">
        <f>ROUND($C$8*$C$5+$C$8*$C$4*(1-$L$5),0)</f>
        <v>88</v>
      </c>
      <c r="E93" s="2">
        <f t="shared" si="5"/>
        <v>5984</v>
      </c>
      <c r="F93" s="2">
        <f>ROUND(E93*VLOOKUP($B$10,总产出!$T$4:$U$14,2,FALSE),0)</f>
        <v>299</v>
      </c>
      <c r="G93" s="2">
        <f t="shared" si="6"/>
        <v>6</v>
      </c>
      <c r="H93" s="2">
        <f t="shared" si="7"/>
        <v>408</v>
      </c>
      <c r="I93" s="2" cm="1">
        <f t="array" ref="I93">ROUND(IF(SUM(mission!$H$46:$H$60)&gt;=chest!$E$25,INDEX(chest!$F$25:$F$29,MATCH(I$25,chest!$D$25:$D$29,0)),0)*(1+$L$4),0)</f>
        <v>6</v>
      </c>
      <c r="J93" s="2" cm="1">
        <f t="array" ref="J93">ROUND(IF(SUM(mission!$H$46:$H$60)&gt;=chest!$E$26,INDEX(chest!$F$25:$F$29,MATCH(J$25,chest!$D$25:$D$29,0)),0)*(1+$L$4),0)</f>
        <v>0</v>
      </c>
      <c r="K93" s="2" cm="1">
        <f t="array" ref="K93">ROUND(IF(SUM(mission!$H$46:$H$60)&gt;=chest!$E$27,INDEX(chest!$F$25:$F$29,MATCH(K$25,chest!$D$25:$D$29,0)),0)*(1+$L$4),0)</f>
        <v>0</v>
      </c>
      <c r="L93" s="2" cm="1">
        <f t="array" ref="L93">ROUND(IF(SUM(mission!$H$46:$H$60)&gt;=chest!$E$28,INDEX(chest!$F$25:$F$29,MATCH(L$25,chest!$D$25:$D$29,0)),0)*(1+$L$4),0)</f>
        <v>0</v>
      </c>
      <c r="M93" s="2" cm="1">
        <f t="array" ref="M93">ROUND(IF(SUM(mission!$H$46:$H$60)&gt;=chest!$E$29,INDEX(chest!$F$25:$F$29,MATCH(M$25,chest!$D$25:$D$29,0)),0)*(1+$L$4),0)</f>
        <v>0</v>
      </c>
    </row>
    <row r="94" s="1" customFormat="1" ht="18" customHeight="1" spans="2:13">
      <c r="B94" s="2">
        <v>69</v>
      </c>
      <c r="C94" s="2">
        <f t="shared" si="4"/>
        <v>69000</v>
      </c>
      <c r="D94" s="2">
        <f>ROUND($C$8*$C$5+$C$8*$C$4*(1-$L$5),0)</f>
        <v>88</v>
      </c>
      <c r="E94" s="2">
        <f t="shared" si="5"/>
        <v>6072</v>
      </c>
      <c r="F94" s="2">
        <f>ROUND(E94*VLOOKUP($B$10,总产出!$T$4:$U$14,2,FALSE),0)</f>
        <v>304</v>
      </c>
      <c r="G94" s="2">
        <f t="shared" si="6"/>
        <v>6</v>
      </c>
      <c r="H94" s="2">
        <f t="shared" si="7"/>
        <v>414</v>
      </c>
      <c r="I94" s="2" cm="1">
        <f t="array" ref="I94">ROUND(IF(SUM(mission!$H$46:$H$60)&gt;=chest!$E$25,INDEX(chest!$F$25:$F$29,MATCH(I$25,chest!$D$25:$D$29,0)),0)*(1+$L$4),0)</f>
        <v>6</v>
      </c>
      <c r="J94" s="2" cm="1">
        <f t="array" ref="J94">ROUND(IF(SUM(mission!$H$46:$H$60)&gt;=chest!$E$26,INDEX(chest!$F$25:$F$29,MATCH(J$25,chest!$D$25:$D$29,0)),0)*(1+$L$4),0)</f>
        <v>0</v>
      </c>
      <c r="K94" s="2" cm="1">
        <f t="array" ref="K94">ROUND(IF(SUM(mission!$H$46:$H$60)&gt;=chest!$E$27,INDEX(chest!$F$25:$F$29,MATCH(K$25,chest!$D$25:$D$29,0)),0)*(1+$L$4),0)</f>
        <v>0</v>
      </c>
      <c r="L94" s="2" cm="1">
        <f t="array" ref="L94">ROUND(IF(SUM(mission!$H$46:$H$60)&gt;=chest!$E$28,INDEX(chest!$F$25:$F$29,MATCH(L$25,chest!$D$25:$D$29,0)),0)*(1+$L$4),0)</f>
        <v>0</v>
      </c>
      <c r="M94" s="2" cm="1">
        <f t="array" ref="M94">ROUND(IF(SUM(mission!$H$46:$H$60)&gt;=chest!$E$29,INDEX(chest!$F$25:$F$29,MATCH(M$25,chest!$D$25:$D$29,0)),0)*(1+$L$4),0)</f>
        <v>0</v>
      </c>
    </row>
    <row r="95" s="1" customFormat="1" ht="18" customHeight="1" spans="2:13">
      <c r="B95" s="2">
        <v>70</v>
      </c>
      <c r="C95" s="2">
        <f t="shared" si="4"/>
        <v>70000</v>
      </c>
      <c r="D95" s="2">
        <f>ROUND($C$8*$C$5+$C$8*$C$4*(1-$L$5),0)</f>
        <v>88</v>
      </c>
      <c r="E95" s="2">
        <f t="shared" si="5"/>
        <v>6160</v>
      </c>
      <c r="F95" s="2">
        <f>ROUND(E95*VLOOKUP($B$10,总产出!$T$4:$U$14,2,FALSE),0)</f>
        <v>308</v>
      </c>
      <c r="G95" s="2">
        <f t="shared" si="6"/>
        <v>6</v>
      </c>
      <c r="H95" s="2">
        <f t="shared" si="7"/>
        <v>420</v>
      </c>
      <c r="I95" s="2" cm="1">
        <f t="array" ref="I95">ROUND(IF(SUM(mission!$H$46:$H$60)&gt;=chest!$E$25,INDEX(chest!$F$25:$F$29,MATCH(I$25,chest!$D$25:$D$29,0)),0)*(1+$L$4),0)</f>
        <v>6</v>
      </c>
      <c r="J95" s="2" cm="1">
        <f t="array" ref="J95">ROUND(IF(SUM(mission!$H$46:$H$60)&gt;=chest!$E$26,INDEX(chest!$F$25:$F$29,MATCH(J$25,chest!$D$25:$D$29,0)),0)*(1+$L$4),0)</f>
        <v>0</v>
      </c>
      <c r="K95" s="2" cm="1">
        <f t="array" ref="K95">ROUND(IF(SUM(mission!$H$46:$H$60)&gt;=chest!$E$27,INDEX(chest!$F$25:$F$29,MATCH(K$25,chest!$D$25:$D$29,0)),0)*(1+$L$4),0)</f>
        <v>0</v>
      </c>
      <c r="L95" s="2" cm="1">
        <f t="array" ref="L95">ROUND(IF(SUM(mission!$H$46:$H$60)&gt;=chest!$E$28,INDEX(chest!$F$25:$F$29,MATCH(L$25,chest!$D$25:$D$29,0)),0)*(1+$L$4),0)</f>
        <v>0</v>
      </c>
      <c r="M95" s="2" cm="1">
        <f t="array" ref="M95">ROUND(IF(SUM(mission!$H$46:$H$60)&gt;=chest!$E$29,INDEX(chest!$F$25:$F$29,MATCH(M$25,chest!$D$25:$D$29,0)),0)*(1+$L$4),0)</f>
        <v>0</v>
      </c>
    </row>
    <row r="96" s="1" customFormat="1" ht="18" customHeight="1" spans="2:13">
      <c r="B96" s="2">
        <v>71</v>
      </c>
      <c r="C96" s="2">
        <f t="shared" si="4"/>
        <v>71000</v>
      </c>
      <c r="D96" s="2">
        <f>ROUND($C$8*$C$5+$C$8*$C$4*(1-$L$5),0)</f>
        <v>88</v>
      </c>
      <c r="E96" s="2">
        <f t="shared" si="5"/>
        <v>6248</v>
      </c>
      <c r="F96" s="2">
        <f>ROUND(E96*VLOOKUP($B$10,总产出!$T$4:$U$14,2,FALSE),0)</f>
        <v>312</v>
      </c>
      <c r="G96" s="2">
        <f t="shared" si="6"/>
        <v>6</v>
      </c>
      <c r="H96" s="2">
        <f t="shared" si="7"/>
        <v>426</v>
      </c>
      <c r="I96" s="2" cm="1">
        <f t="array" ref="I96">ROUND(IF(SUM(mission!$H$46:$H$60)&gt;=chest!$E$25,INDEX(chest!$F$25:$F$29,MATCH(I$25,chest!$D$25:$D$29,0)),0)*(1+$L$4),0)</f>
        <v>6</v>
      </c>
      <c r="J96" s="2" cm="1">
        <f t="array" ref="J96">ROUND(IF(SUM(mission!$H$46:$H$60)&gt;=chest!$E$26,INDEX(chest!$F$25:$F$29,MATCH(J$25,chest!$D$25:$D$29,0)),0)*(1+$L$4),0)</f>
        <v>0</v>
      </c>
      <c r="K96" s="2" cm="1">
        <f t="array" ref="K96">ROUND(IF(SUM(mission!$H$46:$H$60)&gt;=chest!$E$27,INDEX(chest!$F$25:$F$29,MATCH(K$25,chest!$D$25:$D$29,0)),0)*(1+$L$4),0)</f>
        <v>0</v>
      </c>
      <c r="L96" s="2" cm="1">
        <f t="array" ref="L96">ROUND(IF(SUM(mission!$H$46:$H$60)&gt;=chest!$E$28,INDEX(chest!$F$25:$F$29,MATCH(L$25,chest!$D$25:$D$29,0)),0)*(1+$L$4),0)</f>
        <v>0</v>
      </c>
      <c r="M96" s="2" cm="1">
        <f t="array" ref="M96">ROUND(IF(SUM(mission!$H$46:$H$60)&gt;=chest!$E$29,INDEX(chest!$F$25:$F$29,MATCH(M$25,chest!$D$25:$D$29,0)),0)*(1+$L$4),0)</f>
        <v>0</v>
      </c>
    </row>
    <row r="97" s="1" customFormat="1" ht="18" customHeight="1" spans="2:13">
      <c r="B97" s="2">
        <v>72</v>
      </c>
      <c r="C97" s="2">
        <f t="shared" si="4"/>
        <v>72000</v>
      </c>
      <c r="D97" s="2">
        <f>ROUND($C$8*$C$5+$C$8*$C$4*(1-$L$5),0)</f>
        <v>88</v>
      </c>
      <c r="E97" s="2">
        <f t="shared" si="5"/>
        <v>6336</v>
      </c>
      <c r="F97" s="2">
        <f>ROUND(E97*VLOOKUP($B$10,总产出!$T$4:$U$14,2,FALSE),0)</f>
        <v>317</v>
      </c>
      <c r="G97" s="2">
        <f t="shared" si="6"/>
        <v>6</v>
      </c>
      <c r="H97" s="2">
        <f t="shared" si="7"/>
        <v>432</v>
      </c>
      <c r="I97" s="2" cm="1">
        <f t="array" ref="I97">ROUND(IF(SUM(mission!$H$46:$H$60)&gt;=chest!$E$25,INDEX(chest!$F$25:$F$29,MATCH(I$25,chest!$D$25:$D$29,0)),0)*(1+$L$4),0)</f>
        <v>6</v>
      </c>
      <c r="J97" s="2" cm="1">
        <f t="array" ref="J97">ROUND(IF(SUM(mission!$H$46:$H$60)&gt;=chest!$E$26,INDEX(chest!$F$25:$F$29,MATCH(J$25,chest!$D$25:$D$29,0)),0)*(1+$L$4),0)</f>
        <v>0</v>
      </c>
      <c r="K97" s="2" cm="1">
        <f t="array" ref="K97">ROUND(IF(SUM(mission!$H$46:$H$60)&gt;=chest!$E$27,INDEX(chest!$F$25:$F$29,MATCH(K$25,chest!$D$25:$D$29,0)),0)*(1+$L$4),0)</f>
        <v>0</v>
      </c>
      <c r="L97" s="2" cm="1">
        <f t="array" ref="L97">ROUND(IF(SUM(mission!$H$46:$H$60)&gt;=chest!$E$28,INDEX(chest!$F$25:$F$29,MATCH(L$25,chest!$D$25:$D$29,0)),0)*(1+$L$4),0)</f>
        <v>0</v>
      </c>
      <c r="M97" s="2" cm="1">
        <f t="array" ref="M97">ROUND(IF(SUM(mission!$H$46:$H$60)&gt;=chest!$E$29,INDEX(chest!$F$25:$F$29,MATCH(M$25,chest!$D$25:$D$29,0)),0)*(1+$L$4),0)</f>
        <v>0</v>
      </c>
    </row>
    <row r="98" s="1" customFormat="1" ht="18" customHeight="1" spans="2:13">
      <c r="B98" s="2">
        <v>73</v>
      </c>
      <c r="C98" s="2">
        <f t="shared" si="4"/>
        <v>73000</v>
      </c>
      <c r="D98" s="2">
        <f>ROUND($C$8*$C$5+$C$8*$C$4*(1-$L$5),0)</f>
        <v>88</v>
      </c>
      <c r="E98" s="2">
        <f t="shared" si="5"/>
        <v>6424</v>
      </c>
      <c r="F98" s="2">
        <f>ROUND(E98*VLOOKUP($B$10,总产出!$T$4:$U$14,2,FALSE),0)</f>
        <v>321</v>
      </c>
      <c r="G98" s="2">
        <f t="shared" si="6"/>
        <v>6</v>
      </c>
      <c r="H98" s="2">
        <f t="shared" si="7"/>
        <v>438</v>
      </c>
      <c r="I98" s="2" cm="1">
        <f t="array" ref="I98">ROUND(IF(SUM(mission!$H$46:$H$60)&gt;=chest!$E$25,INDEX(chest!$F$25:$F$29,MATCH(I$25,chest!$D$25:$D$29,0)),0)*(1+$L$4),0)</f>
        <v>6</v>
      </c>
      <c r="J98" s="2" cm="1">
        <f t="array" ref="J98">ROUND(IF(SUM(mission!$H$46:$H$60)&gt;=chest!$E$26,INDEX(chest!$F$25:$F$29,MATCH(J$25,chest!$D$25:$D$29,0)),0)*(1+$L$4),0)</f>
        <v>0</v>
      </c>
      <c r="K98" s="2" cm="1">
        <f t="array" ref="K98">ROUND(IF(SUM(mission!$H$46:$H$60)&gt;=chest!$E$27,INDEX(chest!$F$25:$F$29,MATCH(K$25,chest!$D$25:$D$29,0)),0)*(1+$L$4),0)</f>
        <v>0</v>
      </c>
      <c r="L98" s="2" cm="1">
        <f t="array" ref="L98">ROUND(IF(SUM(mission!$H$46:$H$60)&gt;=chest!$E$28,INDEX(chest!$F$25:$F$29,MATCH(L$25,chest!$D$25:$D$29,0)),0)*(1+$L$4),0)</f>
        <v>0</v>
      </c>
      <c r="M98" s="2" cm="1">
        <f t="array" ref="M98">ROUND(IF(SUM(mission!$H$46:$H$60)&gt;=chest!$E$29,INDEX(chest!$F$25:$F$29,MATCH(M$25,chest!$D$25:$D$29,0)),0)*(1+$L$4),0)</f>
        <v>0</v>
      </c>
    </row>
    <row r="99" s="1" customFormat="1" ht="18" customHeight="1" spans="2:13">
      <c r="B99" s="2">
        <v>74</v>
      </c>
      <c r="C99" s="2">
        <f t="shared" si="4"/>
        <v>74000</v>
      </c>
      <c r="D99" s="2">
        <f>ROUND($C$8*$C$5+$C$8*$C$4*(1-$L$5),0)</f>
        <v>88</v>
      </c>
      <c r="E99" s="2">
        <f t="shared" si="5"/>
        <v>6512</v>
      </c>
      <c r="F99" s="2">
        <f>ROUND(E99*VLOOKUP($B$10,总产出!$T$4:$U$14,2,FALSE),0)</f>
        <v>326</v>
      </c>
      <c r="G99" s="2">
        <f t="shared" si="6"/>
        <v>6</v>
      </c>
      <c r="H99" s="2">
        <f t="shared" si="7"/>
        <v>444</v>
      </c>
      <c r="I99" s="2" cm="1">
        <f t="array" ref="I99">ROUND(IF(SUM(mission!$H$46:$H$60)&gt;=chest!$E$25,INDEX(chest!$F$25:$F$29,MATCH(I$25,chest!$D$25:$D$29,0)),0)*(1+$L$4),0)</f>
        <v>6</v>
      </c>
      <c r="J99" s="2" cm="1">
        <f t="array" ref="J99">ROUND(IF(SUM(mission!$H$46:$H$60)&gt;=chest!$E$26,INDEX(chest!$F$25:$F$29,MATCH(J$25,chest!$D$25:$D$29,0)),0)*(1+$L$4),0)</f>
        <v>0</v>
      </c>
      <c r="K99" s="2" cm="1">
        <f t="array" ref="K99">ROUND(IF(SUM(mission!$H$46:$H$60)&gt;=chest!$E$27,INDEX(chest!$F$25:$F$29,MATCH(K$25,chest!$D$25:$D$29,0)),0)*(1+$L$4),0)</f>
        <v>0</v>
      </c>
      <c r="L99" s="2" cm="1">
        <f t="array" ref="L99">ROUND(IF(SUM(mission!$H$46:$H$60)&gt;=chest!$E$28,INDEX(chest!$F$25:$F$29,MATCH(L$25,chest!$D$25:$D$29,0)),0)*(1+$L$4),0)</f>
        <v>0</v>
      </c>
      <c r="M99" s="2" cm="1">
        <f t="array" ref="M99">ROUND(IF(SUM(mission!$H$46:$H$60)&gt;=chest!$E$29,INDEX(chest!$F$25:$F$29,MATCH(M$25,chest!$D$25:$D$29,0)),0)*(1+$L$4),0)</f>
        <v>0</v>
      </c>
    </row>
    <row r="100" s="1" customFormat="1" ht="18" customHeight="1" spans="2:13">
      <c r="B100" s="2">
        <v>75</v>
      </c>
      <c r="C100" s="2">
        <f t="shared" si="4"/>
        <v>75000</v>
      </c>
      <c r="D100" s="2">
        <f>ROUND($C$8*$C$5+$C$8*$C$4*(1-$L$5),0)</f>
        <v>88</v>
      </c>
      <c r="E100" s="2">
        <f t="shared" si="5"/>
        <v>6600</v>
      </c>
      <c r="F100" s="2">
        <f>ROUND(E100*VLOOKUP($B$10,总产出!$T$4:$U$14,2,FALSE),0)</f>
        <v>330</v>
      </c>
      <c r="G100" s="2">
        <f t="shared" si="6"/>
        <v>6</v>
      </c>
      <c r="H100" s="2">
        <f t="shared" si="7"/>
        <v>450</v>
      </c>
      <c r="I100" s="2" cm="1">
        <f t="array" ref="I100">ROUND(IF(SUM(mission!$H$46:$H$60)&gt;=chest!$E$25,INDEX(chest!$F$25:$F$29,MATCH(I$25,chest!$D$25:$D$29,0)),0)*(1+$L$4),0)</f>
        <v>6</v>
      </c>
      <c r="J100" s="2" cm="1">
        <f t="array" ref="J100">ROUND(IF(SUM(mission!$H$46:$H$60)&gt;=chest!$E$26,INDEX(chest!$F$25:$F$29,MATCH(J$25,chest!$D$25:$D$29,0)),0)*(1+$L$4),0)</f>
        <v>0</v>
      </c>
      <c r="K100" s="2" cm="1">
        <f t="array" ref="K100">ROUND(IF(SUM(mission!$H$46:$H$60)&gt;=chest!$E$27,INDEX(chest!$F$25:$F$29,MATCH(K$25,chest!$D$25:$D$29,0)),0)*(1+$L$4),0)</f>
        <v>0</v>
      </c>
      <c r="L100" s="2" cm="1">
        <f t="array" ref="L100">ROUND(IF(SUM(mission!$H$46:$H$60)&gt;=chest!$E$28,INDEX(chest!$F$25:$F$29,MATCH(L$25,chest!$D$25:$D$29,0)),0)*(1+$L$4),0)</f>
        <v>0</v>
      </c>
      <c r="M100" s="2" cm="1">
        <f t="array" ref="M100">ROUND(IF(SUM(mission!$H$46:$H$60)&gt;=chest!$E$29,INDEX(chest!$F$25:$F$29,MATCH(M$25,chest!$D$25:$D$29,0)),0)*(1+$L$4),0)</f>
        <v>0</v>
      </c>
    </row>
    <row r="101" s="1" customFormat="1" ht="18" customHeight="1" spans="2:13">
      <c r="B101" s="2">
        <v>76</v>
      </c>
      <c r="C101" s="2">
        <f t="shared" si="4"/>
        <v>76000</v>
      </c>
      <c r="D101" s="2">
        <f>ROUND($C$8*$C$5+$C$8*$C$4*(1-$L$5),0)</f>
        <v>88</v>
      </c>
      <c r="E101" s="2">
        <f t="shared" si="5"/>
        <v>6688</v>
      </c>
      <c r="F101" s="2">
        <f>ROUND(E101*VLOOKUP($B$10,总产出!$T$4:$U$14,2,FALSE),0)</f>
        <v>334</v>
      </c>
      <c r="G101" s="2">
        <f t="shared" si="6"/>
        <v>6</v>
      </c>
      <c r="H101" s="2">
        <f t="shared" si="7"/>
        <v>456</v>
      </c>
      <c r="I101" s="2" cm="1">
        <f t="array" ref="I101">ROUND(IF(SUM(mission!$H$46:$H$60)&gt;=chest!$E$25,INDEX(chest!$F$25:$F$29,MATCH(I$25,chest!$D$25:$D$29,0)),0)*(1+$L$4),0)</f>
        <v>6</v>
      </c>
      <c r="J101" s="2" cm="1">
        <f t="array" ref="J101">ROUND(IF(SUM(mission!$H$46:$H$60)&gt;=chest!$E$26,INDEX(chest!$F$25:$F$29,MATCH(J$25,chest!$D$25:$D$29,0)),0)*(1+$L$4),0)</f>
        <v>0</v>
      </c>
      <c r="K101" s="2" cm="1">
        <f t="array" ref="K101">ROUND(IF(SUM(mission!$H$46:$H$60)&gt;=chest!$E$27,INDEX(chest!$F$25:$F$29,MATCH(K$25,chest!$D$25:$D$29,0)),0)*(1+$L$4),0)</f>
        <v>0</v>
      </c>
      <c r="L101" s="2" cm="1">
        <f t="array" ref="L101">ROUND(IF(SUM(mission!$H$46:$H$60)&gt;=chest!$E$28,INDEX(chest!$F$25:$F$29,MATCH(L$25,chest!$D$25:$D$29,0)),0)*(1+$L$4),0)</f>
        <v>0</v>
      </c>
      <c r="M101" s="2" cm="1">
        <f t="array" ref="M101">ROUND(IF(SUM(mission!$H$46:$H$60)&gt;=chest!$E$29,INDEX(chest!$F$25:$F$29,MATCH(M$25,chest!$D$25:$D$29,0)),0)*(1+$L$4),0)</f>
        <v>0</v>
      </c>
    </row>
    <row r="102" s="1" customFormat="1" ht="18" customHeight="1" spans="2:13">
      <c r="B102" s="2">
        <v>77</v>
      </c>
      <c r="C102" s="2">
        <f t="shared" si="4"/>
        <v>77000</v>
      </c>
      <c r="D102" s="2">
        <f>ROUND($C$8*$C$5+$C$8*$C$4*(1-$L$5),0)</f>
        <v>88</v>
      </c>
      <c r="E102" s="2">
        <f t="shared" si="5"/>
        <v>6776</v>
      </c>
      <c r="F102" s="2">
        <f>ROUND(E102*VLOOKUP($B$10,总产出!$T$4:$U$14,2,FALSE),0)</f>
        <v>339</v>
      </c>
      <c r="G102" s="2">
        <f t="shared" si="6"/>
        <v>6</v>
      </c>
      <c r="H102" s="2">
        <f t="shared" si="7"/>
        <v>462</v>
      </c>
      <c r="I102" s="2" cm="1">
        <f t="array" ref="I102">ROUND(IF(SUM(mission!$H$46:$H$60)&gt;=chest!$E$25,INDEX(chest!$F$25:$F$29,MATCH(I$25,chest!$D$25:$D$29,0)),0)*(1+$L$4),0)</f>
        <v>6</v>
      </c>
      <c r="J102" s="2" cm="1">
        <f t="array" ref="J102">ROUND(IF(SUM(mission!$H$46:$H$60)&gt;=chest!$E$26,INDEX(chest!$F$25:$F$29,MATCH(J$25,chest!$D$25:$D$29,0)),0)*(1+$L$4),0)</f>
        <v>0</v>
      </c>
      <c r="K102" s="2" cm="1">
        <f t="array" ref="K102">ROUND(IF(SUM(mission!$H$46:$H$60)&gt;=chest!$E$27,INDEX(chest!$F$25:$F$29,MATCH(K$25,chest!$D$25:$D$29,0)),0)*(1+$L$4),0)</f>
        <v>0</v>
      </c>
      <c r="L102" s="2" cm="1">
        <f t="array" ref="L102">ROUND(IF(SUM(mission!$H$46:$H$60)&gt;=chest!$E$28,INDEX(chest!$F$25:$F$29,MATCH(L$25,chest!$D$25:$D$29,0)),0)*(1+$L$4),0)</f>
        <v>0</v>
      </c>
      <c r="M102" s="2" cm="1">
        <f t="array" ref="M102">ROUND(IF(SUM(mission!$H$46:$H$60)&gt;=chest!$E$29,INDEX(chest!$F$25:$F$29,MATCH(M$25,chest!$D$25:$D$29,0)),0)*(1+$L$4),0)</f>
        <v>0</v>
      </c>
    </row>
    <row r="103" s="1" customFormat="1" ht="18" customHeight="1" spans="2:13">
      <c r="B103" s="2">
        <v>78</v>
      </c>
      <c r="C103" s="2">
        <f t="shared" si="4"/>
        <v>78000</v>
      </c>
      <c r="D103" s="2">
        <f>ROUND($C$8*$C$5+$C$8*$C$4*(1-$L$5),0)</f>
        <v>88</v>
      </c>
      <c r="E103" s="2">
        <f t="shared" si="5"/>
        <v>6864</v>
      </c>
      <c r="F103" s="2">
        <f>ROUND(E103*VLOOKUP($B$10,总产出!$T$4:$U$14,2,FALSE),0)</f>
        <v>343</v>
      </c>
      <c r="G103" s="2">
        <f t="shared" si="6"/>
        <v>6</v>
      </c>
      <c r="H103" s="2">
        <f t="shared" si="7"/>
        <v>468</v>
      </c>
      <c r="I103" s="2" cm="1">
        <f t="array" ref="I103">ROUND(IF(SUM(mission!$H$46:$H$60)&gt;=chest!$E$25,INDEX(chest!$F$25:$F$29,MATCH(I$25,chest!$D$25:$D$29,0)),0)*(1+$L$4),0)</f>
        <v>6</v>
      </c>
      <c r="J103" s="2" cm="1">
        <f t="array" ref="J103">ROUND(IF(SUM(mission!$H$46:$H$60)&gt;=chest!$E$26,INDEX(chest!$F$25:$F$29,MATCH(J$25,chest!$D$25:$D$29,0)),0)*(1+$L$4),0)</f>
        <v>0</v>
      </c>
      <c r="K103" s="2" cm="1">
        <f t="array" ref="K103">ROUND(IF(SUM(mission!$H$46:$H$60)&gt;=chest!$E$27,INDEX(chest!$F$25:$F$29,MATCH(K$25,chest!$D$25:$D$29,0)),0)*(1+$L$4),0)</f>
        <v>0</v>
      </c>
      <c r="L103" s="2" cm="1">
        <f t="array" ref="L103">ROUND(IF(SUM(mission!$H$46:$H$60)&gt;=chest!$E$28,INDEX(chest!$F$25:$F$29,MATCH(L$25,chest!$D$25:$D$29,0)),0)*(1+$L$4),0)</f>
        <v>0</v>
      </c>
      <c r="M103" s="2" cm="1">
        <f t="array" ref="M103">ROUND(IF(SUM(mission!$H$46:$H$60)&gt;=chest!$E$29,INDEX(chest!$F$25:$F$29,MATCH(M$25,chest!$D$25:$D$29,0)),0)*(1+$L$4),0)</f>
        <v>0</v>
      </c>
    </row>
    <row r="104" s="1" customFormat="1" ht="18" customHeight="1" spans="2:13">
      <c r="B104" s="2">
        <v>79</v>
      </c>
      <c r="C104" s="2">
        <f t="shared" si="4"/>
        <v>79000</v>
      </c>
      <c r="D104" s="2">
        <f>ROUND($C$8*$C$5+$C$8*$C$4*(1-$L$5),0)</f>
        <v>88</v>
      </c>
      <c r="E104" s="2">
        <f t="shared" si="5"/>
        <v>6952</v>
      </c>
      <c r="F104" s="2">
        <f>ROUND(E104*VLOOKUP($B$10,总产出!$T$4:$U$14,2,FALSE),0)</f>
        <v>348</v>
      </c>
      <c r="G104" s="2">
        <f t="shared" si="6"/>
        <v>6</v>
      </c>
      <c r="H104" s="2">
        <f t="shared" si="7"/>
        <v>474</v>
      </c>
      <c r="I104" s="2" cm="1">
        <f t="array" ref="I104">ROUND(IF(SUM(mission!$H$46:$H$60)&gt;=chest!$E$25,INDEX(chest!$F$25:$F$29,MATCH(I$25,chest!$D$25:$D$29,0)),0)*(1+$L$4),0)</f>
        <v>6</v>
      </c>
      <c r="J104" s="2" cm="1">
        <f t="array" ref="J104">ROUND(IF(SUM(mission!$H$46:$H$60)&gt;=chest!$E$26,INDEX(chest!$F$25:$F$29,MATCH(J$25,chest!$D$25:$D$29,0)),0)*(1+$L$4),0)</f>
        <v>0</v>
      </c>
      <c r="K104" s="2" cm="1">
        <f t="array" ref="K104">ROUND(IF(SUM(mission!$H$46:$H$60)&gt;=chest!$E$27,INDEX(chest!$F$25:$F$29,MATCH(K$25,chest!$D$25:$D$29,0)),0)*(1+$L$4),0)</f>
        <v>0</v>
      </c>
      <c r="L104" s="2" cm="1">
        <f t="array" ref="L104">ROUND(IF(SUM(mission!$H$46:$H$60)&gt;=chest!$E$28,INDEX(chest!$F$25:$F$29,MATCH(L$25,chest!$D$25:$D$29,0)),0)*(1+$L$4),0)</f>
        <v>0</v>
      </c>
      <c r="M104" s="2" cm="1">
        <f t="array" ref="M104">ROUND(IF(SUM(mission!$H$46:$H$60)&gt;=chest!$E$29,INDEX(chest!$F$25:$F$29,MATCH(M$25,chest!$D$25:$D$29,0)),0)*(1+$L$4),0)</f>
        <v>0</v>
      </c>
    </row>
    <row r="105" s="1" customFormat="1" ht="18" customHeight="1" spans="2:13">
      <c r="B105" s="2">
        <v>80</v>
      </c>
      <c r="C105" s="2">
        <f t="shared" si="4"/>
        <v>80000</v>
      </c>
      <c r="D105" s="2">
        <f>ROUND($C$8*$C$5+$C$8*$C$4*(1-$L$5),0)</f>
        <v>88</v>
      </c>
      <c r="E105" s="2">
        <f t="shared" si="5"/>
        <v>7040</v>
      </c>
      <c r="F105" s="2">
        <f>ROUND(E105*VLOOKUP($B$10,总产出!$T$4:$U$14,2,FALSE),0)</f>
        <v>352</v>
      </c>
      <c r="G105" s="2">
        <f t="shared" si="6"/>
        <v>6</v>
      </c>
      <c r="H105" s="2">
        <f t="shared" si="7"/>
        <v>480</v>
      </c>
      <c r="I105" s="2" cm="1">
        <f t="array" ref="I105">ROUND(IF(SUM(mission!$H$46:$H$60)&gt;=chest!$E$25,INDEX(chest!$F$25:$F$29,MATCH(I$25,chest!$D$25:$D$29,0)),0)*(1+$L$4),0)</f>
        <v>6</v>
      </c>
      <c r="J105" s="2" cm="1">
        <f t="array" ref="J105">ROUND(IF(SUM(mission!$H$46:$H$60)&gt;=chest!$E$26,INDEX(chest!$F$25:$F$29,MATCH(J$25,chest!$D$25:$D$29,0)),0)*(1+$L$4),0)</f>
        <v>0</v>
      </c>
      <c r="K105" s="2" cm="1">
        <f t="array" ref="K105">ROUND(IF(SUM(mission!$H$46:$H$60)&gt;=chest!$E$27,INDEX(chest!$F$25:$F$29,MATCH(K$25,chest!$D$25:$D$29,0)),0)*(1+$L$4),0)</f>
        <v>0</v>
      </c>
      <c r="L105" s="2" cm="1">
        <f t="array" ref="L105">ROUND(IF(SUM(mission!$H$46:$H$60)&gt;=chest!$E$28,INDEX(chest!$F$25:$F$29,MATCH(L$25,chest!$D$25:$D$29,0)),0)*(1+$L$4),0)</f>
        <v>0</v>
      </c>
      <c r="M105" s="2" cm="1">
        <f t="array" ref="M105">ROUND(IF(SUM(mission!$H$46:$H$60)&gt;=chest!$E$29,INDEX(chest!$F$25:$F$29,MATCH(M$25,chest!$D$25:$D$29,0)),0)*(1+$L$4),0)</f>
        <v>0</v>
      </c>
    </row>
    <row r="106" s="1" customFormat="1" ht="18" customHeight="1" spans="2:13">
      <c r="B106" s="2">
        <v>81</v>
      </c>
      <c r="C106" s="2">
        <f t="shared" si="4"/>
        <v>81000</v>
      </c>
      <c r="D106" s="2">
        <f>ROUND($C$8*$C$5+$C$8*$C$4*(1-$L$5),0)</f>
        <v>88</v>
      </c>
      <c r="E106" s="2">
        <f t="shared" si="5"/>
        <v>7128</v>
      </c>
      <c r="F106" s="2">
        <f>ROUND(E106*VLOOKUP($B$10,总产出!$T$4:$U$14,2,FALSE),0)</f>
        <v>356</v>
      </c>
      <c r="G106" s="2">
        <f t="shared" si="6"/>
        <v>6</v>
      </c>
      <c r="H106" s="2">
        <f t="shared" si="7"/>
        <v>486</v>
      </c>
      <c r="I106" s="2" cm="1">
        <f t="array" ref="I106">ROUND(IF(SUM(mission!$H$46:$H$60)&gt;=chest!$E$25,INDEX(chest!$F$25:$F$29,MATCH(I$25,chest!$D$25:$D$29,0)),0)*(1+$L$4),0)</f>
        <v>6</v>
      </c>
      <c r="J106" s="2" cm="1">
        <f t="array" ref="J106">ROUND(IF(SUM(mission!$H$46:$H$60)&gt;=chest!$E$26,INDEX(chest!$F$25:$F$29,MATCH(J$25,chest!$D$25:$D$29,0)),0)*(1+$L$4),0)</f>
        <v>0</v>
      </c>
      <c r="K106" s="2" cm="1">
        <f t="array" ref="K106">ROUND(IF(SUM(mission!$H$46:$H$60)&gt;=chest!$E$27,INDEX(chest!$F$25:$F$29,MATCH(K$25,chest!$D$25:$D$29,0)),0)*(1+$L$4),0)</f>
        <v>0</v>
      </c>
      <c r="L106" s="2" cm="1">
        <f t="array" ref="L106">ROUND(IF(SUM(mission!$H$46:$H$60)&gt;=chest!$E$28,INDEX(chest!$F$25:$F$29,MATCH(L$25,chest!$D$25:$D$29,0)),0)*(1+$L$4),0)</f>
        <v>0</v>
      </c>
      <c r="M106" s="2" cm="1">
        <f t="array" ref="M106">ROUND(IF(SUM(mission!$H$46:$H$60)&gt;=chest!$E$29,INDEX(chest!$F$25:$F$29,MATCH(M$25,chest!$D$25:$D$29,0)),0)*(1+$L$4),0)</f>
        <v>0</v>
      </c>
    </row>
    <row r="107" s="1" customFormat="1" ht="18" customHeight="1" spans="2:13">
      <c r="B107" s="2">
        <v>82</v>
      </c>
      <c r="C107" s="2">
        <f t="shared" si="4"/>
        <v>82000</v>
      </c>
      <c r="D107" s="2">
        <f>ROUND($C$8*$C$5+$C$8*$C$4*(1-$L$5),0)</f>
        <v>88</v>
      </c>
      <c r="E107" s="2">
        <f t="shared" si="5"/>
        <v>7216</v>
      </c>
      <c r="F107" s="2">
        <f>ROUND(E107*VLOOKUP($B$10,总产出!$T$4:$U$14,2,FALSE),0)</f>
        <v>361</v>
      </c>
      <c r="G107" s="2">
        <f t="shared" si="6"/>
        <v>6</v>
      </c>
      <c r="H107" s="2">
        <f t="shared" si="7"/>
        <v>492</v>
      </c>
      <c r="I107" s="2" cm="1">
        <f t="array" ref="I107">ROUND(IF(SUM(mission!$H$46:$H$60)&gt;=chest!$E$25,INDEX(chest!$F$25:$F$29,MATCH(I$25,chest!$D$25:$D$29,0)),0)*(1+$L$4),0)</f>
        <v>6</v>
      </c>
      <c r="J107" s="2" cm="1">
        <f t="array" ref="J107">ROUND(IF(SUM(mission!$H$46:$H$60)&gt;=chest!$E$26,INDEX(chest!$F$25:$F$29,MATCH(J$25,chest!$D$25:$D$29,0)),0)*(1+$L$4),0)</f>
        <v>0</v>
      </c>
      <c r="K107" s="2" cm="1">
        <f t="array" ref="K107">ROUND(IF(SUM(mission!$H$46:$H$60)&gt;=chest!$E$27,INDEX(chest!$F$25:$F$29,MATCH(K$25,chest!$D$25:$D$29,0)),0)*(1+$L$4),0)</f>
        <v>0</v>
      </c>
      <c r="L107" s="2" cm="1">
        <f t="array" ref="L107">ROUND(IF(SUM(mission!$H$46:$H$60)&gt;=chest!$E$28,INDEX(chest!$F$25:$F$29,MATCH(L$25,chest!$D$25:$D$29,0)),0)*(1+$L$4),0)</f>
        <v>0</v>
      </c>
      <c r="M107" s="2" cm="1">
        <f t="array" ref="M107">ROUND(IF(SUM(mission!$H$46:$H$60)&gt;=chest!$E$29,INDEX(chest!$F$25:$F$29,MATCH(M$25,chest!$D$25:$D$29,0)),0)*(1+$L$4),0)</f>
        <v>0</v>
      </c>
    </row>
    <row r="108" s="1" customFormat="1" ht="18" customHeight="1" spans="2:13">
      <c r="B108" s="2">
        <v>83</v>
      </c>
      <c r="C108" s="2">
        <f t="shared" si="4"/>
        <v>83000</v>
      </c>
      <c r="D108" s="2">
        <f>ROUND($C$8*$C$5+$C$8*$C$4*(1-$L$5),0)</f>
        <v>88</v>
      </c>
      <c r="E108" s="2">
        <f t="shared" si="5"/>
        <v>7304</v>
      </c>
      <c r="F108" s="2">
        <f>ROUND(E108*VLOOKUP($B$10,总产出!$T$4:$U$14,2,FALSE),0)</f>
        <v>365</v>
      </c>
      <c r="G108" s="2">
        <f t="shared" si="6"/>
        <v>6</v>
      </c>
      <c r="H108" s="2">
        <f t="shared" si="7"/>
        <v>498</v>
      </c>
      <c r="I108" s="2" cm="1">
        <f t="array" ref="I108">ROUND(IF(SUM(mission!$H$46:$H$60)&gt;=chest!$E$25,INDEX(chest!$F$25:$F$29,MATCH(I$25,chest!$D$25:$D$29,0)),0)*(1+$L$4),0)</f>
        <v>6</v>
      </c>
      <c r="J108" s="2" cm="1">
        <f t="array" ref="J108">ROUND(IF(SUM(mission!$H$46:$H$60)&gt;=chest!$E$26,INDEX(chest!$F$25:$F$29,MATCH(J$25,chest!$D$25:$D$29,0)),0)*(1+$L$4),0)</f>
        <v>0</v>
      </c>
      <c r="K108" s="2" cm="1">
        <f t="array" ref="K108">ROUND(IF(SUM(mission!$H$46:$H$60)&gt;=chest!$E$27,INDEX(chest!$F$25:$F$29,MATCH(K$25,chest!$D$25:$D$29,0)),0)*(1+$L$4),0)</f>
        <v>0</v>
      </c>
      <c r="L108" s="2" cm="1">
        <f t="array" ref="L108">ROUND(IF(SUM(mission!$H$46:$H$60)&gt;=chest!$E$28,INDEX(chest!$F$25:$F$29,MATCH(L$25,chest!$D$25:$D$29,0)),0)*(1+$L$4),0)</f>
        <v>0</v>
      </c>
      <c r="M108" s="2" cm="1">
        <f t="array" ref="M108">ROUND(IF(SUM(mission!$H$46:$H$60)&gt;=chest!$E$29,INDEX(chest!$F$25:$F$29,MATCH(M$25,chest!$D$25:$D$29,0)),0)*(1+$L$4),0)</f>
        <v>0</v>
      </c>
    </row>
    <row r="109" s="1" customFormat="1" ht="18" customHeight="1" spans="2:13">
      <c r="B109" s="2">
        <v>84</v>
      </c>
      <c r="C109" s="2">
        <f t="shared" si="4"/>
        <v>84000</v>
      </c>
      <c r="D109" s="2">
        <f>ROUND($C$8*$C$5+$C$8*$C$4*(1-$L$5),0)</f>
        <v>88</v>
      </c>
      <c r="E109" s="2">
        <f t="shared" si="5"/>
        <v>7392</v>
      </c>
      <c r="F109" s="2">
        <f>ROUND(E109*VLOOKUP($B$10,总产出!$T$4:$U$14,2,FALSE),0)</f>
        <v>370</v>
      </c>
      <c r="G109" s="2">
        <f t="shared" si="6"/>
        <v>6</v>
      </c>
      <c r="H109" s="2">
        <f t="shared" si="7"/>
        <v>504</v>
      </c>
      <c r="I109" s="2" cm="1">
        <f t="array" ref="I109">ROUND(IF(SUM(mission!$H$46:$H$60)&gt;=chest!$E$25,INDEX(chest!$F$25:$F$29,MATCH(I$25,chest!$D$25:$D$29,0)),0)*(1+$L$4),0)</f>
        <v>6</v>
      </c>
      <c r="J109" s="2" cm="1">
        <f t="array" ref="J109">ROUND(IF(SUM(mission!$H$46:$H$60)&gt;=chest!$E$26,INDEX(chest!$F$25:$F$29,MATCH(J$25,chest!$D$25:$D$29,0)),0)*(1+$L$4),0)</f>
        <v>0</v>
      </c>
      <c r="K109" s="2" cm="1">
        <f t="array" ref="K109">ROUND(IF(SUM(mission!$H$46:$H$60)&gt;=chest!$E$27,INDEX(chest!$F$25:$F$29,MATCH(K$25,chest!$D$25:$D$29,0)),0)*(1+$L$4),0)</f>
        <v>0</v>
      </c>
      <c r="L109" s="2" cm="1">
        <f t="array" ref="L109">ROUND(IF(SUM(mission!$H$46:$H$60)&gt;=chest!$E$28,INDEX(chest!$F$25:$F$29,MATCH(L$25,chest!$D$25:$D$29,0)),0)*(1+$L$4),0)</f>
        <v>0</v>
      </c>
      <c r="M109" s="2" cm="1">
        <f t="array" ref="M109">ROUND(IF(SUM(mission!$H$46:$H$60)&gt;=chest!$E$29,INDEX(chest!$F$25:$F$29,MATCH(M$25,chest!$D$25:$D$29,0)),0)*(1+$L$4),0)</f>
        <v>0</v>
      </c>
    </row>
    <row r="110" s="1" customFormat="1" ht="18" customHeight="1" spans="2:13">
      <c r="B110" s="2">
        <v>85</v>
      </c>
      <c r="C110" s="2">
        <f t="shared" si="4"/>
        <v>85000</v>
      </c>
      <c r="D110" s="2">
        <f>ROUND($C$8*$C$5+$C$8*$C$4*(1-$L$5),0)</f>
        <v>88</v>
      </c>
      <c r="E110" s="2">
        <f t="shared" si="5"/>
        <v>7480</v>
      </c>
      <c r="F110" s="2">
        <f>ROUND(E110*VLOOKUP($B$10,总产出!$T$4:$U$14,2,FALSE),0)</f>
        <v>374</v>
      </c>
      <c r="G110" s="2">
        <f t="shared" si="6"/>
        <v>6</v>
      </c>
      <c r="H110" s="2">
        <f t="shared" si="7"/>
        <v>510</v>
      </c>
      <c r="I110" s="2" cm="1">
        <f t="array" ref="I110">ROUND(IF(SUM(mission!$H$46:$H$60)&gt;=chest!$E$25,INDEX(chest!$F$25:$F$29,MATCH(I$25,chest!$D$25:$D$29,0)),0)*(1+$L$4),0)</f>
        <v>6</v>
      </c>
      <c r="J110" s="2" cm="1">
        <f t="array" ref="J110">ROUND(IF(SUM(mission!$H$46:$H$60)&gt;=chest!$E$26,INDEX(chest!$F$25:$F$29,MATCH(J$25,chest!$D$25:$D$29,0)),0)*(1+$L$4),0)</f>
        <v>0</v>
      </c>
      <c r="K110" s="2" cm="1">
        <f t="array" ref="K110">ROUND(IF(SUM(mission!$H$46:$H$60)&gt;=chest!$E$27,INDEX(chest!$F$25:$F$29,MATCH(K$25,chest!$D$25:$D$29,0)),0)*(1+$L$4),0)</f>
        <v>0</v>
      </c>
      <c r="L110" s="2" cm="1">
        <f t="array" ref="L110">ROUND(IF(SUM(mission!$H$46:$H$60)&gt;=chest!$E$28,INDEX(chest!$F$25:$F$29,MATCH(L$25,chest!$D$25:$D$29,0)),0)*(1+$L$4),0)</f>
        <v>0</v>
      </c>
      <c r="M110" s="2" cm="1">
        <f t="array" ref="M110">ROUND(IF(SUM(mission!$H$46:$H$60)&gt;=chest!$E$29,INDEX(chest!$F$25:$F$29,MATCH(M$25,chest!$D$25:$D$29,0)),0)*(1+$L$4),0)</f>
        <v>0</v>
      </c>
    </row>
    <row r="111" s="1" customFormat="1" ht="18" customHeight="1" spans="2:13">
      <c r="B111" s="2">
        <v>86</v>
      </c>
      <c r="C111" s="2">
        <f t="shared" si="4"/>
        <v>86000</v>
      </c>
      <c r="D111" s="2">
        <f>ROUND($C$8*$C$5+$C$8*$C$4*(1-$L$5),0)</f>
        <v>88</v>
      </c>
      <c r="E111" s="2">
        <f t="shared" si="5"/>
        <v>7568</v>
      </c>
      <c r="F111" s="2">
        <f>ROUND(E111*VLOOKUP($B$10,总产出!$T$4:$U$14,2,FALSE),0)</f>
        <v>378</v>
      </c>
      <c r="G111" s="2">
        <f t="shared" si="6"/>
        <v>6</v>
      </c>
      <c r="H111" s="2">
        <f t="shared" si="7"/>
        <v>516</v>
      </c>
      <c r="I111" s="2" cm="1">
        <f t="array" ref="I111">ROUND(IF(SUM(mission!$H$46:$H$60)&gt;=chest!$E$25,INDEX(chest!$F$25:$F$29,MATCH(I$25,chest!$D$25:$D$29,0)),0)*(1+$L$4),0)</f>
        <v>6</v>
      </c>
      <c r="J111" s="2" cm="1">
        <f t="array" ref="J111">ROUND(IF(SUM(mission!$H$46:$H$60)&gt;=chest!$E$26,INDEX(chest!$F$25:$F$29,MATCH(J$25,chest!$D$25:$D$29,0)),0)*(1+$L$4),0)</f>
        <v>0</v>
      </c>
      <c r="K111" s="2" cm="1">
        <f t="array" ref="K111">ROUND(IF(SUM(mission!$H$46:$H$60)&gt;=chest!$E$27,INDEX(chest!$F$25:$F$29,MATCH(K$25,chest!$D$25:$D$29,0)),0)*(1+$L$4),0)</f>
        <v>0</v>
      </c>
      <c r="L111" s="2" cm="1">
        <f t="array" ref="L111">ROUND(IF(SUM(mission!$H$46:$H$60)&gt;=chest!$E$28,INDEX(chest!$F$25:$F$29,MATCH(L$25,chest!$D$25:$D$29,0)),0)*(1+$L$4),0)</f>
        <v>0</v>
      </c>
      <c r="M111" s="2" cm="1">
        <f t="array" ref="M111">ROUND(IF(SUM(mission!$H$46:$H$60)&gt;=chest!$E$29,INDEX(chest!$F$25:$F$29,MATCH(M$25,chest!$D$25:$D$29,0)),0)*(1+$L$4),0)</f>
        <v>0</v>
      </c>
    </row>
    <row r="112" s="1" customFormat="1" ht="18" customHeight="1" spans="2:13">
      <c r="B112" s="2">
        <v>87</v>
      </c>
      <c r="C112" s="2">
        <f t="shared" si="4"/>
        <v>87000</v>
      </c>
      <c r="D112" s="2">
        <f>ROUND($C$8*$C$5+$C$8*$C$4*(1-$L$5),0)</f>
        <v>88</v>
      </c>
      <c r="E112" s="2">
        <f t="shared" si="5"/>
        <v>7656</v>
      </c>
      <c r="F112" s="2">
        <f>ROUND(E112*VLOOKUP($B$10,总产出!$T$4:$U$14,2,FALSE),0)</f>
        <v>383</v>
      </c>
      <c r="G112" s="2">
        <f t="shared" si="6"/>
        <v>6</v>
      </c>
      <c r="H112" s="2">
        <f t="shared" si="7"/>
        <v>522</v>
      </c>
      <c r="I112" s="2" cm="1">
        <f t="array" ref="I112">ROUND(IF(SUM(mission!$H$46:$H$60)&gt;=chest!$E$25,INDEX(chest!$F$25:$F$29,MATCH(I$25,chest!$D$25:$D$29,0)),0)*(1+$L$4),0)</f>
        <v>6</v>
      </c>
      <c r="J112" s="2" cm="1">
        <f t="array" ref="J112">ROUND(IF(SUM(mission!$H$46:$H$60)&gt;=chest!$E$26,INDEX(chest!$F$25:$F$29,MATCH(J$25,chest!$D$25:$D$29,0)),0)*(1+$L$4),0)</f>
        <v>0</v>
      </c>
      <c r="K112" s="2" cm="1">
        <f t="array" ref="K112">ROUND(IF(SUM(mission!$H$46:$H$60)&gt;=chest!$E$27,INDEX(chest!$F$25:$F$29,MATCH(K$25,chest!$D$25:$D$29,0)),0)*(1+$L$4),0)</f>
        <v>0</v>
      </c>
      <c r="L112" s="2" cm="1">
        <f t="array" ref="L112">ROUND(IF(SUM(mission!$H$46:$H$60)&gt;=chest!$E$28,INDEX(chest!$F$25:$F$29,MATCH(L$25,chest!$D$25:$D$29,0)),0)*(1+$L$4),0)</f>
        <v>0</v>
      </c>
      <c r="M112" s="2" cm="1">
        <f t="array" ref="M112">ROUND(IF(SUM(mission!$H$46:$H$60)&gt;=chest!$E$29,INDEX(chest!$F$25:$F$29,MATCH(M$25,chest!$D$25:$D$29,0)),0)*(1+$L$4),0)</f>
        <v>0</v>
      </c>
    </row>
    <row r="113" s="1" customFormat="1" ht="18" customHeight="1" spans="2:13">
      <c r="B113" s="2">
        <v>88</v>
      </c>
      <c r="C113" s="2">
        <f t="shared" si="4"/>
        <v>88000</v>
      </c>
      <c r="D113" s="2">
        <f>ROUND($C$8*$C$5+$C$8*$C$4*(1-$L$5),0)</f>
        <v>88</v>
      </c>
      <c r="E113" s="2">
        <f t="shared" si="5"/>
        <v>7744</v>
      </c>
      <c r="F113" s="2">
        <f>ROUND(E113*VLOOKUP($B$10,总产出!$T$4:$U$14,2,FALSE),0)</f>
        <v>387</v>
      </c>
      <c r="G113" s="2">
        <f t="shared" si="6"/>
        <v>6</v>
      </c>
      <c r="H113" s="2">
        <f t="shared" si="7"/>
        <v>528</v>
      </c>
      <c r="I113" s="2" cm="1">
        <f t="array" ref="I113">ROUND(IF(SUM(mission!$H$46:$H$60)&gt;=chest!$E$25,INDEX(chest!$F$25:$F$29,MATCH(I$25,chest!$D$25:$D$29,0)),0)*(1+$L$4),0)</f>
        <v>6</v>
      </c>
      <c r="J113" s="2" cm="1">
        <f t="array" ref="J113">ROUND(IF(SUM(mission!$H$46:$H$60)&gt;=chest!$E$26,INDEX(chest!$F$25:$F$29,MATCH(J$25,chest!$D$25:$D$29,0)),0)*(1+$L$4),0)</f>
        <v>0</v>
      </c>
      <c r="K113" s="2" cm="1">
        <f t="array" ref="K113">ROUND(IF(SUM(mission!$H$46:$H$60)&gt;=chest!$E$27,INDEX(chest!$F$25:$F$29,MATCH(K$25,chest!$D$25:$D$29,0)),0)*(1+$L$4),0)</f>
        <v>0</v>
      </c>
      <c r="L113" s="2" cm="1">
        <f t="array" ref="L113">ROUND(IF(SUM(mission!$H$46:$H$60)&gt;=chest!$E$28,INDEX(chest!$F$25:$F$29,MATCH(L$25,chest!$D$25:$D$29,0)),0)*(1+$L$4),0)</f>
        <v>0</v>
      </c>
      <c r="M113" s="2" cm="1">
        <f t="array" ref="M113">ROUND(IF(SUM(mission!$H$46:$H$60)&gt;=chest!$E$29,INDEX(chest!$F$25:$F$29,MATCH(M$25,chest!$D$25:$D$29,0)),0)*(1+$L$4),0)</f>
        <v>0</v>
      </c>
    </row>
    <row r="114" s="1" customFormat="1" ht="18" customHeight="1" spans="2:13">
      <c r="B114" s="2">
        <v>89</v>
      </c>
      <c r="C114" s="2">
        <f t="shared" si="4"/>
        <v>89000</v>
      </c>
      <c r="D114" s="2">
        <f>ROUND($C$8*$C$5+$C$8*$C$4*(1-$L$5),0)</f>
        <v>88</v>
      </c>
      <c r="E114" s="2">
        <f t="shared" si="5"/>
        <v>7832</v>
      </c>
      <c r="F114" s="2">
        <f>ROUND(E114*VLOOKUP($B$10,总产出!$T$4:$U$14,2,FALSE),0)</f>
        <v>392</v>
      </c>
      <c r="G114" s="2">
        <f t="shared" si="6"/>
        <v>6</v>
      </c>
      <c r="H114" s="2">
        <f t="shared" si="7"/>
        <v>534</v>
      </c>
      <c r="I114" s="2" cm="1">
        <f t="array" ref="I114">ROUND(IF(SUM(mission!$H$46:$H$60)&gt;=chest!$E$25,INDEX(chest!$F$25:$F$29,MATCH(I$25,chest!$D$25:$D$29,0)),0)*(1+$L$4),0)</f>
        <v>6</v>
      </c>
      <c r="J114" s="2" cm="1">
        <f t="array" ref="J114">ROUND(IF(SUM(mission!$H$46:$H$60)&gt;=chest!$E$26,INDEX(chest!$F$25:$F$29,MATCH(J$25,chest!$D$25:$D$29,0)),0)*(1+$L$4),0)</f>
        <v>0</v>
      </c>
      <c r="K114" s="2" cm="1">
        <f t="array" ref="K114">ROUND(IF(SUM(mission!$H$46:$H$60)&gt;=chest!$E$27,INDEX(chest!$F$25:$F$29,MATCH(K$25,chest!$D$25:$D$29,0)),0)*(1+$L$4),0)</f>
        <v>0</v>
      </c>
      <c r="L114" s="2" cm="1">
        <f t="array" ref="L114">ROUND(IF(SUM(mission!$H$46:$H$60)&gt;=chest!$E$28,INDEX(chest!$F$25:$F$29,MATCH(L$25,chest!$D$25:$D$29,0)),0)*(1+$L$4),0)</f>
        <v>0</v>
      </c>
      <c r="M114" s="2" cm="1">
        <f t="array" ref="M114">ROUND(IF(SUM(mission!$H$46:$H$60)&gt;=chest!$E$29,INDEX(chest!$F$25:$F$29,MATCH(M$25,chest!$D$25:$D$29,0)),0)*(1+$L$4),0)</f>
        <v>0</v>
      </c>
    </row>
    <row r="115" s="1" customFormat="1" ht="18" customHeight="1" spans="2:13">
      <c r="B115" s="2">
        <v>90</v>
      </c>
      <c r="C115" s="2">
        <f t="shared" si="4"/>
        <v>90000</v>
      </c>
      <c r="D115" s="2">
        <f>ROUND($C$8*$C$5+$C$8*$C$4*(1-$L$5),0)</f>
        <v>88</v>
      </c>
      <c r="E115" s="2">
        <f t="shared" si="5"/>
        <v>7920</v>
      </c>
      <c r="F115" s="2">
        <f>ROUND(E115*VLOOKUP($B$10,总产出!$T$4:$U$14,2,FALSE),0)</f>
        <v>396</v>
      </c>
      <c r="G115" s="2">
        <f t="shared" si="6"/>
        <v>6</v>
      </c>
      <c r="H115" s="2">
        <f t="shared" si="7"/>
        <v>540</v>
      </c>
      <c r="I115" s="2" cm="1">
        <f t="array" ref="I115">ROUND(IF(SUM(mission!$H$46:$H$60)&gt;=chest!$E$25,INDEX(chest!$F$25:$F$29,MATCH(I$25,chest!$D$25:$D$29,0)),0)*(1+$L$4),0)</f>
        <v>6</v>
      </c>
      <c r="J115" s="2" cm="1">
        <f t="array" ref="J115">ROUND(IF(SUM(mission!$H$46:$H$60)&gt;=chest!$E$26,INDEX(chest!$F$25:$F$29,MATCH(J$25,chest!$D$25:$D$29,0)),0)*(1+$L$4),0)</f>
        <v>0</v>
      </c>
      <c r="K115" s="2" cm="1">
        <f t="array" ref="K115">ROUND(IF(SUM(mission!$H$46:$H$60)&gt;=chest!$E$27,INDEX(chest!$F$25:$F$29,MATCH(K$25,chest!$D$25:$D$29,0)),0)*(1+$L$4),0)</f>
        <v>0</v>
      </c>
      <c r="L115" s="2" cm="1">
        <f t="array" ref="L115">ROUND(IF(SUM(mission!$H$46:$H$60)&gt;=chest!$E$28,INDEX(chest!$F$25:$F$29,MATCH(L$25,chest!$D$25:$D$29,0)),0)*(1+$L$4),0)</f>
        <v>0</v>
      </c>
      <c r="M115" s="2" cm="1">
        <f t="array" ref="M115">ROUND(IF(SUM(mission!$H$46:$H$60)&gt;=chest!$E$29,INDEX(chest!$F$25:$F$29,MATCH(M$25,chest!$D$25:$D$29,0)),0)*(1+$L$4),0)</f>
        <v>0</v>
      </c>
    </row>
    <row r="116" s="1" customFormat="1" ht="18" customHeight="1" spans="2:13">
      <c r="B116" s="2">
        <v>91</v>
      </c>
      <c r="C116" s="2">
        <f t="shared" si="4"/>
        <v>91000</v>
      </c>
      <c r="D116" s="2">
        <f>ROUND($C$8*$C$5+$C$8*$C$4*(1-$L$5),0)</f>
        <v>88</v>
      </c>
      <c r="E116" s="2">
        <f t="shared" si="5"/>
        <v>8008</v>
      </c>
      <c r="F116" s="2">
        <f>ROUND(E116*VLOOKUP($B$10,总产出!$T$4:$U$14,2,FALSE),0)</f>
        <v>400</v>
      </c>
      <c r="G116" s="2">
        <f t="shared" si="6"/>
        <v>6</v>
      </c>
      <c r="H116" s="2">
        <f t="shared" si="7"/>
        <v>546</v>
      </c>
      <c r="I116" s="2" cm="1">
        <f t="array" ref="I116">ROUND(IF(SUM(mission!$H$46:$H$60)&gt;=chest!$E$25,INDEX(chest!$F$25:$F$29,MATCH(I$25,chest!$D$25:$D$29,0)),0)*(1+$L$4),0)</f>
        <v>6</v>
      </c>
      <c r="J116" s="2" cm="1">
        <f t="array" ref="J116">ROUND(IF(SUM(mission!$H$46:$H$60)&gt;=chest!$E$26,INDEX(chest!$F$25:$F$29,MATCH(J$25,chest!$D$25:$D$29,0)),0)*(1+$L$4),0)</f>
        <v>0</v>
      </c>
      <c r="K116" s="2" cm="1">
        <f t="array" ref="K116">ROUND(IF(SUM(mission!$H$46:$H$60)&gt;=chest!$E$27,INDEX(chest!$F$25:$F$29,MATCH(K$25,chest!$D$25:$D$29,0)),0)*(1+$L$4),0)</f>
        <v>0</v>
      </c>
      <c r="L116" s="2" cm="1">
        <f t="array" ref="L116">ROUND(IF(SUM(mission!$H$46:$H$60)&gt;=chest!$E$28,INDEX(chest!$F$25:$F$29,MATCH(L$25,chest!$D$25:$D$29,0)),0)*(1+$L$4),0)</f>
        <v>0</v>
      </c>
      <c r="M116" s="2" cm="1">
        <f t="array" ref="M116">ROUND(IF(SUM(mission!$H$46:$H$60)&gt;=chest!$E$29,INDEX(chest!$F$25:$F$29,MATCH(M$25,chest!$D$25:$D$29,0)),0)*(1+$L$4),0)</f>
        <v>0</v>
      </c>
    </row>
    <row r="117" s="1" customFormat="1" ht="18" customHeight="1" spans="2:13">
      <c r="B117" s="2">
        <v>92</v>
      </c>
      <c r="C117" s="2">
        <f t="shared" si="4"/>
        <v>92000</v>
      </c>
      <c r="D117" s="2">
        <f>ROUND($C$8*$C$5+$C$8*$C$4*(1-$L$5),0)</f>
        <v>88</v>
      </c>
      <c r="E117" s="2">
        <f t="shared" si="5"/>
        <v>8096</v>
      </c>
      <c r="F117" s="2">
        <f>ROUND(E117*VLOOKUP($B$10,总产出!$T$4:$U$14,2,FALSE),0)</f>
        <v>405</v>
      </c>
      <c r="G117" s="2">
        <f t="shared" si="6"/>
        <v>6</v>
      </c>
      <c r="H117" s="2">
        <f t="shared" si="7"/>
        <v>552</v>
      </c>
      <c r="I117" s="2" cm="1">
        <f t="array" ref="I117">ROUND(IF(SUM(mission!$H$46:$H$60)&gt;=chest!$E$25,INDEX(chest!$F$25:$F$29,MATCH(I$25,chest!$D$25:$D$29,0)),0)*(1+$L$4),0)</f>
        <v>6</v>
      </c>
      <c r="J117" s="2" cm="1">
        <f t="array" ref="J117">ROUND(IF(SUM(mission!$H$46:$H$60)&gt;=chest!$E$26,INDEX(chest!$F$25:$F$29,MATCH(J$25,chest!$D$25:$D$29,0)),0)*(1+$L$4),0)</f>
        <v>0</v>
      </c>
      <c r="K117" s="2" cm="1">
        <f t="array" ref="K117">ROUND(IF(SUM(mission!$H$46:$H$60)&gt;=chest!$E$27,INDEX(chest!$F$25:$F$29,MATCH(K$25,chest!$D$25:$D$29,0)),0)*(1+$L$4),0)</f>
        <v>0</v>
      </c>
      <c r="L117" s="2" cm="1">
        <f t="array" ref="L117">ROUND(IF(SUM(mission!$H$46:$H$60)&gt;=chest!$E$28,INDEX(chest!$F$25:$F$29,MATCH(L$25,chest!$D$25:$D$29,0)),0)*(1+$L$4),0)</f>
        <v>0</v>
      </c>
      <c r="M117" s="2" cm="1">
        <f t="array" ref="M117">ROUND(IF(SUM(mission!$H$46:$H$60)&gt;=chest!$E$29,INDEX(chest!$F$25:$F$29,MATCH(M$25,chest!$D$25:$D$29,0)),0)*(1+$L$4),0)</f>
        <v>0</v>
      </c>
    </row>
    <row r="118" s="1" customFormat="1" ht="18" customHeight="1" spans="2:13">
      <c r="B118" s="2">
        <v>93</v>
      </c>
      <c r="C118" s="2">
        <f t="shared" si="4"/>
        <v>93000</v>
      </c>
      <c r="D118" s="2">
        <f>ROUND($C$8*$C$5+$C$8*$C$4*(1-$L$5),0)</f>
        <v>88</v>
      </c>
      <c r="E118" s="2">
        <f t="shared" si="5"/>
        <v>8184</v>
      </c>
      <c r="F118" s="2">
        <f>ROUND(E118*VLOOKUP($B$10,总产出!$T$4:$U$14,2,FALSE),0)</f>
        <v>409</v>
      </c>
      <c r="G118" s="2">
        <f t="shared" si="6"/>
        <v>6</v>
      </c>
      <c r="H118" s="2">
        <f t="shared" si="7"/>
        <v>558</v>
      </c>
      <c r="I118" s="2" cm="1">
        <f t="array" ref="I118">ROUND(IF(SUM(mission!$H$46:$H$60)&gt;=chest!$E$25,INDEX(chest!$F$25:$F$29,MATCH(I$25,chest!$D$25:$D$29,0)),0)*(1+$L$4),0)</f>
        <v>6</v>
      </c>
      <c r="J118" s="2" cm="1">
        <f t="array" ref="J118">ROUND(IF(SUM(mission!$H$46:$H$60)&gt;=chest!$E$26,INDEX(chest!$F$25:$F$29,MATCH(J$25,chest!$D$25:$D$29,0)),0)*(1+$L$4),0)</f>
        <v>0</v>
      </c>
      <c r="K118" s="2" cm="1">
        <f t="array" ref="K118">ROUND(IF(SUM(mission!$H$46:$H$60)&gt;=chest!$E$27,INDEX(chest!$F$25:$F$29,MATCH(K$25,chest!$D$25:$D$29,0)),0)*(1+$L$4),0)</f>
        <v>0</v>
      </c>
      <c r="L118" s="2" cm="1">
        <f t="array" ref="L118">ROUND(IF(SUM(mission!$H$46:$H$60)&gt;=chest!$E$28,INDEX(chest!$F$25:$F$29,MATCH(L$25,chest!$D$25:$D$29,0)),0)*(1+$L$4),0)</f>
        <v>0</v>
      </c>
      <c r="M118" s="2" cm="1">
        <f t="array" ref="M118">ROUND(IF(SUM(mission!$H$46:$H$60)&gt;=chest!$E$29,INDEX(chest!$F$25:$F$29,MATCH(M$25,chest!$D$25:$D$29,0)),0)*(1+$L$4),0)</f>
        <v>0</v>
      </c>
    </row>
    <row r="119" s="1" customFormat="1" ht="18" customHeight="1" spans="2:13">
      <c r="B119" s="2">
        <v>94</v>
      </c>
      <c r="C119" s="2">
        <f t="shared" si="4"/>
        <v>94000</v>
      </c>
      <c r="D119" s="2">
        <f>ROUND($C$8*$C$5+$C$8*$C$4*(1-$L$5),0)</f>
        <v>88</v>
      </c>
      <c r="E119" s="2">
        <f t="shared" si="5"/>
        <v>8272</v>
      </c>
      <c r="F119" s="2">
        <f>ROUND(E119*VLOOKUP($B$10,总产出!$T$4:$U$14,2,FALSE),0)</f>
        <v>414</v>
      </c>
      <c r="G119" s="2">
        <f t="shared" si="6"/>
        <v>6</v>
      </c>
      <c r="H119" s="2">
        <f t="shared" si="7"/>
        <v>564</v>
      </c>
      <c r="I119" s="2" cm="1">
        <f t="array" ref="I119">ROUND(IF(SUM(mission!$H$46:$H$60)&gt;=chest!$E$25,INDEX(chest!$F$25:$F$29,MATCH(I$25,chest!$D$25:$D$29,0)),0)*(1+$L$4),0)</f>
        <v>6</v>
      </c>
      <c r="J119" s="2" cm="1">
        <f t="array" ref="J119">ROUND(IF(SUM(mission!$H$46:$H$60)&gt;=chest!$E$26,INDEX(chest!$F$25:$F$29,MATCH(J$25,chest!$D$25:$D$29,0)),0)*(1+$L$4),0)</f>
        <v>0</v>
      </c>
      <c r="K119" s="2" cm="1">
        <f t="array" ref="K119">ROUND(IF(SUM(mission!$H$46:$H$60)&gt;=chest!$E$27,INDEX(chest!$F$25:$F$29,MATCH(K$25,chest!$D$25:$D$29,0)),0)*(1+$L$4),0)</f>
        <v>0</v>
      </c>
      <c r="L119" s="2" cm="1">
        <f t="array" ref="L119">ROUND(IF(SUM(mission!$H$46:$H$60)&gt;=chest!$E$28,INDEX(chest!$F$25:$F$29,MATCH(L$25,chest!$D$25:$D$29,0)),0)*(1+$L$4),0)</f>
        <v>0</v>
      </c>
      <c r="M119" s="2" cm="1">
        <f t="array" ref="M119">ROUND(IF(SUM(mission!$H$46:$H$60)&gt;=chest!$E$29,INDEX(chest!$F$25:$F$29,MATCH(M$25,chest!$D$25:$D$29,0)),0)*(1+$L$4),0)</f>
        <v>0</v>
      </c>
    </row>
    <row r="120" s="1" customFormat="1" ht="18" customHeight="1" spans="2:13">
      <c r="B120" s="2">
        <v>95</v>
      </c>
      <c r="C120" s="2">
        <f t="shared" si="4"/>
        <v>95000</v>
      </c>
      <c r="D120" s="2">
        <f>ROUND($C$8*$C$5+$C$8*$C$4*(1-$L$5),0)</f>
        <v>88</v>
      </c>
      <c r="E120" s="2">
        <f t="shared" si="5"/>
        <v>8360</v>
      </c>
      <c r="F120" s="2">
        <f>ROUND(E120*VLOOKUP($B$10,总产出!$T$4:$U$14,2,FALSE),0)</f>
        <v>418</v>
      </c>
      <c r="G120" s="2">
        <f t="shared" si="6"/>
        <v>6</v>
      </c>
      <c r="H120" s="2">
        <f t="shared" si="7"/>
        <v>570</v>
      </c>
      <c r="I120" s="2" cm="1">
        <f t="array" ref="I120">ROUND(IF(SUM(mission!$H$46:$H$60)&gt;=chest!$E$25,INDEX(chest!$F$25:$F$29,MATCH(I$25,chest!$D$25:$D$29,0)),0)*(1+$L$4),0)</f>
        <v>6</v>
      </c>
      <c r="J120" s="2" cm="1">
        <f t="array" ref="J120">ROUND(IF(SUM(mission!$H$46:$H$60)&gt;=chest!$E$26,INDEX(chest!$F$25:$F$29,MATCH(J$25,chest!$D$25:$D$29,0)),0)*(1+$L$4),0)</f>
        <v>0</v>
      </c>
      <c r="K120" s="2" cm="1">
        <f t="array" ref="K120">ROUND(IF(SUM(mission!$H$46:$H$60)&gt;=chest!$E$27,INDEX(chest!$F$25:$F$29,MATCH(K$25,chest!$D$25:$D$29,0)),0)*(1+$L$4),0)</f>
        <v>0</v>
      </c>
      <c r="L120" s="2" cm="1">
        <f t="array" ref="L120">ROUND(IF(SUM(mission!$H$46:$H$60)&gt;=chest!$E$28,INDEX(chest!$F$25:$F$29,MATCH(L$25,chest!$D$25:$D$29,0)),0)*(1+$L$4),0)</f>
        <v>0</v>
      </c>
      <c r="M120" s="2" cm="1">
        <f t="array" ref="M120">ROUND(IF(SUM(mission!$H$46:$H$60)&gt;=chest!$E$29,INDEX(chest!$F$25:$F$29,MATCH(M$25,chest!$D$25:$D$29,0)),0)*(1+$L$4),0)</f>
        <v>0</v>
      </c>
    </row>
    <row r="121" s="1" customFormat="1" ht="18" customHeight="1" spans="2:13">
      <c r="B121" s="2">
        <v>96</v>
      </c>
      <c r="C121" s="2">
        <f t="shared" si="4"/>
        <v>96000</v>
      </c>
      <c r="D121" s="2">
        <f>ROUND($C$8*$C$5+$C$8*$C$4*(1-$L$5),0)</f>
        <v>88</v>
      </c>
      <c r="E121" s="2">
        <f t="shared" si="5"/>
        <v>8448</v>
      </c>
      <c r="F121" s="2">
        <f>ROUND(E121*VLOOKUP($B$10,总产出!$T$4:$U$14,2,FALSE),0)</f>
        <v>422</v>
      </c>
      <c r="G121" s="2">
        <f t="shared" si="6"/>
        <v>6</v>
      </c>
      <c r="H121" s="2">
        <f t="shared" si="7"/>
        <v>576</v>
      </c>
      <c r="I121" s="2" cm="1">
        <f t="array" ref="I121">ROUND(IF(SUM(mission!$H$46:$H$60)&gt;=chest!$E$25,INDEX(chest!$F$25:$F$29,MATCH(I$25,chest!$D$25:$D$29,0)),0)*(1+$L$4),0)</f>
        <v>6</v>
      </c>
      <c r="J121" s="2" cm="1">
        <f t="array" ref="J121">ROUND(IF(SUM(mission!$H$46:$H$60)&gt;=chest!$E$26,INDEX(chest!$F$25:$F$29,MATCH(J$25,chest!$D$25:$D$29,0)),0)*(1+$L$4),0)</f>
        <v>0</v>
      </c>
      <c r="K121" s="2" cm="1">
        <f t="array" ref="K121">ROUND(IF(SUM(mission!$H$46:$H$60)&gt;=chest!$E$27,INDEX(chest!$F$25:$F$29,MATCH(K$25,chest!$D$25:$D$29,0)),0)*(1+$L$4),0)</f>
        <v>0</v>
      </c>
      <c r="L121" s="2" cm="1">
        <f t="array" ref="L121">ROUND(IF(SUM(mission!$H$46:$H$60)&gt;=chest!$E$28,INDEX(chest!$F$25:$F$29,MATCH(L$25,chest!$D$25:$D$29,0)),0)*(1+$L$4),0)</f>
        <v>0</v>
      </c>
      <c r="M121" s="2" cm="1">
        <f t="array" ref="M121">ROUND(IF(SUM(mission!$H$46:$H$60)&gt;=chest!$E$29,INDEX(chest!$F$25:$F$29,MATCH(M$25,chest!$D$25:$D$29,0)),0)*(1+$L$4),0)</f>
        <v>0</v>
      </c>
    </row>
    <row r="122" s="1" customFormat="1" ht="18" customHeight="1" spans="2:13">
      <c r="B122" s="2">
        <v>97</v>
      </c>
      <c r="C122" s="2">
        <f t="shared" si="4"/>
        <v>97000</v>
      </c>
      <c r="D122" s="2">
        <f>ROUND($C$8*$C$5+$C$8*$C$4*(1-$L$5),0)</f>
        <v>88</v>
      </c>
      <c r="E122" s="2">
        <f t="shared" si="5"/>
        <v>8536</v>
      </c>
      <c r="F122" s="2">
        <f>ROUND(E122*VLOOKUP($B$10,总产出!$T$4:$U$14,2,FALSE),0)</f>
        <v>427</v>
      </c>
      <c r="G122" s="2">
        <f t="shared" si="6"/>
        <v>6</v>
      </c>
      <c r="H122" s="2">
        <f t="shared" si="7"/>
        <v>582</v>
      </c>
      <c r="I122" s="2" cm="1">
        <f t="array" ref="I122">ROUND(IF(SUM(mission!$H$46:$H$60)&gt;=chest!$E$25,INDEX(chest!$F$25:$F$29,MATCH(I$25,chest!$D$25:$D$29,0)),0)*(1+$L$4),0)</f>
        <v>6</v>
      </c>
      <c r="J122" s="2" cm="1">
        <f t="array" ref="J122">ROUND(IF(SUM(mission!$H$46:$H$60)&gt;=chest!$E$26,INDEX(chest!$F$25:$F$29,MATCH(J$25,chest!$D$25:$D$29,0)),0)*(1+$L$4),0)</f>
        <v>0</v>
      </c>
      <c r="K122" s="2" cm="1">
        <f t="array" ref="K122">ROUND(IF(SUM(mission!$H$46:$H$60)&gt;=chest!$E$27,INDEX(chest!$F$25:$F$29,MATCH(K$25,chest!$D$25:$D$29,0)),0)*(1+$L$4),0)</f>
        <v>0</v>
      </c>
      <c r="L122" s="2" cm="1">
        <f t="array" ref="L122">ROUND(IF(SUM(mission!$H$46:$H$60)&gt;=chest!$E$28,INDEX(chest!$F$25:$F$29,MATCH(L$25,chest!$D$25:$D$29,0)),0)*(1+$L$4),0)</f>
        <v>0</v>
      </c>
      <c r="M122" s="2" cm="1">
        <f t="array" ref="M122">ROUND(IF(SUM(mission!$H$46:$H$60)&gt;=chest!$E$29,INDEX(chest!$F$25:$F$29,MATCH(M$25,chest!$D$25:$D$29,0)),0)*(1+$L$4),0)</f>
        <v>0</v>
      </c>
    </row>
    <row r="123" s="1" customFormat="1" ht="18" customHeight="1" spans="2:13">
      <c r="B123" s="2">
        <v>98</v>
      </c>
      <c r="C123" s="2">
        <f t="shared" si="4"/>
        <v>98000</v>
      </c>
      <c r="D123" s="2">
        <f>ROUND($C$8*$C$5+$C$8*$C$4*(1-$L$5),0)</f>
        <v>88</v>
      </c>
      <c r="E123" s="2">
        <f t="shared" si="5"/>
        <v>8624</v>
      </c>
      <c r="F123" s="2">
        <f>ROUND(E123*VLOOKUP($B$10,总产出!$T$4:$U$14,2,FALSE),0)</f>
        <v>431</v>
      </c>
      <c r="G123" s="2">
        <f t="shared" si="6"/>
        <v>6</v>
      </c>
      <c r="H123" s="2">
        <f t="shared" si="7"/>
        <v>588</v>
      </c>
      <c r="I123" s="2" cm="1">
        <f t="array" ref="I123">ROUND(IF(SUM(mission!$H$46:$H$60)&gt;=chest!$E$25,INDEX(chest!$F$25:$F$29,MATCH(I$25,chest!$D$25:$D$29,0)),0)*(1+$L$4),0)</f>
        <v>6</v>
      </c>
      <c r="J123" s="2" cm="1">
        <f t="array" ref="J123">ROUND(IF(SUM(mission!$H$46:$H$60)&gt;=chest!$E$26,INDEX(chest!$F$25:$F$29,MATCH(J$25,chest!$D$25:$D$29,0)),0)*(1+$L$4),0)</f>
        <v>0</v>
      </c>
      <c r="K123" s="2" cm="1">
        <f t="array" ref="K123">ROUND(IF(SUM(mission!$H$46:$H$60)&gt;=chest!$E$27,INDEX(chest!$F$25:$F$29,MATCH(K$25,chest!$D$25:$D$29,0)),0)*(1+$L$4),0)</f>
        <v>0</v>
      </c>
      <c r="L123" s="2" cm="1">
        <f t="array" ref="L123">ROUND(IF(SUM(mission!$H$46:$H$60)&gt;=chest!$E$28,INDEX(chest!$F$25:$F$29,MATCH(L$25,chest!$D$25:$D$29,0)),0)*(1+$L$4),0)</f>
        <v>0</v>
      </c>
      <c r="M123" s="2" cm="1">
        <f t="array" ref="M123">ROUND(IF(SUM(mission!$H$46:$H$60)&gt;=chest!$E$29,INDEX(chest!$F$25:$F$29,MATCH(M$25,chest!$D$25:$D$29,0)),0)*(1+$L$4),0)</f>
        <v>0</v>
      </c>
    </row>
    <row r="124" s="1" customFormat="1" ht="18" customHeight="1" spans="2:13">
      <c r="B124" s="2">
        <v>99</v>
      </c>
      <c r="C124" s="2">
        <f t="shared" si="4"/>
        <v>99000</v>
      </c>
      <c r="D124" s="2">
        <f>ROUND($C$8*$C$5+$C$8*$C$4*(1-$L$5),0)</f>
        <v>88</v>
      </c>
      <c r="E124" s="2">
        <f t="shared" si="5"/>
        <v>8712</v>
      </c>
      <c r="F124" s="2">
        <f>ROUND(E124*VLOOKUP($B$10,总产出!$T$4:$U$14,2,FALSE),0)</f>
        <v>436</v>
      </c>
      <c r="G124" s="2">
        <f t="shared" si="6"/>
        <v>6</v>
      </c>
      <c r="H124" s="2">
        <f t="shared" si="7"/>
        <v>594</v>
      </c>
      <c r="I124" s="2" cm="1">
        <f t="array" ref="I124">ROUND(IF(SUM(mission!$H$46:$H$60)&gt;=chest!$E$25,INDEX(chest!$F$25:$F$29,MATCH(I$25,chest!$D$25:$D$29,0)),0)*(1+$L$4),0)</f>
        <v>6</v>
      </c>
      <c r="J124" s="2" cm="1">
        <f t="array" ref="J124">ROUND(IF(SUM(mission!$H$46:$H$60)&gt;=chest!$E$26,INDEX(chest!$F$25:$F$29,MATCH(J$25,chest!$D$25:$D$29,0)),0)*(1+$L$4),0)</f>
        <v>0</v>
      </c>
      <c r="K124" s="2" cm="1">
        <f t="array" ref="K124">ROUND(IF(SUM(mission!$H$46:$H$60)&gt;=chest!$E$27,INDEX(chest!$F$25:$F$29,MATCH(K$25,chest!$D$25:$D$29,0)),0)*(1+$L$4),0)</f>
        <v>0</v>
      </c>
      <c r="L124" s="2" cm="1">
        <f t="array" ref="L124">ROUND(IF(SUM(mission!$H$46:$H$60)&gt;=chest!$E$28,INDEX(chest!$F$25:$F$29,MATCH(L$25,chest!$D$25:$D$29,0)),0)*(1+$L$4),0)</f>
        <v>0</v>
      </c>
      <c r="M124" s="2" cm="1">
        <f t="array" ref="M124">ROUND(IF(SUM(mission!$H$46:$H$60)&gt;=chest!$E$29,INDEX(chest!$F$25:$F$29,MATCH(M$25,chest!$D$25:$D$29,0)),0)*(1+$L$4),0)</f>
        <v>0</v>
      </c>
    </row>
    <row r="125" s="1" customFormat="1" ht="18" customHeight="1" spans="2:13">
      <c r="B125" s="2">
        <v>100</v>
      </c>
      <c r="C125" s="2">
        <f t="shared" si="4"/>
        <v>100000</v>
      </c>
      <c r="D125" s="2">
        <f>ROUND($C$8*$C$5+$C$8*$C$4*(1-$L$5),0)</f>
        <v>88</v>
      </c>
      <c r="E125" s="2">
        <f t="shared" si="5"/>
        <v>8800</v>
      </c>
      <c r="F125" s="2">
        <f>ROUND(E125*VLOOKUP($B$10,总产出!$T$4:$U$14,2,FALSE),0)</f>
        <v>440</v>
      </c>
      <c r="G125" s="2">
        <f t="shared" si="6"/>
        <v>6</v>
      </c>
      <c r="H125" s="2">
        <f t="shared" si="7"/>
        <v>600</v>
      </c>
      <c r="I125" s="2" cm="1">
        <f t="array" ref="I125">ROUND(IF(SUM(mission!$H$46:$H$60)&gt;=chest!$E$25,INDEX(chest!$F$25:$F$29,MATCH(I$25,chest!$D$25:$D$29,0)),0)*(1+$L$4),0)</f>
        <v>6</v>
      </c>
      <c r="J125" s="2" cm="1">
        <f t="array" ref="J125">ROUND(IF(SUM(mission!$H$46:$H$60)&gt;=chest!$E$26,INDEX(chest!$F$25:$F$29,MATCH(J$25,chest!$D$25:$D$29,0)),0)*(1+$L$4),0)</f>
        <v>0</v>
      </c>
      <c r="K125" s="2" cm="1">
        <f t="array" ref="K125">ROUND(IF(SUM(mission!$H$46:$H$60)&gt;=chest!$E$27,INDEX(chest!$F$25:$F$29,MATCH(K$25,chest!$D$25:$D$29,0)),0)*(1+$L$4),0)</f>
        <v>0</v>
      </c>
      <c r="L125" s="2" cm="1">
        <f t="array" ref="L125">ROUND(IF(SUM(mission!$H$46:$H$60)&gt;=chest!$E$28,INDEX(chest!$F$25:$F$29,MATCH(L$25,chest!$D$25:$D$29,0)),0)*(1+$L$4),0)</f>
        <v>0</v>
      </c>
      <c r="M125" s="2" cm="1">
        <f t="array" ref="M125">ROUND(IF(SUM(mission!$H$46:$H$60)&gt;=chest!$E$29,INDEX(chest!$F$25:$F$29,MATCH(M$25,chest!$D$25:$D$29,0)),0)*(1+$L$4),0)</f>
        <v>0</v>
      </c>
    </row>
  </sheetData>
  <mergeCells count="5">
    <mergeCell ref="B2:C3"/>
    <mergeCell ref="H2:I3"/>
    <mergeCell ref="E2:F3"/>
    <mergeCell ref="K2:L3"/>
    <mergeCell ref="H4:I5"/>
  </mergeCells>
  <pageMargins left="0.7" right="0.7" top="0.75" bottom="0.75" header="0.3" footer="0.3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27"/>
  <sheetViews>
    <sheetView workbookViewId="0">
      <pane ySplit="25" topLeftCell="A26" activePane="bottomLeft" state="frozen"/>
      <selection/>
      <selection pane="bottomLeft" activeCell="L13" sqref="L13"/>
    </sheetView>
  </sheetViews>
  <sheetFormatPr defaultColWidth="9" defaultRowHeight="13.5"/>
  <cols>
    <col min="2" max="8" width="18.625" customWidth="1"/>
    <col min="9" max="13" width="15.625" customWidth="1"/>
    <col min="14" max="16" width="18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H2" s="3" t="s">
        <v>2</v>
      </c>
      <c r="I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H3" s="5"/>
      <c r="I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H4" s="11" t="s">
        <v>9</v>
      </c>
      <c r="I4" s="14"/>
      <c r="K4" s="9" t="s">
        <v>10</v>
      </c>
      <c r="L4" s="9">
        <f>总产出!L4</f>
        <v>0.18</v>
      </c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12"/>
      <c r="I5" s="15"/>
      <c r="K5" s="9" t="s">
        <v>16</v>
      </c>
      <c r="L5" s="7">
        <f>总产出!L5</f>
        <v>0.990909090909091</v>
      </c>
    </row>
    <row r="6" s="1" customFormat="1" ht="18" customHeight="1" spans="2:9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  <c r="H6" s="13"/>
      <c r="I6" s="13"/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28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16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552</v>
      </c>
      <c r="H25" s="9" t="s">
        <v>553</v>
      </c>
      <c r="I25" s="9" t="s">
        <v>255</v>
      </c>
      <c r="J25" s="9" t="s">
        <v>256</v>
      </c>
      <c r="K25" s="9" t="s">
        <v>257</v>
      </c>
      <c r="L25" s="9" t="s">
        <v>258</v>
      </c>
      <c r="M25" s="9" t="s">
        <v>259</v>
      </c>
      <c r="N25" s="16" t="s">
        <v>548</v>
      </c>
      <c r="O25" s="16" t="s">
        <v>549</v>
      </c>
      <c r="P25" s="16" t="s">
        <v>547</v>
      </c>
    </row>
    <row r="26" s="2" customFormat="1" ht="18" customHeight="1" spans="2:16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9</v>
      </c>
      <c r="G26" s="2">
        <f t="shared" ref="G26:G89" si="2">SUM(I26:M26)</f>
        <v>0</v>
      </c>
      <c r="H26" s="2">
        <f>G26</f>
        <v>0</v>
      </c>
      <c r="I26" s="2" cm="1">
        <f t="array" ref="I26">ROUND(IF(SUM(mission!$H$64:$H$78)&gt;=chest!$E$33,INDEX(chest!$F$33:$F$37,MATCH(I$25,chest!$D$33:$D$37,0)),0)*(1+$L$4),0)</f>
        <v>0</v>
      </c>
      <c r="J26" s="2" cm="1">
        <f t="array" ref="J26">ROUND(IF(SUM(mission!$H$64:$H$78)&gt;=chest!$E$34,INDEX(chest!$F$33:$F$37,MATCH(J$25,chest!$D$33:$D$37,0)),0)*(1+$L$4),0)</f>
        <v>0</v>
      </c>
      <c r="K26" s="2" cm="1">
        <f t="array" ref="K26">ROUND(IF(SUM(mission!$H$64:$H$78)&gt;=chest!$E$35,INDEX(chest!$F$33:$F$37,MATCH(K$25,chest!$D$33:$D$37,0)),0)*(1+$L$4),0)</f>
        <v>0</v>
      </c>
      <c r="L26" s="2" cm="1">
        <f t="array" ref="L26">ROUND(IF(SUM(mission!$H$64:$H$78)&gt;=chest!$E$36,INDEX(chest!$F$33:$F$37,MATCH(L$25,chest!$D$33:$D$37,0)),0)*(1+$L$4),0)</f>
        <v>0</v>
      </c>
      <c r="M26" s="2" cm="1">
        <f t="array" ref="M26">ROUND(IF(SUM(mission!$H$64:$H$78)&gt;=chest!$E$37,INDEX(chest!$F$33:$F$37,MATCH(M$25,chest!$D$33:$D$37,0)),0)*(1+$L$4),0)</f>
        <v>0</v>
      </c>
      <c r="N26" s="2">
        <v>1</v>
      </c>
      <c r="O26" s="2">
        <f>F32</f>
        <v>62</v>
      </c>
      <c r="P26" s="2">
        <f>H32</f>
        <v>65</v>
      </c>
    </row>
    <row r="27" s="2" customFormat="1" ht="18" customHeight="1" spans="2:16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18</v>
      </c>
      <c r="G27" s="2">
        <f t="shared" si="2"/>
        <v>0</v>
      </c>
      <c r="H27" s="2">
        <f t="shared" ref="H27:H90" si="3">G27+H26</f>
        <v>0</v>
      </c>
      <c r="I27" s="2" cm="1">
        <f t="array" ref="I27">IF(I26=0,ROUND(IF(SUM(mission!$I$64:$I$78)&gt;=chest!$E$33,INDEX(chest!$F$33:$F$37,MATCH(I$25,chest!$D$33:$D$37,0)),0)*(1+$L$4),0))</f>
        <v>0</v>
      </c>
      <c r="J27" s="2" cm="1">
        <f t="array" ref="J27">IF(J26=0,ROUND(IF(SUM(mission!$I$64:$I$78)&gt;=chest!$E$34,INDEX(chest!$F$33:$F$37,MATCH(J$25,chest!$D$33:$D$37,0)),0)*(1+$L$4),0))</f>
        <v>0</v>
      </c>
      <c r="K27" s="2" cm="1">
        <f t="array" ref="K27">IF(K26=0,ROUND(IF(SUM(mission!$I$64:$I$78)&gt;=chest!$E$35,INDEX(chest!$F$33:$F$37,MATCH(K$25,chest!$D$33:$D$37,0)),0)*(1+$L$4),0))</f>
        <v>0</v>
      </c>
      <c r="L27" s="2" cm="1">
        <f t="array" ref="L27">IF(L26=0,ROUND(IF(SUM(mission!$I$64:$I$78)&gt;=chest!$E$36,INDEX(chest!$F$33:$F$37,MATCH(L$25,chest!$D$33:$D$37,0)),0)*(1+$L$4),0))</f>
        <v>0</v>
      </c>
      <c r="M27" s="2" cm="1">
        <f t="array" ref="M27">IF(M26=0,ROUND(IF(SUM(mission!$I$64:$I$78)&gt;=chest!$E$37,INDEX(chest!$F$33:$F$37,MATCH(M$25,chest!$D$33:$D$37,0)),0)*(1+$L$4),0))</f>
        <v>0</v>
      </c>
      <c r="N27" s="2">
        <v>2</v>
      </c>
      <c r="O27" s="2">
        <f t="shared" ref="O27:O39" si="4">(ROW()-25)*O$26</f>
        <v>124</v>
      </c>
      <c r="P27" s="2">
        <f t="shared" ref="P27:P39" si="5">(ROW()-25)*P$26</f>
        <v>130</v>
      </c>
    </row>
    <row r="28" s="2" customFormat="1" ht="18" customHeight="1" spans="2:16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26</v>
      </c>
      <c r="G28" s="2">
        <f t="shared" si="2"/>
        <v>30</v>
      </c>
      <c r="H28" s="2">
        <f t="shared" si="3"/>
        <v>30</v>
      </c>
      <c r="I28" s="2" cm="1">
        <f t="array" ref="I28">IF(I27=0,ROUND(IF(SUM(mission!$J$64:$J$78)&gt;=chest!$E$33,INDEX(chest!$F$33:$F$37,MATCH(I$25,chest!$D$33:$D$37,0)),0)*(1+$L$4),0))</f>
        <v>30</v>
      </c>
      <c r="J28" s="2" cm="1">
        <f t="array" ref="J28">IF(J27=0,ROUND(IF(SUM(mission!$J$64:$J$78)&gt;=chest!$E$34,INDEX(chest!$F$33:$F$37,MATCH(J$25,chest!$D$33:$D$37,0)),0)*(1+$L$4),0))</f>
        <v>0</v>
      </c>
      <c r="K28" s="2" cm="1">
        <f t="array" ref="K28">IF(K27=0,ROUND(IF(SUM(mission!$J$64:$J$78)&gt;=chest!$E$35,INDEX(chest!$F$33:$F$37,MATCH(K$25,chest!$D$33:$D$37,0)),0)*(1+$L$4),0))</f>
        <v>0</v>
      </c>
      <c r="L28" s="2" cm="1">
        <f t="array" ref="L28">IF(L27=0,ROUND(IF(SUM(mission!$J$64:$J$78)&gt;=chest!$E$36,INDEX(chest!$F$33:$F$37,MATCH(L$25,chest!$D$33:$D$37,0)),0)*(1+$L$4),0))</f>
        <v>0</v>
      </c>
      <c r="M28" s="2" cm="1">
        <f t="array" ref="M28">IF(M27=0,ROUND(IF(SUM(mission!$J$64:$J$78)&gt;=chest!$E$37,INDEX(chest!$F$33:$F$37,MATCH(M$25,chest!$D$33:$D$37,0)),0)*(1+$L$4),0))</f>
        <v>0</v>
      </c>
      <c r="N28" s="2">
        <v>3</v>
      </c>
      <c r="O28" s="2">
        <f t="shared" si="4"/>
        <v>186</v>
      </c>
      <c r="P28" s="2">
        <f t="shared" si="5"/>
        <v>195</v>
      </c>
    </row>
    <row r="29" s="2" customFormat="1" ht="18" customHeight="1" spans="2:16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35</v>
      </c>
      <c r="G29" s="2">
        <f t="shared" si="2"/>
        <v>0</v>
      </c>
      <c r="H29" s="2">
        <f t="shared" si="3"/>
        <v>30</v>
      </c>
      <c r="I29" s="2" t="b" cm="1">
        <f t="array" ref="I29">IF(I28=0,ROUND(IF(SUM(mission!$K$64:$K$78)&gt;=chest!$E$33,INDEX(chest!$F$33:$F$37,MATCH(I$25,chest!$D$33:$D$37,0)),0)*(1+$L$4),0))</f>
        <v>0</v>
      </c>
      <c r="J29" s="2" cm="1">
        <f t="array" ref="J29">IF(J28=0,ROUND(IF(SUM(mission!$K$64:$K$78)&gt;=chest!$E$34,INDEX(chest!$F$33:$F$37,MATCH(J$25,chest!$D$33:$D$37,0)),0)*(1+$L$4),0))</f>
        <v>0</v>
      </c>
      <c r="K29" s="2" cm="1">
        <f t="array" ref="K29">IF(K28=0,ROUND(IF(SUM(mission!$K$64:$K$78)&gt;=chest!$E$35,INDEX(chest!$F$33:$F$37,MATCH(K$25,chest!$D$33:$D$37,0)),0)*(1+$L$4),0))</f>
        <v>0</v>
      </c>
      <c r="L29" s="2" cm="1">
        <f t="array" ref="L29">IF(L28=0,ROUND(IF(SUM(mission!$K$64:$K$78)&gt;=chest!$E$36,INDEX(chest!$F$33:$F$37,MATCH(L$25,chest!$D$33:$D$37,0)),0)*(1+$L$4),0))</f>
        <v>0</v>
      </c>
      <c r="M29" s="2" cm="1">
        <f t="array" ref="M29">IF(M28=0,ROUND(IF(SUM(mission!$K$64:$K$78)&gt;=chest!$E$37,INDEX(chest!$F$33:$F$37,MATCH(M$25,chest!$D$33:$D$37,0)),0)*(1+$L$4),0))</f>
        <v>0</v>
      </c>
      <c r="N29" s="2">
        <v>4</v>
      </c>
      <c r="O29" s="2">
        <f t="shared" si="4"/>
        <v>248</v>
      </c>
      <c r="P29" s="2">
        <f t="shared" si="5"/>
        <v>260</v>
      </c>
    </row>
    <row r="30" s="2" customFormat="1" ht="18" customHeight="1" spans="2:16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44</v>
      </c>
      <c r="G30" s="2">
        <f t="shared" si="2"/>
        <v>0</v>
      </c>
      <c r="H30" s="2">
        <f t="shared" si="3"/>
        <v>30</v>
      </c>
      <c r="I30" s="2" t="b" cm="1">
        <f t="array" ref="I30">IF(I29=0,ROUND(IF(SUM(mission!$L$64:$L$78)&gt;=chest!$E$33,INDEX(chest!$F$33:$F$37,MATCH(I$25,chest!$D$33:$D$37,0)),0)*(1+$L$4),0))</f>
        <v>0</v>
      </c>
      <c r="J30" s="2" cm="1">
        <f t="array" ref="J30">IF(J29=0,ROUND(IF(SUM(mission!$L$64:$L$78)&gt;=chest!$E$34,INDEX(chest!$F$33:$F$37,MATCH(J$25,chest!$D$33:$D$37,0)),0)*(1+$L$4),0))</f>
        <v>0</v>
      </c>
      <c r="K30" s="2" cm="1">
        <f t="array" ref="K30">IF(K29=0,ROUND(IF(SUM(mission!$L$64:$L$78)&gt;=chest!$E$35,INDEX(chest!$F$33:$F$37,MATCH(K$25,chest!$D$33:$D$37,0)),0)*(1+$L$4),0))</f>
        <v>0</v>
      </c>
      <c r="L30" s="2" cm="1">
        <f t="array" ref="L30">IF(L29=0,ROUND(IF(SUM(mission!$L$64:$L$78)&gt;=chest!$E$36,INDEX(chest!$F$33:$F$37,MATCH(L$25,chest!$D$33:$D$37,0)),0)*(1+$L$4),0))</f>
        <v>0</v>
      </c>
      <c r="M30" s="2" cm="1">
        <f t="array" ref="M30">IF(M29=0,ROUND(IF(SUM(mission!$L$64:$L$78)&gt;=chest!$E$37,INDEX(chest!$F$33:$F$37,MATCH(M$25,chest!$D$33:$D$37,0)),0)*(1+$L$4),0))</f>
        <v>0</v>
      </c>
      <c r="N30" s="2">
        <v>5</v>
      </c>
      <c r="O30" s="2">
        <f t="shared" si="4"/>
        <v>310</v>
      </c>
      <c r="P30" s="2">
        <f t="shared" si="5"/>
        <v>325</v>
      </c>
    </row>
    <row r="31" s="2" customFormat="1" ht="18" customHeight="1" spans="2:16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53</v>
      </c>
      <c r="G31" s="2">
        <f t="shared" si="2"/>
        <v>35</v>
      </c>
      <c r="H31" s="2">
        <f t="shared" si="3"/>
        <v>65</v>
      </c>
      <c r="I31" s="2" t="b" cm="1">
        <f t="array" ref="I31">IF(I30=0,ROUND(IF(SUM(mission!$M$64:$M$78)&gt;=chest!$E$33,INDEX(chest!$F$33:$F$37,MATCH(I$25,chest!$D$33:$D$37,0)),0)*(1+$L$4),0))</f>
        <v>0</v>
      </c>
      <c r="J31" s="2" cm="1">
        <f t="array" ref="J31">IF(J30=0,ROUND(IF(SUM(mission!$M$64:$M$78)&gt;=chest!$E$34,INDEX(chest!$F$33:$F$37,MATCH(J$25,chest!$D$33:$D$37,0)),0)*(1+$L$4),0))</f>
        <v>35</v>
      </c>
      <c r="K31" s="2" cm="1">
        <f t="array" ref="K31">IF(K30=0,ROUND(IF(SUM(mission!$M$64:$M$78)&gt;=chest!$E$35,INDEX(chest!$F$33:$F$37,MATCH(K$25,chest!$D$33:$D$37,0)),0)*(1+$L$4),0))</f>
        <v>0</v>
      </c>
      <c r="L31" s="2" cm="1">
        <f t="array" ref="L31">IF(L30=0,ROUND(IF(SUM(mission!$M$64:$M$78)&gt;=chest!$E$36,INDEX(chest!$F$33:$F$37,MATCH(L$25,chest!$D$33:$D$37,0)),0)*(1+$L$4),0))</f>
        <v>0</v>
      </c>
      <c r="M31" s="2" cm="1">
        <f t="array" ref="M31">IF(M30=0,ROUND(IF(SUM(mission!$M$64:$M$78)&gt;=chest!$E$37,INDEX(chest!$F$33:$F$37,MATCH(M$25,chest!$D$33:$D$37,0)),0)*(1+$L$4),0))</f>
        <v>0</v>
      </c>
      <c r="N31" s="2">
        <v>6</v>
      </c>
      <c r="O31" s="2">
        <f t="shared" si="4"/>
        <v>372</v>
      </c>
      <c r="P31" s="2">
        <f t="shared" si="5"/>
        <v>390</v>
      </c>
    </row>
    <row r="32" s="10" customFormat="1" ht="18" customHeight="1" spans="2:16">
      <c r="B32" s="10">
        <v>7</v>
      </c>
      <c r="C32" s="10">
        <f t="shared" si="0"/>
        <v>7000</v>
      </c>
      <c r="D32" s="10">
        <f>ROUND($C$8*$C$5+$C$8*$C$4*(1-$L$5),0)</f>
        <v>88</v>
      </c>
      <c r="E32" s="10">
        <f t="shared" si="1"/>
        <v>616</v>
      </c>
      <c r="F32" s="10">
        <f>ROUND(E32*VLOOKUP($B$10,总产出!$T$4:$U$14,2,FALSE),0)</f>
        <v>62</v>
      </c>
      <c r="G32" s="10">
        <f t="shared" si="2"/>
        <v>0</v>
      </c>
      <c r="H32" s="10">
        <f t="shared" si="3"/>
        <v>65</v>
      </c>
      <c r="I32" s="10" t="b" cm="1">
        <f t="array" ref="I32">IF(I31=0,ROUND(IF(SUM(mission!$N$64:$N$78)&gt;=chest!$E$33,INDEX(chest!$F$33:$F$37,MATCH(I$25,chest!$D$33:$D$37,0)),0)*(1+$L$4),0))</f>
        <v>0</v>
      </c>
      <c r="J32" s="10" t="b" cm="1">
        <f t="array" ref="J32">IF(J31=0,ROUND(IF(SUM(mission!$N$64:$N$78)&gt;=chest!$E$34,INDEX(chest!$F$33:$F$37,MATCH(J$25,chest!$D$33:$D$37,0)),0)*(1+$L$4),0))</f>
        <v>0</v>
      </c>
      <c r="K32" s="10" cm="1">
        <f t="array" ref="K32">IF(K31=0,ROUND(IF(SUM(mission!$N$64:$N$78)&gt;=chest!$E$35,INDEX(chest!$F$33:$F$37,MATCH(K$25,chest!$D$33:$D$37,0)),0)*(1+$L$4),0))</f>
        <v>0</v>
      </c>
      <c r="L32" s="10" cm="1">
        <f t="array" ref="L32">IF(L31=0,ROUND(IF(SUM(mission!$N$64:$N$78)&gt;=chest!$E$36,INDEX(chest!$F$33:$F$37,MATCH(L$25,chest!$D$33:$D$37,0)),0)*(1+$L$4),0))</f>
        <v>0</v>
      </c>
      <c r="M32" s="10" cm="1">
        <f t="array" ref="M32">IF(M31=0,ROUND(IF(SUM(mission!$N$64:$N$78)&gt;=chest!$E$37,INDEX(chest!$F$33:$F$37,MATCH(M$25,chest!$D$33:$D$37,0)),0)*(1+$L$4),0))</f>
        <v>0</v>
      </c>
      <c r="N32" s="2">
        <v>7</v>
      </c>
      <c r="O32" s="2">
        <f t="shared" si="4"/>
        <v>434</v>
      </c>
      <c r="P32" s="2">
        <f t="shared" si="5"/>
        <v>455</v>
      </c>
    </row>
    <row r="33" s="2" customFormat="1" ht="18" customHeight="1" spans="2:16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70</v>
      </c>
      <c r="G33" s="2">
        <f t="shared" si="2"/>
        <v>0</v>
      </c>
      <c r="H33" s="2">
        <f t="shared" si="3"/>
        <v>65</v>
      </c>
      <c r="I33" s="2" cm="1">
        <f t="array" ref="I33">ROUND(IF(SUM(mission!$H$64:$H$78)&gt;=chest!$E$33,INDEX(chest!$F$33:$F$37,MATCH(I$25,chest!$D$33:$D$37,0)),0)*(1+$L$4),0)</f>
        <v>0</v>
      </c>
      <c r="J33" s="2" cm="1">
        <f t="array" ref="J33">ROUND(IF(SUM(mission!$H$64:$H$78)&gt;=chest!$E$34,INDEX(chest!$F$33:$F$37,MATCH(J$25,chest!$D$33:$D$37,0)),0)*(1+$L$4),0)</f>
        <v>0</v>
      </c>
      <c r="K33" s="2" cm="1">
        <f t="array" ref="K33">ROUND(IF(SUM(mission!$H$64:$H$78)&gt;=chest!$E$35,INDEX(chest!$F$33:$F$37,MATCH(K$25,chest!$D$33:$D$37,0)),0)*(1+$L$4),0)</f>
        <v>0</v>
      </c>
      <c r="L33" s="2" cm="1">
        <f t="array" ref="L33">ROUND(IF(SUM(mission!$H$64:$H$78)&gt;=chest!$E$36,INDEX(chest!$F$33:$F$37,MATCH(L$25,chest!$D$33:$D$37,0)),0)*(1+$L$4),0)</f>
        <v>0</v>
      </c>
      <c r="M33" s="2" cm="1">
        <f t="array" ref="M33">ROUND(IF(SUM(mission!$H$64:$H$78)&gt;=chest!$E$37,INDEX(chest!$F$33:$F$37,MATCH(M$25,chest!$D$33:$D$37,0)),0)*(1+$L$4),0)</f>
        <v>0</v>
      </c>
      <c r="N33" s="2">
        <v>8</v>
      </c>
      <c r="O33" s="2">
        <f t="shared" si="4"/>
        <v>496</v>
      </c>
      <c r="P33" s="2">
        <f t="shared" si="5"/>
        <v>520</v>
      </c>
    </row>
    <row r="34" s="2" customFormat="1" ht="18" customHeight="1" spans="2:16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79</v>
      </c>
      <c r="G34" s="2">
        <f t="shared" si="2"/>
        <v>0</v>
      </c>
      <c r="H34" s="2">
        <f t="shared" si="3"/>
        <v>65</v>
      </c>
      <c r="I34" s="2" cm="1">
        <f t="array" ref="I34">IF(I33=0,ROUND(IF(SUM(mission!$I$64:$I$78)&gt;=chest!$E$33,INDEX(chest!$F$33:$F$37,MATCH(I$25,chest!$D$33:$D$37,0)),0)*(1+$L$4),0))</f>
        <v>0</v>
      </c>
      <c r="J34" s="2" cm="1">
        <f t="array" ref="J34">IF(J33=0,ROUND(IF(SUM(mission!$I$64:$I$78)&gt;=chest!$E$34,INDEX(chest!$F$33:$F$37,MATCH(J$25,chest!$D$33:$D$37,0)),0)*(1+$L$4),0))</f>
        <v>0</v>
      </c>
      <c r="K34" s="2" cm="1">
        <f t="array" ref="K34">IF(K33=0,ROUND(IF(SUM(mission!$I$64:$I$78)&gt;=chest!$E$35,INDEX(chest!$F$33:$F$37,MATCH(K$25,chest!$D$33:$D$37,0)),0)*(1+$L$4),0))</f>
        <v>0</v>
      </c>
      <c r="L34" s="2" cm="1">
        <f t="array" ref="L34">IF(L33=0,ROUND(IF(SUM(mission!$I$64:$I$78)&gt;=chest!$E$36,INDEX(chest!$F$33:$F$37,MATCH(L$25,chest!$D$33:$D$37,0)),0)*(1+$L$4),0))</f>
        <v>0</v>
      </c>
      <c r="M34" s="2" cm="1">
        <f t="array" ref="M34">IF(M33=0,ROUND(IF(SUM(mission!$I$64:$I$78)&gt;=chest!$E$37,INDEX(chest!$F$33:$F$37,MATCH(M$25,chest!$D$33:$D$37,0)),0)*(1+$L$4),0))</f>
        <v>0</v>
      </c>
      <c r="N34" s="2">
        <v>9</v>
      </c>
      <c r="O34" s="2">
        <f t="shared" si="4"/>
        <v>558</v>
      </c>
      <c r="P34" s="2">
        <f t="shared" si="5"/>
        <v>585</v>
      </c>
    </row>
    <row r="35" s="2" customFormat="1" ht="18" customHeight="1" spans="2:16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88</v>
      </c>
      <c r="G35" s="2">
        <f t="shared" si="2"/>
        <v>30</v>
      </c>
      <c r="H35" s="2">
        <f t="shared" si="3"/>
        <v>95</v>
      </c>
      <c r="I35" s="2" cm="1">
        <f t="array" ref="I35">IF(I34=0,ROUND(IF(SUM(mission!$J$64:$J$78)&gt;=chest!$E$33,INDEX(chest!$F$33:$F$37,MATCH(I$25,chest!$D$33:$D$37,0)),0)*(1+$L$4),0))</f>
        <v>30</v>
      </c>
      <c r="J35" s="2" cm="1">
        <f t="array" ref="J35">IF(J34=0,ROUND(IF(SUM(mission!$J$64:$J$78)&gt;=chest!$E$34,INDEX(chest!$F$33:$F$37,MATCH(J$25,chest!$D$33:$D$37,0)),0)*(1+$L$4),0))</f>
        <v>0</v>
      </c>
      <c r="K35" s="2" cm="1">
        <f t="array" ref="K35">IF(K34=0,ROUND(IF(SUM(mission!$J$64:$J$78)&gt;=chest!$E$35,INDEX(chest!$F$33:$F$37,MATCH(K$25,chest!$D$33:$D$37,0)),0)*(1+$L$4),0))</f>
        <v>0</v>
      </c>
      <c r="L35" s="2" cm="1">
        <f t="array" ref="L35">IF(L34=0,ROUND(IF(SUM(mission!$J$64:$J$78)&gt;=chest!$E$36,INDEX(chest!$F$33:$F$37,MATCH(L$25,chest!$D$33:$D$37,0)),0)*(1+$L$4),0))</f>
        <v>0</v>
      </c>
      <c r="M35" s="2" cm="1">
        <f t="array" ref="M35">IF(M34=0,ROUND(IF(SUM(mission!$J$64:$J$78)&gt;=chest!$E$37,INDEX(chest!$F$33:$F$37,MATCH(M$25,chest!$D$33:$D$37,0)),0)*(1+$L$4),0))</f>
        <v>0</v>
      </c>
      <c r="N35" s="2">
        <v>10</v>
      </c>
      <c r="O35" s="2">
        <f t="shared" si="4"/>
        <v>620</v>
      </c>
      <c r="P35" s="2">
        <f t="shared" si="5"/>
        <v>650</v>
      </c>
    </row>
    <row r="36" s="2" customFormat="1" ht="18" customHeight="1" spans="2:16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97</v>
      </c>
      <c r="G36" s="2">
        <f t="shared" si="2"/>
        <v>0</v>
      </c>
      <c r="H36" s="2">
        <f t="shared" si="3"/>
        <v>95</v>
      </c>
      <c r="I36" s="2" t="b" cm="1">
        <f t="array" ref="I36">IF(I35=0,ROUND(IF(SUM(mission!$K$64:$K$78)&gt;=chest!$E$33,INDEX(chest!$F$33:$F$37,MATCH(I$25,chest!$D$33:$D$37,0)),0)*(1+$L$4),0))</f>
        <v>0</v>
      </c>
      <c r="J36" s="2" cm="1">
        <f t="array" ref="J36">IF(J35=0,ROUND(IF(SUM(mission!$K$64:$K$78)&gt;=chest!$E$34,INDEX(chest!$F$33:$F$37,MATCH(J$25,chest!$D$33:$D$37,0)),0)*(1+$L$4),0))</f>
        <v>0</v>
      </c>
      <c r="K36" s="2" cm="1">
        <f t="array" ref="K36">IF(K35=0,ROUND(IF(SUM(mission!$K$64:$K$78)&gt;=chest!$E$35,INDEX(chest!$F$33:$F$37,MATCH(K$25,chest!$D$33:$D$37,0)),0)*(1+$L$4),0))</f>
        <v>0</v>
      </c>
      <c r="L36" s="2" cm="1">
        <f t="array" ref="L36">IF(L35=0,ROUND(IF(SUM(mission!$K$64:$K$78)&gt;=chest!$E$36,INDEX(chest!$F$33:$F$37,MATCH(L$25,chest!$D$33:$D$37,0)),0)*(1+$L$4),0))</f>
        <v>0</v>
      </c>
      <c r="M36" s="2" cm="1">
        <f t="array" ref="M36">IF(M35=0,ROUND(IF(SUM(mission!$K$64:$K$78)&gt;=chest!$E$37,INDEX(chest!$F$33:$F$37,MATCH(M$25,chest!$D$33:$D$37,0)),0)*(1+$L$4),0))</f>
        <v>0</v>
      </c>
      <c r="N36" s="2">
        <v>11</v>
      </c>
      <c r="O36" s="2">
        <f t="shared" si="4"/>
        <v>682</v>
      </c>
      <c r="P36" s="2">
        <f t="shared" si="5"/>
        <v>715</v>
      </c>
    </row>
    <row r="37" s="2" customFormat="1" ht="18" customHeight="1" spans="2:16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106</v>
      </c>
      <c r="G37" s="2">
        <f t="shared" si="2"/>
        <v>0</v>
      </c>
      <c r="H37" s="2">
        <f t="shared" si="3"/>
        <v>95</v>
      </c>
      <c r="I37" s="2" t="b" cm="1">
        <f t="array" ref="I37">IF(I36=0,ROUND(IF(SUM(mission!$L$64:$L$78)&gt;=chest!$E$33,INDEX(chest!$F$33:$F$37,MATCH(I$25,chest!$D$33:$D$37,0)),0)*(1+$L$4),0))</f>
        <v>0</v>
      </c>
      <c r="J37" s="2" cm="1">
        <f t="array" ref="J37">IF(J36=0,ROUND(IF(SUM(mission!$L$64:$L$78)&gt;=chest!$E$34,INDEX(chest!$F$33:$F$37,MATCH(J$25,chest!$D$33:$D$37,0)),0)*(1+$L$4),0))</f>
        <v>0</v>
      </c>
      <c r="K37" s="2" cm="1">
        <f t="array" ref="K37">IF(K36=0,ROUND(IF(SUM(mission!$L$64:$L$78)&gt;=chest!$E$35,INDEX(chest!$F$33:$F$37,MATCH(K$25,chest!$D$33:$D$37,0)),0)*(1+$L$4),0))</f>
        <v>0</v>
      </c>
      <c r="L37" s="2" cm="1">
        <f t="array" ref="L37">IF(L36=0,ROUND(IF(SUM(mission!$L$64:$L$78)&gt;=chest!$E$36,INDEX(chest!$F$33:$F$37,MATCH(L$25,chest!$D$33:$D$37,0)),0)*(1+$L$4),0))</f>
        <v>0</v>
      </c>
      <c r="M37" s="2" cm="1">
        <f t="array" ref="M37">IF(M36=0,ROUND(IF(SUM(mission!$L$64:$L$78)&gt;=chest!$E$37,INDEX(chest!$F$33:$F$37,MATCH(M$25,chest!$D$33:$D$37,0)),0)*(1+$L$4),0))</f>
        <v>0</v>
      </c>
      <c r="N37" s="2">
        <v>12</v>
      </c>
      <c r="O37" s="2">
        <f t="shared" si="4"/>
        <v>744</v>
      </c>
      <c r="P37" s="2">
        <f t="shared" si="5"/>
        <v>780</v>
      </c>
    </row>
    <row r="38" s="2" customFormat="1" ht="18" customHeight="1" spans="2:16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114</v>
      </c>
      <c r="G38" s="2">
        <f t="shared" si="2"/>
        <v>35</v>
      </c>
      <c r="H38" s="2">
        <f t="shared" si="3"/>
        <v>130</v>
      </c>
      <c r="I38" s="2" t="b" cm="1">
        <f t="array" ref="I38">IF(I37=0,ROUND(IF(SUM(mission!$M$64:$M$78)&gt;=chest!$E$33,INDEX(chest!$F$33:$F$37,MATCH(I$25,chest!$D$33:$D$37,0)),0)*(1+$L$4),0))</f>
        <v>0</v>
      </c>
      <c r="J38" s="2" cm="1">
        <f t="array" ref="J38">IF(J37=0,ROUND(IF(SUM(mission!$M$64:$M$78)&gt;=chest!$E$34,INDEX(chest!$F$33:$F$37,MATCH(J$25,chest!$D$33:$D$37,0)),0)*(1+$L$4),0))</f>
        <v>35</v>
      </c>
      <c r="K38" s="2" cm="1">
        <f t="array" ref="K38">IF(K37=0,ROUND(IF(SUM(mission!$M$64:$M$78)&gt;=chest!$E$35,INDEX(chest!$F$33:$F$37,MATCH(K$25,chest!$D$33:$D$37,0)),0)*(1+$L$4),0))</f>
        <v>0</v>
      </c>
      <c r="L38" s="2" cm="1">
        <f t="array" ref="L38">IF(L37=0,ROUND(IF(SUM(mission!$M$64:$M$78)&gt;=chest!$E$36,INDEX(chest!$F$33:$F$37,MATCH(L$25,chest!$D$33:$D$37,0)),0)*(1+$L$4),0))</f>
        <v>0</v>
      </c>
      <c r="M38" s="2" cm="1">
        <f t="array" ref="M38">IF(M37=0,ROUND(IF(SUM(mission!$M$64:$M$78)&gt;=chest!$E$37,INDEX(chest!$F$33:$F$37,MATCH(M$25,chest!$D$33:$D$37,0)),0)*(1+$L$4),0))</f>
        <v>0</v>
      </c>
      <c r="N38" s="2">
        <v>13</v>
      </c>
      <c r="O38" s="2">
        <f t="shared" si="4"/>
        <v>806</v>
      </c>
      <c r="P38" s="2">
        <f t="shared" si="5"/>
        <v>845</v>
      </c>
    </row>
    <row r="39" s="10" customFormat="1" ht="18" customHeight="1" spans="2:16">
      <c r="B39" s="10">
        <v>14</v>
      </c>
      <c r="C39" s="10">
        <f t="shared" si="0"/>
        <v>14000</v>
      </c>
      <c r="D39" s="10">
        <f>ROUND($C$8*$C$5+$C$8*$C$4*(1-$L$5),0)</f>
        <v>88</v>
      </c>
      <c r="E39" s="10">
        <f t="shared" si="1"/>
        <v>1232</v>
      </c>
      <c r="F39" s="10">
        <f>ROUND(E39*VLOOKUP($B$10,总产出!$T$4:$U$14,2,FALSE),0)</f>
        <v>123</v>
      </c>
      <c r="G39" s="10">
        <f t="shared" si="2"/>
        <v>0</v>
      </c>
      <c r="H39" s="10">
        <f t="shared" si="3"/>
        <v>130</v>
      </c>
      <c r="I39" s="10" t="b" cm="1">
        <f t="array" ref="I39">IF(I38=0,ROUND(IF(SUM(mission!$N$64:$N$78)&gt;=chest!$E$33,INDEX(chest!$F$33:$F$37,MATCH(I$25,chest!$D$33:$D$37,0)),0)*(1+$L$4),0))</f>
        <v>0</v>
      </c>
      <c r="J39" s="10" t="b" cm="1">
        <f t="array" ref="J39">IF(J38=0,ROUND(IF(SUM(mission!$N$64:$N$78)&gt;=chest!$E$34,INDEX(chest!$F$33:$F$37,MATCH(J$25,chest!$D$33:$D$37,0)),0)*(1+$L$4),0))</f>
        <v>0</v>
      </c>
      <c r="K39" s="10" cm="1">
        <f t="array" ref="K39">IF(K38=0,ROUND(IF(SUM(mission!$N$64:$N$78)&gt;=chest!$E$35,INDEX(chest!$F$33:$F$37,MATCH(K$25,chest!$D$33:$D$37,0)),0)*(1+$L$4),0))</f>
        <v>0</v>
      </c>
      <c r="L39" s="10" cm="1">
        <f t="array" ref="L39">IF(L38=0,ROUND(IF(SUM(mission!$N$64:$N$78)&gt;=chest!$E$36,INDEX(chest!$F$33:$F$37,MATCH(L$25,chest!$D$33:$D$37,0)),0)*(1+$L$4),0))</f>
        <v>0</v>
      </c>
      <c r="M39" s="10" cm="1">
        <f t="array" ref="M39">IF(M38=0,ROUND(IF(SUM(mission!$N$64:$N$78)&gt;=chest!$E$37,INDEX(chest!$F$33:$F$37,MATCH(M$25,chest!$D$33:$D$37,0)),0)*(1+$L$4),0))</f>
        <v>0</v>
      </c>
      <c r="N39" s="2">
        <v>14</v>
      </c>
      <c r="O39" s="2">
        <f t="shared" si="4"/>
        <v>868</v>
      </c>
      <c r="P39" s="2">
        <f t="shared" si="5"/>
        <v>910</v>
      </c>
    </row>
    <row r="40" s="2" customFormat="1" ht="18" customHeight="1" spans="2:13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132</v>
      </c>
      <c r="G40" s="2">
        <f t="shared" si="2"/>
        <v>0</v>
      </c>
      <c r="H40" s="2">
        <f t="shared" si="3"/>
        <v>130</v>
      </c>
      <c r="I40" s="2" cm="1">
        <f t="array" ref="I40">ROUND(IF(SUM(mission!$H$64:$H$78)&gt;=chest!$E$33,INDEX(chest!$F$33:$F$37,MATCH(I$25,chest!$D$33:$D$37,0)),0)*(1+$L$4),0)</f>
        <v>0</v>
      </c>
      <c r="J40" s="2" cm="1">
        <f t="array" ref="J40">ROUND(IF(SUM(mission!$H$64:$H$78)&gt;=chest!$E$34,INDEX(chest!$F$33:$F$37,MATCH(J$25,chest!$D$33:$D$37,0)),0)*(1+$L$4),0)</f>
        <v>0</v>
      </c>
      <c r="K40" s="2" cm="1">
        <f t="array" ref="K40">ROUND(IF(SUM(mission!$H$64:$H$78)&gt;=chest!$E$35,INDEX(chest!$F$33:$F$37,MATCH(K$25,chest!$D$33:$D$37,0)),0)*(1+$L$4),0)</f>
        <v>0</v>
      </c>
      <c r="L40" s="2" cm="1">
        <f t="array" ref="L40">ROUND(IF(SUM(mission!$H$64:$H$78)&gt;=chest!$E$36,INDEX(chest!$F$33:$F$37,MATCH(L$25,chest!$D$33:$D$37,0)),0)*(1+$L$4),0)</f>
        <v>0</v>
      </c>
      <c r="M40" s="2" cm="1">
        <f t="array" ref="M40">ROUND(IF(SUM(mission!$H$64:$H$78)&gt;=chest!$E$37,INDEX(chest!$F$33:$F$37,MATCH(M$25,chest!$D$33:$D$37,0)),0)*(1+$L$4),0)</f>
        <v>0</v>
      </c>
    </row>
    <row r="41" s="2" customFormat="1" ht="18" customHeight="1" spans="2:13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141</v>
      </c>
      <c r="G41" s="2">
        <f t="shared" si="2"/>
        <v>0</v>
      </c>
      <c r="H41" s="2">
        <f t="shared" si="3"/>
        <v>130</v>
      </c>
      <c r="I41" s="2" cm="1">
        <f t="array" ref="I41">IF(I40=0,ROUND(IF(SUM(mission!$I$64:$I$78)&gt;=chest!$E$33,INDEX(chest!$F$33:$F$37,MATCH(I$25,chest!$D$33:$D$37,0)),0)*(1+$L$4),0))</f>
        <v>0</v>
      </c>
      <c r="J41" s="2" cm="1">
        <f t="array" ref="J41">IF(J40=0,ROUND(IF(SUM(mission!$I$64:$I$78)&gt;=chest!$E$34,INDEX(chest!$F$33:$F$37,MATCH(J$25,chest!$D$33:$D$37,0)),0)*(1+$L$4),0))</f>
        <v>0</v>
      </c>
      <c r="K41" s="2" cm="1">
        <f t="array" ref="K41">IF(K40=0,ROUND(IF(SUM(mission!$I$64:$I$78)&gt;=chest!$E$35,INDEX(chest!$F$33:$F$37,MATCH(K$25,chest!$D$33:$D$37,0)),0)*(1+$L$4),0))</f>
        <v>0</v>
      </c>
      <c r="L41" s="2" cm="1">
        <f t="array" ref="L41">IF(L40=0,ROUND(IF(SUM(mission!$I$64:$I$78)&gt;=chest!$E$36,INDEX(chest!$F$33:$F$37,MATCH(L$25,chest!$D$33:$D$37,0)),0)*(1+$L$4),0))</f>
        <v>0</v>
      </c>
      <c r="M41" s="2" cm="1">
        <f t="array" ref="M41">IF(M40=0,ROUND(IF(SUM(mission!$I$64:$I$78)&gt;=chest!$E$37,INDEX(chest!$F$33:$F$37,MATCH(M$25,chest!$D$33:$D$37,0)),0)*(1+$L$4),0))</f>
        <v>0</v>
      </c>
    </row>
    <row r="42" s="2" customFormat="1" ht="18" customHeight="1" spans="2:13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150</v>
      </c>
      <c r="G42" s="2">
        <f t="shared" si="2"/>
        <v>30</v>
      </c>
      <c r="H42" s="2">
        <f t="shared" si="3"/>
        <v>160</v>
      </c>
      <c r="I42" s="2" cm="1">
        <f t="array" ref="I42">IF(I41=0,ROUND(IF(SUM(mission!$J$64:$J$78)&gt;=chest!$E$33,INDEX(chest!$F$33:$F$37,MATCH(I$25,chest!$D$33:$D$37,0)),0)*(1+$L$4),0))</f>
        <v>30</v>
      </c>
      <c r="J42" s="2" cm="1">
        <f t="array" ref="J42">IF(J41=0,ROUND(IF(SUM(mission!$J$64:$J$78)&gt;=chest!$E$34,INDEX(chest!$F$33:$F$37,MATCH(J$25,chest!$D$33:$D$37,0)),0)*(1+$L$4),0))</f>
        <v>0</v>
      </c>
      <c r="K42" s="2" cm="1">
        <f t="array" ref="K42">IF(K41=0,ROUND(IF(SUM(mission!$J$64:$J$78)&gt;=chest!$E$35,INDEX(chest!$F$33:$F$37,MATCH(K$25,chest!$D$33:$D$37,0)),0)*(1+$L$4),0))</f>
        <v>0</v>
      </c>
      <c r="L42" s="2" cm="1">
        <f t="array" ref="L42">IF(L41=0,ROUND(IF(SUM(mission!$J$64:$J$78)&gt;=chest!$E$36,INDEX(chest!$F$33:$F$37,MATCH(L$25,chest!$D$33:$D$37,0)),0)*(1+$L$4),0))</f>
        <v>0</v>
      </c>
      <c r="M42" s="2" cm="1">
        <f t="array" ref="M42">IF(M41=0,ROUND(IF(SUM(mission!$J$64:$J$78)&gt;=chest!$E$37,INDEX(chest!$F$33:$F$37,MATCH(M$25,chest!$D$33:$D$37,0)),0)*(1+$L$4),0))</f>
        <v>0</v>
      </c>
    </row>
    <row r="43" s="2" customFormat="1" ht="18" customHeight="1" spans="2:13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158</v>
      </c>
      <c r="G43" s="2">
        <f t="shared" si="2"/>
        <v>0</v>
      </c>
      <c r="H43" s="2">
        <f t="shared" si="3"/>
        <v>160</v>
      </c>
      <c r="I43" s="2" t="b" cm="1">
        <f t="array" ref="I43">IF(I42=0,ROUND(IF(SUM(mission!$K$64:$K$78)&gt;=chest!$E$33,INDEX(chest!$F$33:$F$37,MATCH(I$25,chest!$D$33:$D$37,0)),0)*(1+$L$4),0))</f>
        <v>0</v>
      </c>
      <c r="J43" s="2" cm="1">
        <f t="array" ref="J43">IF(J42=0,ROUND(IF(SUM(mission!$K$64:$K$78)&gt;=chest!$E$34,INDEX(chest!$F$33:$F$37,MATCH(J$25,chest!$D$33:$D$37,0)),0)*(1+$L$4),0))</f>
        <v>0</v>
      </c>
      <c r="K43" s="2" cm="1">
        <f t="array" ref="K43">IF(K42=0,ROUND(IF(SUM(mission!$K$64:$K$78)&gt;=chest!$E$35,INDEX(chest!$F$33:$F$37,MATCH(K$25,chest!$D$33:$D$37,0)),0)*(1+$L$4),0))</f>
        <v>0</v>
      </c>
      <c r="L43" s="2" cm="1">
        <f t="array" ref="L43">IF(L42=0,ROUND(IF(SUM(mission!$K$64:$K$78)&gt;=chest!$E$36,INDEX(chest!$F$33:$F$37,MATCH(L$25,chest!$D$33:$D$37,0)),0)*(1+$L$4),0))</f>
        <v>0</v>
      </c>
      <c r="M43" s="2" cm="1">
        <f t="array" ref="M43">IF(M42=0,ROUND(IF(SUM(mission!$K$64:$K$78)&gt;=chest!$E$37,INDEX(chest!$F$33:$F$37,MATCH(M$25,chest!$D$33:$D$37,0)),0)*(1+$L$4),0))</f>
        <v>0</v>
      </c>
    </row>
    <row r="44" s="2" customFormat="1" ht="18" customHeight="1" spans="2:13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167</v>
      </c>
      <c r="G44" s="2">
        <f t="shared" si="2"/>
        <v>0</v>
      </c>
      <c r="H44" s="2">
        <f t="shared" si="3"/>
        <v>160</v>
      </c>
      <c r="I44" s="2" t="b" cm="1">
        <f t="array" ref="I44">IF(I43=0,ROUND(IF(SUM(mission!$L$64:$L$78)&gt;=chest!$E$33,INDEX(chest!$F$33:$F$37,MATCH(I$25,chest!$D$33:$D$37,0)),0)*(1+$L$4),0))</f>
        <v>0</v>
      </c>
      <c r="J44" s="2" cm="1">
        <f t="array" ref="J44">IF(J43=0,ROUND(IF(SUM(mission!$L$64:$L$78)&gt;=chest!$E$34,INDEX(chest!$F$33:$F$37,MATCH(J$25,chest!$D$33:$D$37,0)),0)*(1+$L$4),0))</f>
        <v>0</v>
      </c>
      <c r="K44" s="2" cm="1">
        <f t="array" ref="K44">IF(K43=0,ROUND(IF(SUM(mission!$L$64:$L$78)&gt;=chest!$E$35,INDEX(chest!$F$33:$F$37,MATCH(K$25,chest!$D$33:$D$37,0)),0)*(1+$L$4),0))</f>
        <v>0</v>
      </c>
      <c r="L44" s="2" cm="1">
        <f t="array" ref="L44">IF(L43=0,ROUND(IF(SUM(mission!$L$64:$L$78)&gt;=chest!$E$36,INDEX(chest!$F$33:$F$37,MATCH(L$25,chest!$D$33:$D$37,0)),0)*(1+$L$4),0))</f>
        <v>0</v>
      </c>
      <c r="M44" s="2" cm="1">
        <f t="array" ref="M44">IF(M43=0,ROUND(IF(SUM(mission!$L$64:$L$78)&gt;=chest!$E$37,INDEX(chest!$F$33:$F$37,MATCH(M$25,chest!$D$33:$D$37,0)),0)*(1+$L$4),0))</f>
        <v>0</v>
      </c>
    </row>
    <row r="45" s="1" customFormat="1" ht="18" customHeight="1" spans="2:16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176</v>
      </c>
      <c r="G45" s="2">
        <f t="shared" si="2"/>
        <v>35</v>
      </c>
      <c r="H45" s="2">
        <f t="shared" si="3"/>
        <v>195</v>
      </c>
      <c r="I45" s="2" t="b" cm="1">
        <f t="array" ref="I45">IF(I44=0,ROUND(IF(SUM(mission!$M$64:$M$78)&gt;=chest!$E$33,INDEX(chest!$F$33:$F$37,MATCH(I$25,chest!$D$33:$D$37,0)),0)*(1+$L$4),0))</f>
        <v>0</v>
      </c>
      <c r="J45" s="2" cm="1">
        <f t="array" ref="J45">IF(J44=0,ROUND(IF(SUM(mission!$M$64:$M$78)&gt;=chest!$E$34,INDEX(chest!$F$33:$F$37,MATCH(J$25,chest!$D$33:$D$37,0)),0)*(1+$L$4),0))</f>
        <v>35</v>
      </c>
      <c r="K45" s="2" cm="1">
        <f t="array" ref="K45">IF(K44=0,ROUND(IF(SUM(mission!$M$64:$M$78)&gt;=chest!$E$35,INDEX(chest!$F$33:$F$37,MATCH(K$25,chest!$D$33:$D$37,0)),0)*(1+$L$4),0))</f>
        <v>0</v>
      </c>
      <c r="L45" s="2" cm="1">
        <f t="array" ref="L45">IF(L44=0,ROUND(IF(SUM(mission!$M$64:$M$78)&gt;=chest!$E$36,INDEX(chest!$F$33:$F$37,MATCH(L$25,chest!$D$33:$D$37,0)),0)*(1+$L$4),0))</f>
        <v>0</v>
      </c>
      <c r="M45" s="2" cm="1">
        <f t="array" ref="M45">IF(M44=0,ROUND(IF(SUM(mission!$M$64:$M$78)&gt;=chest!$E$37,INDEX(chest!$F$33:$F$37,MATCH(M$25,chest!$D$33:$D$37,0)),0)*(1+$L$4),0))</f>
        <v>0</v>
      </c>
      <c r="N45" s="2"/>
      <c r="O45" s="2"/>
      <c r="P45" s="2"/>
    </row>
    <row r="46" s="10" customFormat="1" ht="18" customHeight="1" spans="2:16">
      <c r="B46" s="10">
        <v>21</v>
      </c>
      <c r="C46" s="10">
        <f t="shared" si="0"/>
        <v>21000</v>
      </c>
      <c r="D46" s="10">
        <f>ROUND($C$8*$C$5+$C$8*$C$4*(1-$L$5),0)</f>
        <v>88</v>
      </c>
      <c r="E46" s="10">
        <f t="shared" si="1"/>
        <v>1848</v>
      </c>
      <c r="F46" s="10">
        <f>ROUND(E46*VLOOKUP($B$10,总产出!$T$4:$U$14,2,FALSE),0)</f>
        <v>185</v>
      </c>
      <c r="G46" s="10">
        <f t="shared" si="2"/>
        <v>0</v>
      </c>
      <c r="H46" s="10">
        <f t="shared" si="3"/>
        <v>195</v>
      </c>
      <c r="I46" s="10" t="b" cm="1">
        <f t="array" ref="I46">IF(I45=0,ROUND(IF(SUM(mission!$N$64:$N$78)&gt;=chest!$E$33,INDEX(chest!$F$33:$F$37,MATCH(I$25,chest!$D$33:$D$37,0)),0)*(1+$L$4),0))</f>
        <v>0</v>
      </c>
      <c r="J46" s="10" t="b" cm="1">
        <f t="array" ref="J46">IF(J45=0,ROUND(IF(SUM(mission!$N$64:$N$78)&gt;=chest!$E$34,INDEX(chest!$F$33:$F$37,MATCH(J$25,chest!$D$33:$D$37,0)),0)*(1+$L$4),0))</f>
        <v>0</v>
      </c>
      <c r="K46" s="10" cm="1">
        <f t="array" ref="K46">IF(K45=0,ROUND(IF(SUM(mission!$N$64:$N$78)&gt;=chest!$E$35,INDEX(chest!$F$33:$F$37,MATCH(K$25,chest!$D$33:$D$37,0)),0)*(1+$L$4),0))</f>
        <v>0</v>
      </c>
      <c r="L46" s="10" cm="1">
        <f t="array" ref="L46">IF(L45=0,ROUND(IF(SUM(mission!$N$64:$N$78)&gt;=chest!$E$36,INDEX(chest!$F$33:$F$37,MATCH(L$25,chest!$D$33:$D$37,0)),0)*(1+$L$4),0))</f>
        <v>0</v>
      </c>
      <c r="M46" s="10" cm="1">
        <f t="array" ref="M46">IF(M45=0,ROUND(IF(SUM(mission!$N$64:$N$78)&gt;=chest!$E$37,INDEX(chest!$F$33:$F$37,MATCH(M$25,chest!$D$33:$D$37,0)),0)*(1+$L$4),0))</f>
        <v>0</v>
      </c>
      <c r="N46" s="2"/>
      <c r="O46" s="2"/>
      <c r="P46" s="2"/>
    </row>
    <row r="47" s="1" customFormat="1" ht="18" customHeight="1" spans="2:16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194</v>
      </c>
      <c r="G47" s="2">
        <f t="shared" si="2"/>
        <v>0</v>
      </c>
      <c r="H47" s="2">
        <f t="shared" si="3"/>
        <v>195</v>
      </c>
      <c r="I47" s="2" cm="1">
        <f t="array" ref="I47">ROUND(IF(SUM(mission!$H$64:$H$78)&gt;=chest!$E$33,INDEX(chest!$F$33:$F$37,MATCH(I$25,chest!$D$33:$D$37,0)),0)*(1+$L$4),0)</f>
        <v>0</v>
      </c>
      <c r="J47" s="2" cm="1">
        <f t="array" ref="J47">ROUND(IF(SUM(mission!$H$64:$H$78)&gt;=chest!$E$34,INDEX(chest!$F$33:$F$37,MATCH(J$25,chest!$D$33:$D$37,0)),0)*(1+$L$4),0)</f>
        <v>0</v>
      </c>
      <c r="K47" s="2" cm="1">
        <f t="array" ref="K47">ROUND(IF(SUM(mission!$H$64:$H$78)&gt;=chest!$E$35,INDEX(chest!$F$33:$F$37,MATCH(K$25,chest!$D$33:$D$37,0)),0)*(1+$L$4),0)</f>
        <v>0</v>
      </c>
      <c r="L47" s="2" cm="1">
        <f t="array" ref="L47">ROUND(IF(SUM(mission!$H$64:$H$78)&gt;=chest!$E$36,INDEX(chest!$F$33:$F$37,MATCH(L$25,chest!$D$33:$D$37,0)),0)*(1+$L$4),0)</f>
        <v>0</v>
      </c>
      <c r="M47" s="2" cm="1">
        <f t="array" ref="M47">ROUND(IF(SUM(mission!$H$64:$H$78)&gt;=chest!$E$37,INDEX(chest!$F$33:$F$37,MATCH(M$25,chest!$D$33:$D$37,0)),0)*(1+$L$4),0)</f>
        <v>0</v>
      </c>
      <c r="N47" s="2"/>
      <c r="O47" s="2"/>
      <c r="P47" s="2"/>
    </row>
    <row r="48" s="1" customFormat="1" ht="18" customHeight="1" spans="2:16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202</v>
      </c>
      <c r="G48" s="2">
        <f t="shared" si="2"/>
        <v>0</v>
      </c>
      <c r="H48" s="2">
        <f t="shared" si="3"/>
        <v>195</v>
      </c>
      <c r="I48" s="2" cm="1">
        <f t="array" ref="I48">IF(I47=0,ROUND(IF(SUM(mission!$I$64:$I$78)&gt;=chest!$E$33,INDEX(chest!$F$33:$F$37,MATCH(I$25,chest!$D$33:$D$37,0)),0)*(1+$L$4),0))</f>
        <v>0</v>
      </c>
      <c r="J48" s="2" cm="1">
        <f t="array" ref="J48">IF(J47=0,ROUND(IF(SUM(mission!$I$64:$I$78)&gt;=chest!$E$34,INDEX(chest!$F$33:$F$37,MATCH(J$25,chest!$D$33:$D$37,0)),0)*(1+$L$4),0))</f>
        <v>0</v>
      </c>
      <c r="K48" s="2" cm="1">
        <f t="array" ref="K48">IF(K47=0,ROUND(IF(SUM(mission!$I$64:$I$78)&gt;=chest!$E$35,INDEX(chest!$F$33:$F$37,MATCH(K$25,chest!$D$33:$D$37,0)),0)*(1+$L$4),0))</f>
        <v>0</v>
      </c>
      <c r="L48" s="2" cm="1">
        <f t="array" ref="L48">IF(L47=0,ROUND(IF(SUM(mission!$I$64:$I$78)&gt;=chest!$E$36,INDEX(chest!$F$33:$F$37,MATCH(L$25,chest!$D$33:$D$37,0)),0)*(1+$L$4),0))</f>
        <v>0</v>
      </c>
      <c r="M48" s="2" cm="1">
        <f t="array" ref="M48">IF(M47=0,ROUND(IF(SUM(mission!$I$64:$I$78)&gt;=chest!$E$37,INDEX(chest!$F$33:$F$37,MATCH(M$25,chest!$D$33:$D$37,0)),0)*(1+$L$4),0))</f>
        <v>0</v>
      </c>
      <c r="N48" s="2"/>
      <c r="O48" s="2"/>
      <c r="P48" s="2"/>
    </row>
    <row r="49" s="1" customFormat="1" ht="18" customHeight="1" spans="2:16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211</v>
      </c>
      <c r="G49" s="2">
        <f t="shared" si="2"/>
        <v>30</v>
      </c>
      <c r="H49" s="2">
        <f t="shared" si="3"/>
        <v>225</v>
      </c>
      <c r="I49" s="2" cm="1">
        <f t="array" ref="I49">IF(I48=0,ROUND(IF(SUM(mission!$J$64:$J$78)&gt;=chest!$E$33,INDEX(chest!$F$33:$F$37,MATCH(I$25,chest!$D$33:$D$37,0)),0)*(1+$L$4),0))</f>
        <v>30</v>
      </c>
      <c r="J49" s="2" cm="1">
        <f t="array" ref="J49">IF(J48=0,ROUND(IF(SUM(mission!$J$64:$J$78)&gt;=chest!$E$34,INDEX(chest!$F$33:$F$37,MATCH(J$25,chest!$D$33:$D$37,0)),0)*(1+$L$4),0))</f>
        <v>0</v>
      </c>
      <c r="K49" s="2" cm="1">
        <f t="array" ref="K49">IF(K48=0,ROUND(IF(SUM(mission!$J$64:$J$78)&gt;=chest!$E$35,INDEX(chest!$F$33:$F$37,MATCH(K$25,chest!$D$33:$D$37,0)),0)*(1+$L$4),0))</f>
        <v>0</v>
      </c>
      <c r="L49" s="2" cm="1">
        <f t="array" ref="L49">IF(L48=0,ROUND(IF(SUM(mission!$J$64:$J$78)&gt;=chest!$E$36,INDEX(chest!$F$33:$F$37,MATCH(L$25,chest!$D$33:$D$37,0)),0)*(1+$L$4),0))</f>
        <v>0</v>
      </c>
      <c r="M49" s="2" cm="1">
        <f t="array" ref="M49">IF(M48=0,ROUND(IF(SUM(mission!$J$64:$J$78)&gt;=chest!$E$37,INDEX(chest!$F$33:$F$37,MATCH(M$25,chest!$D$33:$D$37,0)),0)*(1+$L$4),0))</f>
        <v>0</v>
      </c>
      <c r="N49" s="2"/>
      <c r="O49" s="2"/>
      <c r="P49" s="2"/>
    </row>
    <row r="50" s="1" customFormat="1" ht="18" customHeight="1" spans="2:16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220</v>
      </c>
      <c r="G50" s="2">
        <f t="shared" si="2"/>
        <v>0</v>
      </c>
      <c r="H50" s="2">
        <f t="shared" si="3"/>
        <v>225</v>
      </c>
      <c r="I50" s="2" t="b" cm="1">
        <f t="array" ref="I50">IF(I49=0,ROUND(IF(SUM(mission!$K$64:$K$78)&gt;=chest!$E$33,INDEX(chest!$F$33:$F$37,MATCH(I$25,chest!$D$33:$D$37,0)),0)*(1+$L$4),0))</f>
        <v>0</v>
      </c>
      <c r="J50" s="2" cm="1">
        <f t="array" ref="J50">IF(J49=0,ROUND(IF(SUM(mission!$K$64:$K$78)&gt;=chest!$E$34,INDEX(chest!$F$33:$F$37,MATCH(J$25,chest!$D$33:$D$37,0)),0)*(1+$L$4),0))</f>
        <v>0</v>
      </c>
      <c r="K50" s="2" cm="1">
        <f t="array" ref="K50">IF(K49=0,ROUND(IF(SUM(mission!$K$64:$K$78)&gt;=chest!$E$35,INDEX(chest!$F$33:$F$37,MATCH(K$25,chest!$D$33:$D$37,0)),0)*(1+$L$4),0))</f>
        <v>0</v>
      </c>
      <c r="L50" s="2" cm="1">
        <f t="array" ref="L50">IF(L49=0,ROUND(IF(SUM(mission!$K$64:$K$78)&gt;=chest!$E$36,INDEX(chest!$F$33:$F$37,MATCH(L$25,chest!$D$33:$D$37,0)),0)*(1+$L$4),0))</f>
        <v>0</v>
      </c>
      <c r="M50" s="2" cm="1">
        <f t="array" ref="M50">IF(M49=0,ROUND(IF(SUM(mission!$K$64:$K$78)&gt;=chest!$E$37,INDEX(chest!$F$33:$F$37,MATCH(M$25,chest!$D$33:$D$37,0)),0)*(1+$L$4),0))</f>
        <v>0</v>
      </c>
      <c r="N50" s="2"/>
      <c r="O50" s="2"/>
      <c r="P50" s="2"/>
    </row>
    <row r="51" s="1" customFormat="1" ht="18" customHeight="1" spans="2:16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229</v>
      </c>
      <c r="G51" s="2">
        <f t="shared" si="2"/>
        <v>0</v>
      </c>
      <c r="H51" s="2">
        <f t="shared" si="3"/>
        <v>225</v>
      </c>
      <c r="I51" s="2" t="b" cm="1">
        <f t="array" ref="I51">IF(I50=0,ROUND(IF(SUM(mission!$L$64:$L$78)&gt;=chest!$E$33,INDEX(chest!$F$33:$F$37,MATCH(I$25,chest!$D$33:$D$37,0)),0)*(1+$L$4),0))</f>
        <v>0</v>
      </c>
      <c r="J51" s="2" cm="1">
        <f t="array" ref="J51">IF(J50=0,ROUND(IF(SUM(mission!$L$64:$L$78)&gt;=chest!$E$34,INDEX(chest!$F$33:$F$37,MATCH(J$25,chest!$D$33:$D$37,0)),0)*(1+$L$4),0))</f>
        <v>0</v>
      </c>
      <c r="K51" s="2" cm="1">
        <f t="array" ref="K51">IF(K50=0,ROUND(IF(SUM(mission!$L$64:$L$78)&gt;=chest!$E$35,INDEX(chest!$F$33:$F$37,MATCH(K$25,chest!$D$33:$D$37,0)),0)*(1+$L$4),0))</f>
        <v>0</v>
      </c>
      <c r="L51" s="2" cm="1">
        <f t="array" ref="L51">IF(L50=0,ROUND(IF(SUM(mission!$L$64:$L$78)&gt;=chest!$E$36,INDEX(chest!$F$33:$F$37,MATCH(L$25,chest!$D$33:$D$37,0)),0)*(1+$L$4),0))</f>
        <v>0</v>
      </c>
      <c r="M51" s="2" cm="1">
        <f t="array" ref="M51">IF(M50=0,ROUND(IF(SUM(mission!$L$64:$L$78)&gt;=chest!$E$37,INDEX(chest!$F$33:$F$37,MATCH(M$25,chest!$D$33:$D$37,0)),0)*(1+$L$4),0))</f>
        <v>0</v>
      </c>
      <c r="N51" s="2"/>
      <c r="O51" s="2"/>
      <c r="P51" s="2"/>
    </row>
    <row r="52" s="1" customFormat="1" ht="18" customHeight="1" spans="2:16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238</v>
      </c>
      <c r="G52" s="2">
        <f t="shared" si="2"/>
        <v>35</v>
      </c>
      <c r="H52" s="2">
        <f t="shared" si="3"/>
        <v>260</v>
      </c>
      <c r="I52" s="2" t="b" cm="1">
        <f t="array" ref="I52">IF(I51=0,ROUND(IF(SUM(mission!$M$64:$M$78)&gt;=chest!$E$33,INDEX(chest!$F$33:$F$37,MATCH(I$25,chest!$D$33:$D$37,0)),0)*(1+$L$4),0))</f>
        <v>0</v>
      </c>
      <c r="J52" s="2" cm="1">
        <f t="array" ref="J52">IF(J51=0,ROUND(IF(SUM(mission!$M$64:$M$78)&gt;=chest!$E$34,INDEX(chest!$F$33:$F$37,MATCH(J$25,chest!$D$33:$D$37,0)),0)*(1+$L$4),0))</f>
        <v>35</v>
      </c>
      <c r="K52" s="2" cm="1">
        <f t="array" ref="K52">IF(K51=0,ROUND(IF(SUM(mission!$M$64:$M$78)&gt;=chest!$E$35,INDEX(chest!$F$33:$F$37,MATCH(K$25,chest!$D$33:$D$37,0)),0)*(1+$L$4),0))</f>
        <v>0</v>
      </c>
      <c r="L52" s="2" cm="1">
        <f t="array" ref="L52">IF(L51=0,ROUND(IF(SUM(mission!$M$64:$M$78)&gt;=chest!$E$36,INDEX(chest!$F$33:$F$37,MATCH(L$25,chest!$D$33:$D$37,0)),0)*(1+$L$4),0))</f>
        <v>0</v>
      </c>
      <c r="M52" s="2" cm="1">
        <f t="array" ref="M52">IF(M51=0,ROUND(IF(SUM(mission!$M$64:$M$78)&gt;=chest!$E$37,INDEX(chest!$F$33:$F$37,MATCH(M$25,chest!$D$33:$D$37,0)),0)*(1+$L$4),0))</f>
        <v>0</v>
      </c>
      <c r="N52" s="2"/>
      <c r="O52" s="2"/>
      <c r="P52" s="2"/>
    </row>
    <row r="53" s="10" customFormat="1" ht="18" customHeight="1" spans="2:16">
      <c r="B53" s="10">
        <v>28</v>
      </c>
      <c r="C53" s="10">
        <f t="shared" si="0"/>
        <v>28000</v>
      </c>
      <c r="D53" s="10">
        <f>ROUND($C$8*$C$5+$C$8*$C$4*(1-$L$5),0)</f>
        <v>88</v>
      </c>
      <c r="E53" s="10">
        <f t="shared" si="1"/>
        <v>2464</v>
      </c>
      <c r="F53" s="10">
        <f>ROUND(E53*VLOOKUP($B$10,总产出!$T$4:$U$14,2,FALSE),0)</f>
        <v>246</v>
      </c>
      <c r="G53" s="10">
        <f t="shared" si="2"/>
        <v>0</v>
      </c>
      <c r="H53" s="10">
        <f t="shared" si="3"/>
        <v>260</v>
      </c>
      <c r="I53" s="10" t="b" cm="1">
        <f t="array" ref="I53">IF(I52=0,ROUND(IF(SUM(mission!$N$64:$N$78)&gt;=chest!$E$33,INDEX(chest!$F$33:$F$37,MATCH(I$25,chest!$D$33:$D$37,0)),0)*(1+$L$4),0))</f>
        <v>0</v>
      </c>
      <c r="J53" s="10" t="b" cm="1">
        <f t="array" ref="J53">IF(J52=0,ROUND(IF(SUM(mission!$N$64:$N$78)&gt;=chest!$E$34,INDEX(chest!$F$33:$F$37,MATCH(J$25,chest!$D$33:$D$37,0)),0)*(1+$L$4),0))</f>
        <v>0</v>
      </c>
      <c r="K53" s="10" cm="1">
        <f t="array" ref="K53">IF(K52=0,ROUND(IF(SUM(mission!$N$64:$N$78)&gt;=chest!$E$35,INDEX(chest!$F$33:$F$37,MATCH(K$25,chest!$D$33:$D$37,0)),0)*(1+$L$4),0))</f>
        <v>0</v>
      </c>
      <c r="L53" s="10" cm="1">
        <f t="array" ref="L53">IF(L52=0,ROUND(IF(SUM(mission!$N$64:$N$78)&gt;=chest!$E$36,INDEX(chest!$F$33:$F$37,MATCH(L$25,chest!$D$33:$D$37,0)),0)*(1+$L$4),0))</f>
        <v>0</v>
      </c>
      <c r="M53" s="10" cm="1">
        <f t="array" ref="M53">IF(M52=0,ROUND(IF(SUM(mission!$N$64:$N$78)&gt;=chest!$E$37,INDEX(chest!$F$33:$F$37,MATCH(M$25,chest!$D$33:$D$37,0)),0)*(1+$L$4),0))</f>
        <v>0</v>
      </c>
      <c r="N53" s="2"/>
      <c r="O53" s="2"/>
      <c r="P53" s="2"/>
    </row>
    <row r="54" s="1" customFormat="1" ht="18" customHeight="1" spans="2:16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255</v>
      </c>
      <c r="G54" s="2">
        <f t="shared" si="2"/>
        <v>0</v>
      </c>
      <c r="H54" s="2">
        <f t="shared" si="3"/>
        <v>260</v>
      </c>
      <c r="I54" s="2" cm="1">
        <f t="array" ref="I54">ROUND(IF(SUM(mission!$H$64:$H$78)&gt;=chest!$E$33,INDEX(chest!$F$33:$F$37,MATCH(I$25,chest!$D$33:$D$37,0)),0)*(1+$L$4),0)</f>
        <v>0</v>
      </c>
      <c r="J54" s="2" cm="1">
        <f t="array" ref="J54">ROUND(IF(SUM(mission!$H$64:$H$78)&gt;=chest!$E$34,INDEX(chest!$F$33:$F$37,MATCH(J$25,chest!$D$33:$D$37,0)),0)*(1+$L$4),0)</f>
        <v>0</v>
      </c>
      <c r="K54" s="2" cm="1">
        <f t="array" ref="K54">ROUND(IF(SUM(mission!$H$64:$H$78)&gt;=chest!$E$35,INDEX(chest!$F$33:$F$37,MATCH(K$25,chest!$D$33:$D$37,0)),0)*(1+$L$4),0)</f>
        <v>0</v>
      </c>
      <c r="L54" s="2" cm="1">
        <f t="array" ref="L54">ROUND(IF(SUM(mission!$H$64:$H$78)&gt;=chest!$E$36,INDEX(chest!$F$33:$F$37,MATCH(L$25,chest!$D$33:$D$37,0)),0)*(1+$L$4),0)</f>
        <v>0</v>
      </c>
      <c r="M54" s="2" cm="1">
        <f t="array" ref="M54">ROUND(IF(SUM(mission!$H$64:$H$78)&gt;=chest!$E$37,INDEX(chest!$F$33:$F$37,MATCH(M$25,chest!$D$33:$D$37,0)),0)*(1+$L$4),0)</f>
        <v>0</v>
      </c>
      <c r="N54" s="2"/>
      <c r="O54" s="2"/>
      <c r="P54" s="2"/>
    </row>
    <row r="55" s="1" customFormat="1" ht="18" customHeight="1" spans="2:16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264</v>
      </c>
      <c r="G55" s="2">
        <f t="shared" si="2"/>
        <v>0</v>
      </c>
      <c r="H55" s="2">
        <f t="shared" si="3"/>
        <v>260</v>
      </c>
      <c r="I55" s="2" cm="1">
        <f t="array" ref="I55">IF(I54=0,ROUND(IF(SUM(mission!$I$64:$I$78)&gt;=chest!$E$33,INDEX(chest!$F$33:$F$37,MATCH(I$25,chest!$D$33:$D$37,0)),0)*(1+$L$4),0))</f>
        <v>0</v>
      </c>
      <c r="J55" s="2" cm="1">
        <f t="array" ref="J55">IF(J54=0,ROUND(IF(SUM(mission!$I$64:$I$78)&gt;=chest!$E$34,INDEX(chest!$F$33:$F$37,MATCH(J$25,chest!$D$33:$D$37,0)),0)*(1+$L$4),0))</f>
        <v>0</v>
      </c>
      <c r="K55" s="2" cm="1">
        <f t="array" ref="K55">IF(K54=0,ROUND(IF(SUM(mission!$I$64:$I$78)&gt;=chest!$E$35,INDEX(chest!$F$33:$F$37,MATCH(K$25,chest!$D$33:$D$37,0)),0)*(1+$L$4),0))</f>
        <v>0</v>
      </c>
      <c r="L55" s="2" cm="1">
        <f t="array" ref="L55">IF(L54=0,ROUND(IF(SUM(mission!$I$64:$I$78)&gt;=chest!$E$36,INDEX(chest!$F$33:$F$37,MATCH(L$25,chest!$D$33:$D$37,0)),0)*(1+$L$4),0))</f>
        <v>0</v>
      </c>
      <c r="M55" s="2" cm="1">
        <f t="array" ref="M55">IF(M54=0,ROUND(IF(SUM(mission!$I$64:$I$78)&gt;=chest!$E$37,INDEX(chest!$F$33:$F$37,MATCH(M$25,chest!$D$33:$D$37,0)),0)*(1+$L$4),0))</f>
        <v>0</v>
      </c>
      <c r="N55" s="2"/>
      <c r="O55" s="2"/>
      <c r="P55" s="2"/>
    </row>
    <row r="56" s="1" customFormat="1" ht="18" customHeight="1" spans="2:16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273</v>
      </c>
      <c r="G56" s="2">
        <f t="shared" si="2"/>
        <v>30</v>
      </c>
      <c r="H56" s="2">
        <f t="shared" si="3"/>
        <v>290</v>
      </c>
      <c r="I56" s="2" cm="1">
        <f t="array" ref="I56">IF(I55=0,ROUND(IF(SUM(mission!$J$64:$J$78)&gt;=chest!$E$33,INDEX(chest!$F$33:$F$37,MATCH(I$25,chest!$D$33:$D$37,0)),0)*(1+$L$4),0))</f>
        <v>30</v>
      </c>
      <c r="J56" s="2" cm="1">
        <f t="array" ref="J56">IF(J55=0,ROUND(IF(SUM(mission!$J$64:$J$78)&gt;=chest!$E$34,INDEX(chest!$F$33:$F$37,MATCH(J$25,chest!$D$33:$D$37,0)),0)*(1+$L$4),0))</f>
        <v>0</v>
      </c>
      <c r="K56" s="2" cm="1">
        <f t="array" ref="K56">IF(K55=0,ROUND(IF(SUM(mission!$J$64:$J$78)&gt;=chest!$E$35,INDEX(chest!$F$33:$F$37,MATCH(K$25,chest!$D$33:$D$37,0)),0)*(1+$L$4),0))</f>
        <v>0</v>
      </c>
      <c r="L56" s="2" cm="1">
        <f t="array" ref="L56">IF(L55=0,ROUND(IF(SUM(mission!$J$64:$J$78)&gt;=chest!$E$36,INDEX(chest!$F$33:$F$37,MATCH(L$25,chest!$D$33:$D$37,0)),0)*(1+$L$4),0))</f>
        <v>0</v>
      </c>
      <c r="M56" s="2" cm="1">
        <f t="array" ref="M56">IF(M55=0,ROUND(IF(SUM(mission!$J$64:$J$78)&gt;=chest!$E$37,INDEX(chest!$F$33:$F$37,MATCH(M$25,chest!$D$33:$D$37,0)),0)*(1+$L$4),0))</f>
        <v>0</v>
      </c>
      <c r="N56" s="2"/>
      <c r="O56" s="2"/>
      <c r="P56" s="2"/>
    </row>
    <row r="57" s="1" customFormat="1" ht="18" customHeight="1" spans="2:16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282</v>
      </c>
      <c r="G57" s="2">
        <f t="shared" si="2"/>
        <v>0</v>
      </c>
      <c r="H57" s="2">
        <f t="shared" si="3"/>
        <v>290</v>
      </c>
      <c r="I57" s="2" t="b" cm="1">
        <f t="array" ref="I57">IF(I56=0,ROUND(IF(SUM(mission!$K$64:$K$78)&gt;=chest!$E$33,INDEX(chest!$F$33:$F$37,MATCH(I$25,chest!$D$33:$D$37,0)),0)*(1+$L$4),0))</f>
        <v>0</v>
      </c>
      <c r="J57" s="2" cm="1">
        <f t="array" ref="J57">IF(J56=0,ROUND(IF(SUM(mission!$K$64:$K$78)&gt;=chest!$E$34,INDEX(chest!$F$33:$F$37,MATCH(J$25,chest!$D$33:$D$37,0)),0)*(1+$L$4),0))</f>
        <v>0</v>
      </c>
      <c r="K57" s="2" cm="1">
        <f t="array" ref="K57">IF(K56=0,ROUND(IF(SUM(mission!$K$64:$K$78)&gt;=chest!$E$35,INDEX(chest!$F$33:$F$37,MATCH(K$25,chest!$D$33:$D$37,0)),0)*(1+$L$4),0))</f>
        <v>0</v>
      </c>
      <c r="L57" s="2" cm="1">
        <f t="array" ref="L57">IF(L56=0,ROUND(IF(SUM(mission!$K$64:$K$78)&gt;=chest!$E$36,INDEX(chest!$F$33:$F$37,MATCH(L$25,chest!$D$33:$D$37,0)),0)*(1+$L$4),0))</f>
        <v>0</v>
      </c>
      <c r="M57" s="2" cm="1">
        <f t="array" ref="M57">IF(M56=0,ROUND(IF(SUM(mission!$K$64:$K$78)&gt;=chest!$E$37,INDEX(chest!$F$33:$F$37,MATCH(M$25,chest!$D$33:$D$37,0)),0)*(1+$L$4),0))</f>
        <v>0</v>
      </c>
      <c r="N57" s="2"/>
      <c r="O57" s="2"/>
      <c r="P57" s="2"/>
    </row>
    <row r="58" s="1" customFormat="1" ht="18" customHeight="1" spans="2:16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290</v>
      </c>
      <c r="G58" s="2">
        <f t="shared" si="2"/>
        <v>0</v>
      </c>
      <c r="H58" s="2">
        <f t="shared" si="3"/>
        <v>290</v>
      </c>
      <c r="I58" s="2" t="b" cm="1">
        <f t="array" ref="I58">IF(I57=0,ROUND(IF(SUM(mission!$L$64:$L$78)&gt;=chest!$E$33,INDEX(chest!$F$33:$F$37,MATCH(I$25,chest!$D$33:$D$37,0)),0)*(1+$L$4),0))</f>
        <v>0</v>
      </c>
      <c r="J58" s="2" cm="1">
        <f t="array" ref="J58">IF(J57=0,ROUND(IF(SUM(mission!$L$64:$L$78)&gt;=chest!$E$34,INDEX(chest!$F$33:$F$37,MATCH(J$25,chest!$D$33:$D$37,0)),0)*(1+$L$4),0))</f>
        <v>0</v>
      </c>
      <c r="K58" s="2" cm="1">
        <f t="array" ref="K58">IF(K57=0,ROUND(IF(SUM(mission!$L$64:$L$78)&gt;=chest!$E$35,INDEX(chest!$F$33:$F$37,MATCH(K$25,chest!$D$33:$D$37,0)),0)*(1+$L$4),0))</f>
        <v>0</v>
      </c>
      <c r="L58" s="2" cm="1">
        <f t="array" ref="L58">IF(L57=0,ROUND(IF(SUM(mission!$L$64:$L$78)&gt;=chest!$E$36,INDEX(chest!$F$33:$F$37,MATCH(L$25,chest!$D$33:$D$37,0)),0)*(1+$L$4),0))</f>
        <v>0</v>
      </c>
      <c r="M58" s="2" cm="1">
        <f t="array" ref="M58">IF(M57=0,ROUND(IF(SUM(mission!$L$64:$L$78)&gt;=chest!$E$37,INDEX(chest!$F$33:$F$37,MATCH(M$25,chest!$D$33:$D$37,0)),0)*(1+$L$4),0))</f>
        <v>0</v>
      </c>
      <c r="N58" s="2"/>
      <c r="O58" s="2"/>
      <c r="P58" s="2"/>
    </row>
    <row r="59" s="1" customFormat="1" ht="18" customHeight="1" spans="2:16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299</v>
      </c>
      <c r="G59" s="2">
        <f t="shared" si="2"/>
        <v>35</v>
      </c>
      <c r="H59" s="2">
        <f t="shared" si="3"/>
        <v>325</v>
      </c>
      <c r="I59" s="2" t="b" cm="1">
        <f t="array" ref="I59">IF(I58=0,ROUND(IF(SUM(mission!$M$64:$M$78)&gt;=chest!$E$33,INDEX(chest!$F$33:$F$37,MATCH(I$25,chest!$D$33:$D$37,0)),0)*(1+$L$4),0))</f>
        <v>0</v>
      </c>
      <c r="J59" s="2" cm="1">
        <f t="array" ref="J59">IF(J58=0,ROUND(IF(SUM(mission!$M$64:$M$78)&gt;=chest!$E$34,INDEX(chest!$F$33:$F$37,MATCH(J$25,chest!$D$33:$D$37,0)),0)*(1+$L$4),0))</f>
        <v>35</v>
      </c>
      <c r="K59" s="2" cm="1">
        <f t="array" ref="K59">IF(K58=0,ROUND(IF(SUM(mission!$M$64:$M$78)&gt;=chest!$E$35,INDEX(chest!$F$33:$F$37,MATCH(K$25,chest!$D$33:$D$37,0)),0)*(1+$L$4),0))</f>
        <v>0</v>
      </c>
      <c r="L59" s="2" cm="1">
        <f t="array" ref="L59">IF(L58=0,ROUND(IF(SUM(mission!$M$64:$M$78)&gt;=chest!$E$36,INDEX(chest!$F$33:$F$37,MATCH(L$25,chest!$D$33:$D$37,0)),0)*(1+$L$4),0))</f>
        <v>0</v>
      </c>
      <c r="M59" s="2" cm="1">
        <f t="array" ref="M59">IF(M58=0,ROUND(IF(SUM(mission!$M$64:$M$78)&gt;=chest!$E$37,INDEX(chest!$F$33:$F$37,MATCH(M$25,chest!$D$33:$D$37,0)),0)*(1+$L$4),0))</f>
        <v>0</v>
      </c>
      <c r="N59" s="2"/>
      <c r="O59" s="2"/>
      <c r="P59" s="2"/>
    </row>
    <row r="60" s="10" customFormat="1" ht="18" customHeight="1" spans="2:16">
      <c r="B60" s="10">
        <v>35</v>
      </c>
      <c r="C60" s="10">
        <f t="shared" si="0"/>
        <v>35000</v>
      </c>
      <c r="D60" s="10">
        <f>ROUND($C$8*$C$5+$C$8*$C$4*(1-$L$5),0)</f>
        <v>88</v>
      </c>
      <c r="E60" s="10">
        <f t="shared" si="1"/>
        <v>3080</v>
      </c>
      <c r="F60" s="10">
        <f>ROUND(E60*VLOOKUP($B$10,总产出!$T$4:$U$14,2,FALSE),0)</f>
        <v>308</v>
      </c>
      <c r="G60" s="10">
        <f t="shared" si="2"/>
        <v>0</v>
      </c>
      <c r="H60" s="10">
        <f t="shared" si="3"/>
        <v>325</v>
      </c>
      <c r="I60" s="10" t="b" cm="1">
        <f t="array" ref="I60">IF(I59=0,ROUND(IF(SUM(mission!$N$64:$N$78)&gt;=chest!$E$33,INDEX(chest!$F$33:$F$37,MATCH(I$25,chest!$D$33:$D$37,0)),0)*(1+$L$4),0))</f>
        <v>0</v>
      </c>
      <c r="J60" s="10" t="b" cm="1">
        <f t="array" ref="J60">IF(J59=0,ROUND(IF(SUM(mission!$N$64:$N$78)&gt;=chest!$E$34,INDEX(chest!$F$33:$F$37,MATCH(J$25,chest!$D$33:$D$37,0)),0)*(1+$L$4),0))</f>
        <v>0</v>
      </c>
      <c r="K60" s="10" cm="1">
        <f t="array" ref="K60">IF(K59=0,ROUND(IF(SUM(mission!$N$64:$N$78)&gt;=chest!$E$35,INDEX(chest!$F$33:$F$37,MATCH(K$25,chest!$D$33:$D$37,0)),0)*(1+$L$4),0))</f>
        <v>0</v>
      </c>
      <c r="L60" s="10" cm="1">
        <f t="array" ref="L60">IF(L59=0,ROUND(IF(SUM(mission!$N$64:$N$78)&gt;=chest!$E$36,INDEX(chest!$F$33:$F$37,MATCH(L$25,chest!$D$33:$D$37,0)),0)*(1+$L$4),0))</f>
        <v>0</v>
      </c>
      <c r="M60" s="10" cm="1">
        <f t="array" ref="M60">IF(M59=0,ROUND(IF(SUM(mission!$N$64:$N$78)&gt;=chest!$E$37,INDEX(chest!$F$33:$F$37,MATCH(M$25,chest!$D$33:$D$37,0)),0)*(1+$L$4),0))</f>
        <v>0</v>
      </c>
      <c r="N60" s="2"/>
      <c r="O60" s="2"/>
      <c r="P60" s="2"/>
    </row>
    <row r="61" s="1" customFormat="1" ht="18" customHeight="1" spans="2:16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317</v>
      </c>
      <c r="G61" s="2">
        <f t="shared" si="2"/>
        <v>0</v>
      </c>
      <c r="H61" s="2">
        <f t="shared" si="3"/>
        <v>325</v>
      </c>
      <c r="I61" s="2" cm="1">
        <f t="array" ref="I61">ROUND(IF(SUM(mission!$H$64:$H$78)&gt;=chest!$E$33,INDEX(chest!$F$33:$F$37,MATCH(I$25,chest!$D$33:$D$37,0)),0)*(1+$L$4),0)</f>
        <v>0</v>
      </c>
      <c r="J61" s="2" cm="1">
        <f t="array" ref="J61">ROUND(IF(SUM(mission!$H$64:$H$78)&gt;=chest!$E$34,INDEX(chest!$F$33:$F$37,MATCH(J$25,chest!$D$33:$D$37,0)),0)*(1+$L$4),0)</f>
        <v>0</v>
      </c>
      <c r="K61" s="2" cm="1">
        <f t="array" ref="K61">ROUND(IF(SUM(mission!$H$64:$H$78)&gt;=chest!$E$35,INDEX(chest!$F$33:$F$37,MATCH(K$25,chest!$D$33:$D$37,0)),0)*(1+$L$4),0)</f>
        <v>0</v>
      </c>
      <c r="L61" s="2" cm="1">
        <f t="array" ref="L61">ROUND(IF(SUM(mission!$H$64:$H$78)&gt;=chest!$E$36,INDEX(chest!$F$33:$F$37,MATCH(L$25,chest!$D$33:$D$37,0)),0)*(1+$L$4),0)</f>
        <v>0</v>
      </c>
      <c r="M61" s="2" cm="1">
        <f t="array" ref="M61">ROUND(IF(SUM(mission!$H$64:$H$78)&gt;=chest!$E$37,INDEX(chest!$F$33:$F$37,MATCH(M$25,chest!$D$33:$D$37,0)),0)*(1+$L$4),0)</f>
        <v>0</v>
      </c>
      <c r="N61" s="2"/>
      <c r="O61" s="2"/>
      <c r="P61" s="2"/>
    </row>
    <row r="62" s="1" customFormat="1" ht="18" customHeight="1" spans="2:16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326</v>
      </c>
      <c r="G62" s="2">
        <f t="shared" si="2"/>
        <v>0</v>
      </c>
      <c r="H62" s="2">
        <f t="shared" si="3"/>
        <v>325</v>
      </c>
      <c r="I62" s="2" cm="1">
        <f t="array" ref="I62">IF(I61=0,ROUND(IF(SUM(mission!$I$64:$I$78)&gt;=chest!$E$33,INDEX(chest!$F$33:$F$37,MATCH(I$25,chest!$D$33:$D$37,0)),0)*(1+$L$4),0))</f>
        <v>0</v>
      </c>
      <c r="J62" s="2" cm="1">
        <f t="array" ref="J62">IF(J61=0,ROUND(IF(SUM(mission!$I$64:$I$78)&gt;=chest!$E$34,INDEX(chest!$F$33:$F$37,MATCH(J$25,chest!$D$33:$D$37,0)),0)*(1+$L$4),0))</f>
        <v>0</v>
      </c>
      <c r="K62" s="2" cm="1">
        <f t="array" ref="K62">IF(K61=0,ROUND(IF(SUM(mission!$I$64:$I$78)&gt;=chest!$E$35,INDEX(chest!$F$33:$F$37,MATCH(K$25,chest!$D$33:$D$37,0)),0)*(1+$L$4),0))</f>
        <v>0</v>
      </c>
      <c r="L62" s="2" cm="1">
        <f t="array" ref="L62">IF(L61=0,ROUND(IF(SUM(mission!$I$64:$I$78)&gt;=chest!$E$36,INDEX(chest!$F$33:$F$37,MATCH(L$25,chest!$D$33:$D$37,0)),0)*(1+$L$4),0))</f>
        <v>0</v>
      </c>
      <c r="M62" s="2" cm="1">
        <f t="array" ref="M62">IF(M61=0,ROUND(IF(SUM(mission!$I$64:$I$78)&gt;=chest!$E$37,INDEX(chest!$F$33:$F$37,MATCH(M$25,chest!$D$33:$D$37,0)),0)*(1+$L$4),0))</f>
        <v>0</v>
      </c>
      <c r="N62" s="2"/>
      <c r="O62" s="2"/>
      <c r="P62" s="2"/>
    </row>
    <row r="63" s="1" customFormat="1" ht="18" customHeight="1" spans="2:16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334</v>
      </c>
      <c r="G63" s="2">
        <f t="shared" si="2"/>
        <v>30</v>
      </c>
      <c r="H63" s="2">
        <f t="shared" si="3"/>
        <v>355</v>
      </c>
      <c r="I63" s="2" cm="1">
        <f t="array" ref="I63">IF(I62=0,ROUND(IF(SUM(mission!$J$64:$J$78)&gt;=chest!$E$33,INDEX(chest!$F$33:$F$37,MATCH(I$25,chest!$D$33:$D$37,0)),0)*(1+$L$4),0))</f>
        <v>30</v>
      </c>
      <c r="J63" s="2" cm="1">
        <f t="array" ref="J63">IF(J62=0,ROUND(IF(SUM(mission!$J$64:$J$78)&gt;=chest!$E$34,INDEX(chest!$F$33:$F$37,MATCH(J$25,chest!$D$33:$D$37,0)),0)*(1+$L$4),0))</f>
        <v>0</v>
      </c>
      <c r="K63" s="2" cm="1">
        <f t="array" ref="K63">IF(K62=0,ROUND(IF(SUM(mission!$J$64:$J$78)&gt;=chest!$E$35,INDEX(chest!$F$33:$F$37,MATCH(K$25,chest!$D$33:$D$37,0)),0)*(1+$L$4),0))</f>
        <v>0</v>
      </c>
      <c r="L63" s="2" cm="1">
        <f t="array" ref="L63">IF(L62=0,ROUND(IF(SUM(mission!$J$64:$J$78)&gt;=chest!$E$36,INDEX(chest!$F$33:$F$37,MATCH(L$25,chest!$D$33:$D$37,0)),0)*(1+$L$4),0))</f>
        <v>0</v>
      </c>
      <c r="M63" s="2" cm="1">
        <f t="array" ref="M63">IF(M62=0,ROUND(IF(SUM(mission!$J$64:$J$78)&gt;=chest!$E$37,INDEX(chest!$F$33:$F$37,MATCH(M$25,chest!$D$33:$D$37,0)),0)*(1+$L$4),0))</f>
        <v>0</v>
      </c>
      <c r="N63" s="2"/>
      <c r="O63" s="2"/>
      <c r="P63" s="2"/>
    </row>
    <row r="64" s="1" customFormat="1" ht="18" customHeight="1" spans="2:16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343</v>
      </c>
      <c r="G64" s="2">
        <f t="shared" si="2"/>
        <v>0</v>
      </c>
      <c r="H64" s="2">
        <f t="shared" si="3"/>
        <v>355</v>
      </c>
      <c r="I64" s="2" t="b" cm="1">
        <f t="array" ref="I64">IF(I63=0,ROUND(IF(SUM(mission!$K$64:$K$78)&gt;=chest!$E$33,INDEX(chest!$F$33:$F$37,MATCH(I$25,chest!$D$33:$D$37,0)),0)*(1+$L$4),0))</f>
        <v>0</v>
      </c>
      <c r="J64" s="2" cm="1">
        <f t="array" ref="J64">IF(J63=0,ROUND(IF(SUM(mission!$K$64:$K$78)&gt;=chest!$E$34,INDEX(chest!$F$33:$F$37,MATCH(J$25,chest!$D$33:$D$37,0)),0)*(1+$L$4),0))</f>
        <v>0</v>
      </c>
      <c r="K64" s="2" cm="1">
        <f t="array" ref="K64">IF(K63=0,ROUND(IF(SUM(mission!$K$64:$K$78)&gt;=chest!$E$35,INDEX(chest!$F$33:$F$37,MATCH(K$25,chest!$D$33:$D$37,0)),0)*(1+$L$4),0))</f>
        <v>0</v>
      </c>
      <c r="L64" s="2" cm="1">
        <f t="array" ref="L64">IF(L63=0,ROUND(IF(SUM(mission!$K$64:$K$78)&gt;=chest!$E$36,INDEX(chest!$F$33:$F$37,MATCH(L$25,chest!$D$33:$D$37,0)),0)*(1+$L$4),0))</f>
        <v>0</v>
      </c>
      <c r="M64" s="2" cm="1">
        <f t="array" ref="M64">IF(M63=0,ROUND(IF(SUM(mission!$K$64:$K$78)&gt;=chest!$E$37,INDEX(chest!$F$33:$F$37,MATCH(M$25,chest!$D$33:$D$37,0)),0)*(1+$L$4),0))</f>
        <v>0</v>
      </c>
      <c r="N64" s="2"/>
      <c r="O64" s="2"/>
      <c r="P64" s="2"/>
    </row>
    <row r="65" s="1" customFormat="1" ht="18" customHeight="1" spans="2:16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352</v>
      </c>
      <c r="G65" s="2">
        <f t="shared" si="2"/>
        <v>0</v>
      </c>
      <c r="H65" s="2">
        <f t="shared" si="3"/>
        <v>355</v>
      </c>
      <c r="I65" s="2" t="b" cm="1">
        <f t="array" ref="I65">IF(I64=0,ROUND(IF(SUM(mission!$L$64:$L$78)&gt;=chest!$E$33,INDEX(chest!$F$33:$F$37,MATCH(I$25,chest!$D$33:$D$37,0)),0)*(1+$L$4),0))</f>
        <v>0</v>
      </c>
      <c r="J65" s="2" cm="1">
        <f t="array" ref="J65">IF(J64=0,ROUND(IF(SUM(mission!$L$64:$L$78)&gt;=chest!$E$34,INDEX(chest!$F$33:$F$37,MATCH(J$25,chest!$D$33:$D$37,0)),0)*(1+$L$4),0))</f>
        <v>0</v>
      </c>
      <c r="K65" s="2" cm="1">
        <f t="array" ref="K65">IF(K64=0,ROUND(IF(SUM(mission!$L$64:$L$78)&gt;=chest!$E$35,INDEX(chest!$F$33:$F$37,MATCH(K$25,chest!$D$33:$D$37,0)),0)*(1+$L$4),0))</f>
        <v>0</v>
      </c>
      <c r="L65" s="2" cm="1">
        <f t="array" ref="L65">IF(L64=0,ROUND(IF(SUM(mission!$L$64:$L$78)&gt;=chest!$E$36,INDEX(chest!$F$33:$F$37,MATCH(L$25,chest!$D$33:$D$37,0)),0)*(1+$L$4),0))</f>
        <v>0</v>
      </c>
      <c r="M65" s="2" cm="1">
        <f t="array" ref="M65">IF(M64=0,ROUND(IF(SUM(mission!$L$64:$L$78)&gt;=chest!$E$37,INDEX(chest!$F$33:$F$37,MATCH(M$25,chest!$D$33:$D$37,0)),0)*(1+$L$4),0))</f>
        <v>0</v>
      </c>
      <c r="N65" s="2"/>
      <c r="O65" s="2"/>
      <c r="P65" s="2"/>
    </row>
    <row r="66" s="1" customFormat="1" ht="18" customHeight="1" spans="2:16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361</v>
      </c>
      <c r="G66" s="2">
        <f t="shared" si="2"/>
        <v>35</v>
      </c>
      <c r="H66" s="2">
        <f t="shared" si="3"/>
        <v>390</v>
      </c>
      <c r="I66" s="2" t="b" cm="1">
        <f t="array" ref="I66">IF(I65=0,ROUND(IF(SUM(mission!$M$64:$M$78)&gt;=chest!$E$33,INDEX(chest!$F$33:$F$37,MATCH(I$25,chest!$D$33:$D$37,0)),0)*(1+$L$4),0))</f>
        <v>0</v>
      </c>
      <c r="J66" s="2" cm="1">
        <f t="array" ref="J66">IF(J65=0,ROUND(IF(SUM(mission!$M$64:$M$78)&gt;=chest!$E$34,INDEX(chest!$F$33:$F$37,MATCH(J$25,chest!$D$33:$D$37,0)),0)*(1+$L$4),0))</f>
        <v>35</v>
      </c>
      <c r="K66" s="2" cm="1">
        <f t="array" ref="K66">IF(K65=0,ROUND(IF(SUM(mission!$M$64:$M$78)&gt;=chest!$E$35,INDEX(chest!$F$33:$F$37,MATCH(K$25,chest!$D$33:$D$37,0)),0)*(1+$L$4),0))</f>
        <v>0</v>
      </c>
      <c r="L66" s="2" cm="1">
        <f t="array" ref="L66">IF(L65=0,ROUND(IF(SUM(mission!$M$64:$M$78)&gt;=chest!$E$36,INDEX(chest!$F$33:$F$37,MATCH(L$25,chest!$D$33:$D$37,0)),0)*(1+$L$4),0))</f>
        <v>0</v>
      </c>
      <c r="M66" s="2" cm="1">
        <f t="array" ref="M66">IF(M65=0,ROUND(IF(SUM(mission!$M$64:$M$78)&gt;=chest!$E$37,INDEX(chest!$F$33:$F$37,MATCH(M$25,chest!$D$33:$D$37,0)),0)*(1+$L$4),0))</f>
        <v>0</v>
      </c>
      <c r="N66" s="2"/>
      <c r="O66" s="2"/>
      <c r="P66" s="2"/>
    </row>
    <row r="67" s="10" customFormat="1" ht="18" customHeight="1" spans="2:16">
      <c r="B67" s="10">
        <v>42</v>
      </c>
      <c r="C67" s="10">
        <f t="shared" si="0"/>
        <v>42000</v>
      </c>
      <c r="D67" s="10">
        <f>ROUND($C$8*$C$5+$C$8*$C$4*(1-$L$5),0)</f>
        <v>88</v>
      </c>
      <c r="E67" s="10">
        <f t="shared" si="1"/>
        <v>3696</v>
      </c>
      <c r="F67" s="10">
        <f>ROUND(E67*VLOOKUP($B$10,总产出!$T$4:$U$14,2,FALSE),0)</f>
        <v>370</v>
      </c>
      <c r="G67" s="10">
        <f t="shared" si="2"/>
        <v>0</v>
      </c>
      <c r="H67" s="10">
        <f t="shared" si="3"/>
        <v>390</v>
      </c>
      <c r="I67" s="10" t="b" cm="1">
        <f t="array" ref="I67">IF(I66=0,ROUND(IF(SUM(mission!$N$64:$N$78)&gt;=chest!$E$33,INDEX(chest!$F$33:$F$37,MATCH(I$25,chest!$D$33:$D$37,0)),0)*(1+$L$4),0))</f>
        <v>0</v>
      </c>
      <c r="J67" s="10" t="b" cm="1">
        <f t="array" ref="J67">IF(J66=0,ROUND(IF(SUM(mission!$N$64:$N$78)&gt;=chest!$E$34,INDEX(chest!$F$33:$F$37,MATCH(J$25,chest!$D$33:$D$37,0)),0)*(1+$L$4),0))</f>
        <v>0</v>
      </c>
      <c r="K67" s="10" cm="1">
        <f t="array" ref="K67">IF(K66=0,ROUND(IF(SUM(mission!$N$64:$N$78)&gt;=chest!$E$35,INDEX(chest!$F$33:$F$37,MATCH(K$25,chest!$D$33:$D$37,0)),0)*(1+$L$4),0))</f>
        <v>0</v>
      </c>
      <c r="L67" s="10" cm="1">
        <f t="array" ref="L67">IF(L66=0,ROUND(IF(SUM(mission!$N$64:$N$78)&gt;=chest!$E$36,INDEX(chest!$F$33:$F$37,MATCH(L$25,chest!$D$33:$D$37,0)),0)*(1+$L$4),0))</f>
        <v>0</v>
      </c>
      <c r="M67" s="10" cm="1">
        <f t="array" ref="M67">IF(M66=0,ROUND(IF(SUM(mission!$N$64:$N$78)&gt;=chest!$E$37,INDEX(chest!$F$33:$F$37,MATCH(M$25,chest!$D$33:$D$37,0)),0)*(1+$L$4),0))</f>
        <v>0</v>
      </c>
      <c r="N67" s="2"/>
      <c r="O67" s="2"/>
      <c r="P67" s="2"/>
    </row>
    <row r="68" s="1" customFormat="1" ht="18" customHeight="1" spans="2:16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378</v>
      </c>
      <c r="G68" s="2">
        <f t="shared" si="2"/>
        <v>0</v>
      </c>
      <c r="H68" s="2">
        <f t="shared" si="3"/>
        <v>390</v>
      </c>
      <c r="I68" s="2" cm="1">
        <f t="array" ref="I68">ROUND(IF(SUM(mission!$H$64:$H$78)&gt;=chest!$E$33,INDEX(chest!$F$33:$F$37,MATCH(I$25,chest!$D$33:$D$37,0)),0)*(1+$L$4),0)</f>
        <v>0</v>
      </c>
      <c r="J68" s="2" cm="1">
        <f t="array" ref="J68">ROUND(IF(SUM(mission!$H$64:$H$78)&gt;=chest!$E$34,INDEX(chest!$F$33:$F$37,MATCH(J$25,chest!$D$33:$D$37,0)),0)*(1+$L$4),0)</f>
        <v>0</v>
      </c>
      <c r="K68" s="2" cm="1">
        <f t="array" ref="K68">ROUND(IF(SUM(mission!$H$64:$H$78)&gt;=chest!$E$35,INDEX(chest!$F$33:$F$37,MATCH(K$25,chest!$D$33:$D$37,0)),0)*(1+$L$4),0)</f>
        <v>0</v>
      </c>
      <c r="L68" s="2" cm="1">
        <f t="array" ref="L68">ROUND(IF(SUM(mission!$H$64:$H$78)&gt;=chest!$E$36,INDEX(chest!$F$33:$F$37,MATCH(L$25,chest!$D$33:$D$37,0)),0)*(1+$L$4),0)</f>
        <v>0</v>
      </c>
      <c r="M68" s="2" cm="1">
        <f t="array" ref="M68">ROUND(IF(SUM(mission!$H$64:$H$78)&gt;=chest!$E$37,INDEX(chest!$F$33:$F$37,MATCH(M$25,chest!$D$33:$D$37,0)),0)*(1+$L$4),0)</f>
        <v>0</v>
      </c>
      <c r="N68" s="2"/>
      <c r="O68" s="2"/>
      <c r="P68" s="2"/>
    </row>
    <row r="69" s="1" customFormat="1" ht="18" customHeight="1" spans="2:16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387</v>
      </c>
      <c r="G69" s="2">
        <f t="shared" si="2"/>
        <v>0</v>
      </c>
      <c r="H69" s="2">
        <f t="shared" si="3"/>
        <v>390</v>
      </c>
      <c r="I69" s="2" cm="1">
        <f t="array" ref="I69">IF(I68=0,ROUND(IF(SUM(mission!$I$64:$I$78)&gt;=chest!$E$33,INDEX(chest!$F$33:$F$37,MATCH(I$25,chest!$D$33:$D$37,0)),0)*(1+$L$4),0))</f>
        <v>0</v>
      </c>
      <c r="J69" s="2" cm="1">
        <f t="array" ref="J69">IF(J68=0,ROUND(IF(SUM(mission!$I$64:$I$78)&gt;=chest!$E$34,INDEX(chest!$F$33:$F$37,MATCH(J$25,chest!$D$33:$D$37,0)),0)*(1+$L$4),0))</f>
        <v>0</v>
      </c>
      <c r="K69" s="2" cm="1">
        <f t="array" ref="K69">IF(K68=0,ROUND(IF(SUM(mission!$I$64:$I$78)&gt;=chest!$E$35,INDEX(chest!$F$33:$F$37,MATCH(K$25,chest!$D$33:$D$37,0)),0)*(1+$L$4),0))</f>
        <v>0</v>
      </c>
      <c r="L69" s="2" cm="1">
        <f t="array" ref="L69">IF(L68=0,ROUND(IF(SUM(mission!$I$64:$I$78)&gt;=chest!$E$36,INDEX(chest!$F$33:$F$37,MATCH(L$25,chest!$D$33:$D$37,0)),0)*(1+$L$4),0))</f>
        <v>0</v>
      </c>
      <c r="M69" s="2" cm="1">
        <f t="array" ref="M69">IF(M68=0,ROUND(IF(SUM(mission!$I$64:$I$78)&gt;=chest!$E$37,INDEX(chest!$F$33:$F$37,MATCH(M$25,chest!$D$33:$D$37,0)),0)*(1+$L$4),0))</f>
        <v>0</v>
      </c>
      <c r="N69" s="2"/>
      <c r="O69" s="2"/>
      <c r="P69" s="2"/>
    </row>
    <row r="70" s="1" customFormat="1" ht="18" customHeight="1" spans="2:16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396</v>
      </c>
      <c r="G70" s="2">
        <f t="shared" si="2"/>
        <v>30</v>
      </c>
      <c r="H70" s="2">
        <f t="shared" si="3"/>
        <v>420</v>
      </c>
      <c r="I70" s="2" cm="1">
        <f t="array" ref="I70">IF(I69=0,ROUND(IF(SUM(mission!$J$64:$J$78)&gt;=chest!$E$33,INDEX(chest!$F$33:$F$37,MATCH(I$25,chest!$D$33:$D$37,0)),0)*(1+$L$4),0))</f>
        <v>30</v>
      </c>
      <c r="J70" s="2" cm="1">
        <f t="array" ref="J70">IF(J69=0,ROUND(IF(SUM(mission!$J$64:$J$78)&gt;=chest!$E$34,INDEX(chest!$F$33:$F$37,MATCH(J$25,chest!$D$33:$D$37,0)),0)*(1+$L$4),0))</f>
        <v>0</v>
      </c>
      <c r="K70" s="2" cm="1">
        <f t="array" ref="K70">IF(K69=0,ROUND(IF(SUM(mission!$J$64:$J$78)&gt;=chest!$E$35,INDEX(chest!$F$33:$F$37,MATCH(K$25,chest!$D$33:$D$37,0)),0)*(1+$L$4),0))</f>
        <v>0</v>
      </c>
      <c r="L70" s="2" cm="1">
        <f t="array" ref="L70">IF(L69=0,ROUND(IF(SUM(mission!$J$64:$J$78)&gt;=chest!$E$36,INDEX(chest!$F$33:$F$37,MATCH(L$25,chest!$D$33:$D$37,0)),0)*(1+$L$4),0))</f>
        <v>0</v>
      </c>
      <c r="M70" s="2" cm="1">
        <f t="array" ref="M70">IF(M69=0,ROUND(IF(SUM(mission!$J$64:$J$78)&gt;=chest!$E$37,INDEX(chest!$F$33:$F$37,MATCH(M$25,chest!$D$33:$D$37,0)),0)*(1+$L$4),0))</f>
        <v>0</v>
      </c>
      <c r="N70" s="2"/>
      <c r="O70" s="2"/>
      <c r="P70" s="2"/>
    </row>
    <row r="71" s="1" customFormat="1" ht="18" customHeight="1" spans="2:16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405</v>
      </c>
      <c r="G71" s="2">
        <f t="shared" si="2"/>
        <v>0</v>
      </c>
      <c r="H71" s="2">
        <f t="shared" si="3"/>
        <v>420</v>
      </c>
      <c r="I71" s="2" t="b" cm="1">
        <f t="array" ref="I71">IF(I70=0,ROUND(IF(SUM(mission!$K$64:$K$78)&gt;=chest!$E$33,INDEX(chest!$F$33:$F$37,MATCH(I$25,chest!$D$33:$D$37,0)),0)*(1+$L$4),0))</f>
        <v>0</v>
      </c>
      <c r="J71" s="2" cm="1">
        <f t="array" ref="J71">IF(J70=0,ROUND(IF(SUM(mission!$K$64:$K$78)&gt;=chest!$E$34,INDEX(chest!$F$33:$F$37,MATCH(J$25,chest!$D$33:$D$37,0)),0)*(1+$L$4),0))</f>
        <v>0</v>
      </c>
      <c r="K71" s="2" cm="1">
        <f t="array" ref="K71">IF(K70=0,ROUND(IF(SUM(mission!$K$64:$K$78)&gt;=chest!$E$35,INDEX(chest!$F$33:$F$37,MATCH(K$25,chest!$D$33:$D$37,0)),0)*(1+$L$4),0))</f>
        <v>0</v>
      </c>
      <c r="L71" s="2" cm="1">
        <f t="array" ref="L71">IF(L70=0,ROUND(IF(SUM(mission!$K$64:$K$78)&gt;=chest!$E$36,INDEX(chest!$F$33:$F$37,MATCH(L$25,chest!$D$33:$D$37,0)),0)*(1+$L$4),0))</f>
        <v>0</v>
      </c>
      <c r="M71" s="2" cm="1">
        <f t="array" ref="M71">IF(M70=0,ROUND(IF(SUM(mission!$K$64:$K$78)&gt;=chest!$E$37,INDEX(chest!$F$33:$F$37,MATCH(M$25,chest!$D$33:$D$37,0)),0)*(1+$L$4),0))</f>
        <v>0</v>
      </c>
      <c r="N71" s="2"/>
      <c r="O71" s="2"/>
      <c r="P71" s="2"/>
    </row>
    <row r="72" s="1" customFormat="1" ht="18" customHeight="1" spans="2:16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414</v>
      </c>
      <c r="G72" s="2">
        <f t="shared" si="2"/>
        <v>0</v>
      </c>
      <c r="H72" s="2">
        <f t="shared" si="3"/>
        <v>420</v>
      </c>
      <c r="I72" s="2" t="b" cm="1">
        <f t="array" ref="I72">IF(I71=0,ROUND(IF(SUM(mission!$L$64:$L$78)&gt;=chest!$E$33,INDEX(chest!$F$33:$F$37,MATCH(I$25,chest!$D$33:$D$37,0)),0)*(1+$L$4),0))</f>
        <v>0</v>
      </c>
      <c r="J72" s="2" cm="1">
        <f t="array" ref="J72">IF(J71=0,ROUND(IF(SUM(mission!$L$64:$L$78)&gt;=chest!$E$34,INDEX(chest!$F$33:$F$37,MATCH(J$25,chest!$D$33:$D$37,0)),0)*(1+$L$4),0))</f>
        <v>0</v>
      </c>
      <c r="K72" s="2" cm="1">
        <f t="array" ref="K72">IF(K71=0,ROUND(IF(SUM(mission!$L$64:$L$78)&gt;=chest!$E$35,INDEX(chest!$F$33:$F$37,MATCH(K$25,chest!$D$33:$D$37,0)),0)*(1+$L$4),0))</f>
        <v>0</v>
      </c>
      <c r="L72" s="2" cm="1">
        <f t="array" ref="L72">IF(L71=0,ROUND(IF(SUM(mission!$L$64:$L$78)&gt;=chest!$E$36,INDEX(chest!$F$33:$F$37,MATCH(L$25,chest!$D$33:$D$37,0)),0)*(1+$L$4),0))</f>
        <v>0</v>
      </c>
      <c r="M72" s="2" cm="1">
        <f t="array" ref="M72">IF(M71=0,ROUND(IF(SUM(mission!$L$64:$L$78)&gt;=chest!$E$37,INDEX(chest!$F$33:$F$37,MATCH(M$25,chest!$D$33:$D$37,0)),0)*(1+$L$4),0))</f>
        <v>0</v>
      </c>
      <c r="N72" s="2"/>
      <c r="O72" s="2"/>
      <c r="P72" s="2"/>
    </row>
    <row r="73" s="1" customFormat="1" ht="18" customHeight="1" spans="2:16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422</v>
      </c>
      <c r="G73" s="2">
        <f t="shared" si="2"/>
        <v>35</v>
      </c>
      <c r="H73" s="2">
        <f t="shared" si="3"/>
        <v>455</v>
      </c>
      <c r="I73" s="2" t="b" cm="1">
        <f t="array" ref="I73">IF(I72=0,ROUND(IF(SUM(mission!$M$64:$M$78)&gt;=chest!$E$33,INDEX(chest!$F$33:$F$37,MATCH(I$25,chest!$D$33:$D$37,0)),0)*(1+$L$4),0))</f>
        <v>0</v>
      </c>
      <c r="J73" s="2" cm="1">
        <f t="array" ref="J73">IF(J72=0,ROUND(IF(SUM(mission!$M$64:$M$78)&gt;=chest!$E$34,INDEX(chest!$F$33:$F$37,MATCH(J$25,chest!$D$33:$D$37,0)),0)*(1+$L$4),0))</f>
        <v>35</v>
      </c>
      <c r="K73" s="2" cm="1">
        <f t="array" ref="K73">IF(K72=0,ROUND(IF(SUM(mission!$M$64:$M$78)&gt;=chest!$E$35,INDEX(chest!$F$33:$F$37,MATCH(K$25,chest!$D$33:$D$37,0)),0)*(1+$L$4),0))</f>
        <v>0</v>
      </c>
      <c r="L73" s="2" cm="1">
        <f t="array" ref="L73">IF(L72=0,ROUND(IF(SUM(mission!$M$64:$M$78)&gt;=chest!$E$36,INDEX(chest!$F$33:$F$37,MATCH(L$25,chest!$D$33:$D$37,0)),0)*(1+$L$4),0))</f>
        <v>0</v>
      </c>
      <c r="M73" s="2" cm="1">
        <f t="array" ref="M73">IF(M72=0,ROUND(IF(SUM(mission!$M$64:$M$78)&gt;=chest!$E$37,INDEX(chest!$F$33:$F$37,MATCH(M$25,chest!$D$33:$D$37,0)),0)*(1+$L$4),0))</f>
        <v>0</v>
      </c>
      <c r="N73" s="2"/>
      <c r="O73" s="2"/>
      <c r="P73" s="2"/>
    </row>
    <row r="74" s="10" customFormat="1" ht="18" customHeight="1" spans="2:16">
      <c r="B74" s="10">
        <v>49</v>
      </c>
      <c r="C74" s="10">
        <f t="shared" si="0"/>
        <v>49000</v>
      </c>
      <c r="D74" s="10">
        <f>ROUND($C$8*$C$5+$C$8*$C$4*(1-$L$5),0)</f>
        <v>88</v>
      </c>
      <c r="E74" s="10">
        <f t="shared" si="1"/>
        <v>4312</v>
      </c>
      <c r="F74" s="10">
        <f>ROUND(E74*VLOOKUP($B$10,总产出!$T$4:$U$14,2,FALSE),0)</f>
        <v>431</v>
      </c>
      <c r="G74" s="10">
        <f t="shared" si="2"/>
        <v>0</v>
      </c>
      <c r="H74" s="10">
        <f t="shared" si="3"/>
        <v>455</v>
      </c>
      <c r="I74" s="10" t="b" cm="1">
        <f t="array" ref="I74">IF(I73=0,ROUND(IF(SUM(mission!$N$64:$N$78)&gt;=chest!$E$33,INDEX(chest!$F$33:$F$37,MATCH(I$25,chest!$D$33:$D$37,0)),0)*(1+$L$4),0))</f>
        <v>0</v>
      </c>
      <c r="J74" s="10" t="b" cm="1">
        <f t="array" ref="J74">IF(J73=0,ROUND(IF(SUM(mission!$N$64:$N$78)&gt;=chest!$E$34,INDEX(chest!$F$33:$F$37,MATCH(J$25,chest!$D$33:$D$37,0)),0)*(1+$L$4),0))</f>
        <v>0</v>
      </c>
      <c r="K74" s="10" cm="1">
        <f t="array" ref="K74">IF(K73=0,ROUND(IF(SUM(mission!$N$64:$N$78)&gt;=chest!$E$35,INDEX(chest!$F$33:$F$37,MATCH(K$25,chest!$D$33:$D$37,0)),0)*(1+$L$4),0))</f>
        <v>0</v>
      </c>
      <c r="L74" s="10" cm="1">
        <f t="array" ref="L74">IF(L73=0,ROUND(IF(SUM(mission!$N$64:$N$78)&gt;=chest!$E$36,INDEX(chest!$F$33:$F$37,MATCH(L$25,chest!$D$33:$D$37,0)),0)*(1+$L$4),0))</f>
        <v>0</v>
      </c>
      <c r="M74" s="10" cm="1">
        <f t="array" ref="M74">IF(M73=0,ROUND(IF(SUM(mission!$N$64:$N$78)&gt;=chest!$E$37,INDEX(chest!$F$33:$F$37,MATCH(M$25,chest!$D$33:$D$37,0)),0)*(1+$L$4),0))</f>
        <v>0</v>
      </c>
      <c r="N74" s="2"/>
      <c r="O74" s="2"/>
      <c r="P74" s="2"/>
    </row>
    <row r="75" s="1" customFormat="1" ht="18" customHeight="1" spans="2:16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440</v>
      </c>
      <c r="G75" s="2">
        <f t="shared" si="2"/>
        <v>0</v>
      </c>
      <c r="H75" s="2">
        <f t="shared" si="3"/>
        <v>455</v>
      </c>
      <c r="I75" s="2" cm="1">
        <f t="array" ref="I75">ROUND(IF(SUM(mission!$H$64:$H$78)&gt;=chest!$E$33,INDEX(chest!$F$33:$F$37,MATCH(I$25,chest!$D$33:$D$37,0)),0)*(1+$L$4),0)</f>
        <v>0</v>
      </c>
      <c r="J75" s="2" cm="1">
        <f t="array" ref="J75">ROUND(IF(SUM(mission!$H$64:$H$78)&gt;=chest!$E$34,INDEX(chest!$F$33:$F$37,MATCH(J$25,chest!$D$33:$D$37,0)),0)*(1+$L$4),0)</f>
        <v>0</v>
      </c>
      <c r="K75" s="2" cm="1">
        <f t="array" ref="K75">ROUND(IF(SUM(mission!$H$64:$H$78)&gt;=chest!$E$35,INDEX(chest!$F$33:$F$37,MATCH(K$25,chest!$D$33:$D$37,0)),0)*(1+$L$4),0)</f>
        <v>0</v>
      </c>
      <c r="L75" s="2" cm="1">
        <f t="array" ref="L75">ROUND(IF(SUM(mission!$H$64:$H$78)&gt;=chest!$E$36,INDEX(chest!$F$33:$F$37,MATCH(L$25,chest!$D$33:$D$37,0)),0)*(1+$L$4),0)</f>
        <v>0</v>
      </c>
      <c r="M75" s="2" cm="1">
        <f t="array" ref="M75">ROUND(IF(SUM(mission!$H$64:$H$78)&gt;=chest!$E$37,INDEX(chest!$F$33:$F$37,MATCH(M$25,chest!$D$33:$D$37,0)),0)*(1+$L$4),0)</f>
        <v>0</v>
      </c>
      <c r="N75" s="2"/>
      <c r="O75" s="2"/>
      <c r="P75" s="2"/>
    </row>
    <row r="76" s="1" customFormat="1" ht="18" customHeight="1" spans="2:16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449</v>
      </c>
      <c r="G76" s="2">
        <f t="shared" si="2"/>
        <v>0</v>
      </c>
      <c r="H76" s="2">
        <f t="shared" si="3"/>
        <v>455</v>
      </c>
      <c r="I76" s="2" cm="1">
        <f t="array" ref="I76">IF(I75=0,ROUND(IF(SUM(mission!$I$64:$I$78)&gt;=chest!$E$33,INDEX(chest!$F$33:$F$37,MATCH(I$25,chest!$D$33:$D$37,0)),0)*(1+$L$4),0))</f>
        <v>0</v>
      </c>
      <c r="J76" s="2" cm="1">
        <f t="array" ref="J76">IF(J75=0,ROUND(IF(SUM(mission!$I$64:$I$78)&gt;=chest!$E$34,INDEX(chest!$F$33:$F$37,MATCH(J$25,chest!$D$33:$D$37,0)),0)*(1+$L$4),0))</f>
        <v>0</v>
      </c>
      <c r="K76" s="2" cm="1">
        <f t="array" ref="K76">IF(K75=0,ROUND(IF(SUM(mission!$I$64:$I$78)&gt;=chest!$E$35,INDEX(chest!$F$33:$F$37,MATCH(K$25,chest!$D$33:$D$37,0)),0)*(1+$L$4),0))</f>
        <v>0</v>
      </c>
      <c r="L76" s="2" cm="1">
        <f t="array" ref="L76">IF(L75=0,ROUND(IF(SUM(mission!$I$64:$I$78)&gt;=chest!$E$36,INDEX(chest!$F$33:$F$37,MATCH(L$25,chest!$D$33:$D$37,0)),0)*(1+$L$4),0))</f>
        <v>0</v>
      </c>
      <c r="M76" s="2" cm="1">
        <f t="array" ref="M76">IF(M75=0,ROUND(IF(SUM(mission!$I$64:$I$78)&gt;=chest!$E$37,INDEX(chest!$F$33:$F$37,MATCH(M$25,chest!$D$33:$D$37,0)),0)*(1+$L$4),0))</f>
        <v>0</v>
      </c>
      <c r="N76" s="2"/>
      <c r="O76" s="2"/>
      <c r="P76" s="2"/>
    </row>
    <row r="77" s="1" customFormat="1" ht="18" customHeight="1" spans="2:16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458</v>
      </c>
      <c r="G77" s="2">
        <f t="shared" si="2"/>
        <v>30</v>
      </c>
      <c r="H77" s="2">
        <f t="shared" si="3"/>
        <v>485</v>
      </c>
      <c r="I77" s="2" cm="1">
        <f t="array" ref="I77">IF(I76=0,ROUND(IF(SUM(mission!$J$64:$J$78)&gt;=chest!$E$33,INDEX(chest!$F$33:$F$37,MATCH(I$25,chest!$D$33:$D$37,0)),0)*(1+$L$4),0))</f>
        <v>30</v>
      </c>
      <c r="J77" s="2" cm="1">
        <f t="array" ref="J77">IF(J76=0,ROUND(IF(SUM(mission!$J$64:$J$78)&gt;=chest!$E$34,INDEX(chest!$F$33:$F$37,MATCH(J$25,chest!$D$33:$D$37,0)),0)*(1+$L$4),0))</f>
        <v>0</v>
      </c>
      <c r="K77" s="2" cm="1">
        <f t="array" ref="K77">IF(K76=0,ROUND(IF(SUM(mission!$J$64:$J$78)&gt;=chest!$E$35,INDEX(chest!$F$33:$F$37,MATCH(K$25,chest!$D$33:$D$37,0)),0)*(1+$L$4),0))</f>
        <v>0</v>
      </c>
      <c r="L77" s="2" cm="1">
        <f t="array" ref="L77">IF(L76=0,ROUND(IF(SUM(mission!$J$64:$J$78)&gt;=chest!$E$36,INDEX(chest!$F$33:$F$37,MATCH(L$25,chest!$D$33:$D$37,0)),0)*(1+$L$4),0))</f>
        <v>0</v>
      </c>
      <c r="M77" s="2" cm="1">
        <f t="array" ref="M77">IF(M76=0,ROUND(IF(SUM(mission!$J$64:$J$78)&gt;=chest!$E$37,INDEX(chest!$F$33:$F$37,MATCH(M$25,chest!$D$33:$D$37,0)),0)*(1+$L$4),0))</f>
        <v>0</v>
      </c>
      <c r="N77" s="2"/>
      <c r="O77" s="2"/>
      <c r="P77" s="2"/>
    </row>
    <row r="78" s="1" customFormat="1" ht="18" customHeight="1" spans="2:16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466</v>
      </c>
      <c r="G78" s="2">
        <f t="shared" si="2"/>
        <v>0</v>
      </c>
      <c r="H78" s="2">
        <f t="shared" si="3"/>
        <v>485</v>
      </c>
      <c r="I78" s="2" t="b" cm="1">
        <f t="array" ref="I78">IF(I77=0,ROUND(IF(SUM(mission!$K$64:$K$78)&gt;=chest!$E$33,INDEX(chest!$F$33:$F$37,MATCH(I$25,chest!$D$33:$D$37,0)),0)*(1+$L$4),0))</f>
        <v>0</v>
      </c>
      <c r="J78" s="2" cm="1">
        <f t="array" ref="J78">IF(J77=0,ROUND(IF(SUM(mission!$K$64:$K$78)&gt;=chest!$E$34,INDEX(chest!$F$33:$F$37,MATCH(J$25,chest!$D$33:$D$37,0)),0)*(1+$L$4),0))</f>
        <v>0</v>
      </c>
      <c r="K78" s="2" cm="1">
        <f t="array" ref="K78">IF(K77=0,ROUND(IF(SUM(mission!$K$64:$K$78)&gt;=chest!$E$35,INDEX(chest!$F$33:$F$37,MATCH(K$25,chest!$D$33:$D$37,0)),0)*(1+$L$4),0))</f>
        <v>0</v>
      </c>
      <c r="L78" s="2" cm="1">
        <f t="array" ref="L78">IF(L77=0,ROUND(IF(SUM(mission!$K$64:$K$78)&gt;=chest!$E$36,INDEX(chest!$F$33:$F$37,MATCH(L$25,chest!$D$33:$D$37,0)),0)*(1+$L$4),0))</f>
        <v>0</v>
      </c>
      <c r="M78" s="2" cm="1">
        <f t="array" ref="M78">IF(M77=0,ROUND(IF(SUM(mission!$K$64:$K$78)&gt;=chest!$E$37,INDEX(chest!$F$33:$F$37,MATCH(M$25,chest!$D$33:$D$37,0)),0)*(1+$L$4),0))</f>
        <v>0</v>
      </c>
      <c r="N78" s="2"/>
      <c r="O78" s="2"/>
      <c r="P78" s="2"/>
    </row>
    <row r="79" s="1" customFormat="1" ht="18" customHeight="1" spans="2:16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475</v>
      </c>
      <c r="G79" s="2">
        <f t="shared" si="2"/>
        <v>0</v>
      </c>
      <c r="H79" s="2">
        <f t="shared" si="3"/>
        <v>485</v>
      </c>
      <c r="I79" s="2" t="b" cm="1">
        <f t="array" ref="I79">IF(I78=0,ROUND(IF(SUM(mission!$L$64:$L$78)&gt;=chest!$E$33,INDEX(chest!$F$33:$F$37,MATCH(I$25,chest!$D$33:$D$37,0)),0)*(1+$L$4),0))</f>
        <v>0</v>
      </c>
      <c r="J79" s="2" cm="1">
        <f t="array" ref="J79">IF(J78=0,ROUND(IF(SUM(mission!$L$64:$L$78)&gt;=chest!$E$34,INDEX(chest!$F$33:$F$37,MATCH(J$25,chest!$D$33:$D$37,0)),0)*(1+$L$4),0))</f>
        <v>0</v>
      </c>
      <c r="K79" s="2" cm="1">
        <f t="array" ref="K79">IF(K78=0,ROUND(IF(SUM(mission!$L$64:$L$78)&gt;=chest!$E$35,INDEX(chest!$F$33:$F$37,MATCH(K$25,chest!$D$33:$D$37,0)),0)*(1+$L$4),0))</f>
        <v>0</v>
      </c>
      <c r="L79" s="2" cm="1">
        <f t="array" ref="L79">IF(L78=0,ROUND(IF(SUM(mission!$L$64:$L$78)&gt;=chest!$E$36,INDEX(chest!$F$33:$F$37,MATCH(L$25,chest!$D$33:$D$37,0)),0)*(1+$L$4),0))</f>
        <v>0</v>
      </c>
      <c r="M79" s="2" cm="1">
        <f t="array" ref="M79">IF(M78=0,ROUND(IF(SUM(mission!$L$64:$L$78)&gt;=chest!$E$37,INDEX(chest!$F$33:$F$37,MATCH(M$25,chest!$D$33:$D$37,0)),0)*(1+$L$4),0))</f>
        <v>0</v>
      </c>
      <c r="N79" s="2"/>
      <c r="O79" s="2"/>
      <c r="P79" s="2"/>
    </row>
    <row r="80" s="1" customFormat="1" ht="18" customHeight="1" spans="2:16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484</v>
      </c>
      <c r="G80" s="2">
        <f t="shared" si="2"/>
        <v>35</v>
      </c>
      <c r="H80" s="2">
        <f t="shared" si="3"/>
        <v>520</v>
      </c>
      <c r="I80" s="2" t="b" cm="1">
        <f t="array" ref="I80">IF(I79=0,ROUND(IF(SUM(mission!$M$64:$M$78)&gt;=chest!$E$33,INDEX(chest!$F$33:$F$37,MATCH(I$25,chest!$D$33:$D$37,0)),0)*(1+$L$4),0))</f>
        <v>0</v>
      </c>
      <c r="J80" s="2" cm="1">
        <f t="array" ref="J80">IF(J79=0,ROUND(IF(SUM(mission!$M$64:$M$78)&gt;=chest!$E$34,INDEX(chest!$F$33:$F$37,MATCH(J$25,chest!$D$33:$D$37,0)),0)*(1+$L$4),0))</f>
        <v>35</v>
      </c>
      <c r="K80" s="2" cm="1">
        <f t="array" ref="K80">IF(K79=0,ROUND(IF(SUM(mission!$M$64:$M$78)&gt;=chest!$E$35,INDEX(chest!$F$33:$F$37,MATCH(K$25,chest!$D$33:$D$37,0)),0)*(1+$L$4),0))</f>
        <v>0</v>
      </c>
      <c r="L80" s="2" cm="1">
        <f t="array" ref="L80">IF(L79=0,ROUND(IF(SUM(mission!$M$64:$M$78)&gt;=chest!$E$36,INDEX(chest!$F$33:$F$37,MATCH(L$25,chest!$D$33:$D$37,0)),0)*(1+$L$4),0))</f>
        <v>0</v>
      </c>
      <c r="M80" s="2" cm="1">
        <f t="array" ref="M80">IF(M79=0,ROUND(IF(SUM(mission!$M$64:$M$78)&gt;=chest!$E$37,INDEX(chest!$F$33:$F$37,MATCH(M$25,chest!$D$33:$D$37,0)),0)*(1+$L$4),0))</f>
        <v>0</v>
      </c>
      <c r="N80" s="2"/>
      <c r="O80" s="2"/>
      <c r="P80" s="2"/>
    </row>
    <row r="81" s="10" customFormat="1" ht="18" customHeight="1" spans="2:16">
      <c r="B81" s="10">
        <v>56</v>
      </c>
      <c r="C81" s="10">
        <f t="shared" si="0"/>
        <v>56000</v>
      </c>
      <c r="D81" s="10">
        <f>ROUND($C$8*$C$5+$C$8*$C$4*(1-$L$5),0)</f>
        <v>88</v>
      </c>
      <c r="E81" s="10">
        <f t="shared" si="1"/>
        <v>4928</v>
      </c>
      <c r="F81" s="10">
        <f>ROUND(E81*VLOOKUP($B$10,总产出!$T$4:$U$14,2,FALSE),0)</f>
        <v>493</v>
      </c>
      <c r="G81" s="10">
        <f t="shared" si="2"/>
        <v>0</v>
      </c>
      <c r="H81" s="10">
        <f t="shared" si="3"/>
        <v>520</v>
      </c>
      <c r="I81" s="10" t="b" cm="1">
        <f t="array" ref="I81">IF(I80=0,ROUND(IF(SUM(mission!$N$64:$N$78)&gt;=chest!$E$33,INDEX(chest!$F$33:$F$37,MATCH(I$25,chest!$D$33:$D$37,0)),0)*(1+$L$4),0))</f>
        <v>0</v>
      </c>
      <c r="J81" s="10" t="b" cm="1">
        <f t="array" ref="J81">IF(J80=0,ROUND(IF(SUM(mission!$N$64:$N$78)&gt;=chest!$E$34,INDEX(chest!$F$33:$F$37,MATCH(J$25,chest!$D$33:$D$37,0)),0)*(1+$L$4),0))</f>
        <v>0</v>
      </c>
      <c r="K81" s="10" cm="1">
        <f t="array" ref="K81">IF(K80=0,ROUND(IF(SUM(mission!$N$64:$N$78)&gt;=chest!$E$35,INDEX(chest!$F$33:$F$37,MATCH(K$25,chest!$D$33:$D$37,0)),0)*(1+$L$4),0))</f>
        <v>0</v>
      </c>
      <c r="L81" s="10" cm="1">
        <f t="array" ref="L81">IF(L80=0,ROUND(IF(SUM(mission!$N$64:$N$78)&gt;=chest!$E$36,INDEX(chest!$F$33:$F$37,MATCH(L$25,chest!$D$33:$D$37,0)),0)*(1+$L$4),0))</f>
        <v>0</v>
      </c>
      <c r="M81" s="10" cm="1">
        <f t="array" ref="M81">IF(M80=0,ROUND(IF(SUM(mission!$N$64:$N$78)&gt;=chest!$E$37,INDEX(chest!$F$33:$F$37,MATCH(M$25,chest!$D$33:$D$37,0)),0)*(1+$L$4),0))</f>
        <v>0</v>
      </c>
      <c r="N81" s="2"/>
      <c r="O81" s="2"/>
      <c r="P81" s="2"/>
    </row>
    <row r="82" s="1" customFormat="1" ht="18" customHeight="1" spans="2:16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502</v>
      </c>
      <c r="G82" s="2">
        <f t="shared" si="2"/>
        <v>0</v>
      </c>
      <c r="H82" s="2">
        <f t="shared" si="3"/>
        <v>520</v>
      </c>
      <c r="I82" s="2" cm="1">
        <f t="array" ref="I82">ROUND(IF(SUM(mission!$H$64:$H$78)&gt;=chest!$E$33,INDEX(chest!$F$33:$F$37,MATCH(I$25,chest!$D$33:$D$37,0)),0)*(1+$L$4),0)</f>
        <v>0</v>
      </c>
      <c r="J82" s="2" cm="1">
        <f t="array" ref="J82">ROUND(IF(SUM(mission!$H$64:$H$78)&gt;=chest!$E$34,INDEX(chest!$F$33:$F$37,MATCH(J$25,chest!$D$33:$D$37,0)),0)*(1+$L$4),0)</f>
        <v>0</v>
      </c>
      <c r="K82" s="2" cm="1">
        <f t="array" ref="K82">ROUND(IF(SUM(mission!$H$64:$H$78)&gt;=chest!$E$35,INDEX(chest!$F$33:$F$37,MATCH(K$25,chest!$D$33:$D$37,0)),0)*(1+$L$4),0)</f>
        <v>0</v>
      </c>
      <c r="L82" s="2" cm="1">
        <f t="array" ref="L82">ROUND(IF(SUM(mission!$H$64:$H$78)&gt;=chest!$E$36,INDEX(chest!$F$33:$F$37,MATCH(L$25,chest!$D$33:$D$37,0)),0)*(1+$L$4),0)</f>
        <v>0</v>
      </c>
      <c r="M82" s="2" cm="1">
        <f t="array" ref="M82">ROUND(IF(SUM(mission!$H$64:$H$78)&gt;=chest!$E$37,INDEX(chest!$F$33:$F$37,MATCH(M$25,chest!$D$33:$D$37,0)),0)*(1+$L$4),0)</f>
        <v>0</v>
      </c>
      <c r="N82" s="2"/>
      <c r="O82" s="2"/>
      <c r="P82" s="2"/>
    </row>
    <row r="83" s="1" customFormat="1" ht="18" customHeight="1" spans="2:16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510</v>
      </c>
      <c r="G83" s="2">
        <f t="shared" si="2"/>
        <v>0</v>
      </c>
      <c r="H83" s="2">
        <f t="shared" si="3"/>
        <v>520</v>
      </c>
      <c r="I83" s="2" cm="1">
        <f t="array" ref="I83">IF(I82=0,ROUND(IF(SUM(mission!$I$64:$I$78)&gt;=chest!$E$33,INDEX(chest!$F$33:$F$37,MATCH(I$25,chest!$D$33:$D$37,0)),0)*(1+$L$4),0))</f>
        <v>0</v>
      </c>
      <c r="J83" s="2" cm="1">
        <f t="array" ref="J83">IF(J82=0,ROUND(IF(SUM(mission!$I$64:$I$78)&gt;=chest!$E$34,INDEX(chest!$F$33:$F$37,MATCH(J$25,chest!$D$33:$D$37,0)),0)*(1+$L$4),0))</f>
        <v>0</v>
      </c>
      <c r="K83" s="2" cm="1">
        <f t="array" ref="K83">IF(K82=0,ROUND(IF(SUM(mission!$I$64:$I$78)&gt;=chest!$E$35,INDEX(chest!$F$33:$F$37,MATCH(K$25,chest!$D$33:$D$37,0)),0)*(1+$L$4),0))</f>
        <v>0</v>
      </c>
      <c r="L83" s="2" cm="1">
        <f t="array" ref="L83">IF(L82=0,ROUND(IF(SUM(mission!$I$64:$I$78)&gt;=chest!$E$36,INDEX(chest!$F$33:$F$37,MATCH(L$25,chest!$D$33:$D$37,0)),0)*(1+$L$4),0))</f>
        <v>0</v>
      </c>
      <c r="M83" s="2" cm="1">
        <f t="array" ref="M83">IF(M82=0,ROUND(IF(SUM(mission!$I$64:$I$78)&gt;=chest!$E$37,INDEX(chest!$F$33:$F$37,MATCH(M$25,chest!$D$33:$D$37,0)),0)*(1+$L$4),0))</f>
        <v>0</v>
      </c>
      <c r="N83" s="2"/>
      <c r="O83" s="2"/>
      <c r="P83" s="2"/>
    </row>
    <row r="84" s="1" customFormat="1" ht="18" customHeight="1" spans="2:16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519</v>
      </c>
      <c r="G84" s="2">
        <f t="shared" si="2"/>
        <v>30</v>
      </c>
      <c r="H84" s="2">
        <f t="shared" si="3"/>
        <v>550</v>
      </c>
      <c r="I84" s="2" cm="1">
        <f t="array" ref="I84">IF(I83=0,ROUND(IF(SUM(mission!$J$64:$J$78)&gt;=chest!$E$33,INDEX(chest!$F$33:$F$37,MATCH(I$25,chest!$D$33:$D$37,0)),0)*(1+$L$4),0))</f>
        <v>30</v>
      </c>
      <c r="J84" s="2" cm="1">
        <f t="array" ref="J84">IF(J83=0,ROUND(IF(SUM(mission!$J$64:$J$78)&gt;=chest!$E$34,INDEX(chest!$F$33:$F$37,MATCH(J$25,chest!$D$33:$D$37,0)),0)*(1+$L$4),0))</f>
        <v>0</v>
      </c>
      <c r="K84" s="2" cm="1">
        <f t="array" ref="K84">IF(K83=0,ROUND(IF(SUM(mission!$J$64:$J$78)&gt;=chest!$E$35,INDEX(chest!$F$33:$F$37,MATCH(K$25,chest!$D$33:$D$37,0)),0)*(1+$L$4),0))</f>
        <v>0</v>
      </c>
      <c r="L84" s="2" cm="1">
        <f t="array" ref="L84">IF(L83=0,ROUND(IF(SUM(mission!$J$64:$J$78)&gt;=chest!$E$36,INDEX(chest!$F$33:$F$37,MATCH(L$25,chest!$D$33:$D$37,0)),0)*(1+$L$4),0))</f>
        <v>0</v>
      </c>
      <c r="M84" s="2" cm="1">
        <f t="array" ref="M84">IF(M83=0,ROUND(IF(SUM(mission!$J$64:$J$78)&gt;=chest!$E$37,INDEX(chest!$F$33:$F$37,MATCH(M$25,chest!$D$33:$D$37,0)),0)*(1+$L$4),0))</f>
        <v>0</v>
      </c>
      <c r="N84" s="2"/>
      <c r="O84" s="2"/>
      <c r="P84" s="2"/>
    </row>
    <row r="85" s="1" customFormat="1" ht="18" customHeight="1" spans="2:16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528</v>
      </c>
      <c r="G85" s="2">
        <f t="shared" si="2"/>
        <v>0</v>
      </c>
      <c r="H85" s="2">
        <f t="shared" si="3"/>
        <v>550</v>
      </c>
      <c r="I85" s="2" t="b" cm="1">
        <f t="array" ref="I85">IF(I84=0,ROUND(IF(SUM(mission!$K$64:$K$78)&gt;=chest!$E$33,INDEX(chest!$F$33:$F$37,MATCH(I$25,chest!$D$33:$D$37,0)),0)*(1+$L$4),0))</f>
        <v>0</v>
      </c>
      <c r="J85" s="2" cm="1">
        <f t="array" ref="J85">IF(J84=0,ROUND(IF(SUM(mission!$K$64:$K$78)&gt;=chest!$E$34,INDEX(chest!$F$33:$F$37,MATCH(J$25,chest!$D$33:$D$37,0)),0)*(1+$L$4),0))</f>
        <v>0</v>
      </c>
      <c r="K85" s="2" cm="1">
        <f t="array" ref="K85">IF(K84=0,ROUND(IF(SUM(mission!$K$64:$K$78)&gt;=chest!$E$35,INDEX(chest!$F$33:$F$37,MATCH(K$25,chest!$D$33:$D$37,0)),0)*(1+$L$4),0))</f>
        <v>0</v>
      </c>
      <c r="L85" s="2" cm="1">
        <f t="array" ref="L85">IF(L84=0,ROUND(IF(SUM(mission!$K$64:$K$78)&gt;=chest!$E$36,INDEX(chest!$F$33:$F$37,MATCH(L$25,chest!$D$33:$D$37,0)),0)*(1+$L$4),0))</f>
        <v>0</v>
      </c>
      <c r="M85" s="2" cm="1">
        <f t="array" ref="M85">IF(M84=0,ROUND(IF(SUM(mission!$K$64:$K$78)&gt;=chest!$E$37,INDEX(chest!$F$33:$F$37,MATCH(M$25,chest!$D$33:$D$37,0)),0)*(1+$L$4),0))</f>
        <v>0</v>
      </c>
      <c r="N85" s="2"/>
      <c r="O85" s="2"/>
      <c r="P85" s="2"/>
    </row>
    <row r="86" s="1" customFormat="1" ht="18" customHeight="1" spans="2:16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537</v>
      </c>
      <c r="G86" s="2">
        <f t="shared" si="2"/>
        <v>0</v>
      </c>
      <c r="H86" s="2">
        <f t="shared" si="3"/>
        <v>550</v>
      </c>
      <c r="I86" s="2" t="b" cm="1">
        <f t="array" ref="I86">IF(I85=0,ROUND(IF(SUM(mission!$L$64:$L$78)&gt;=chest!$E$33,INDEX(chest!$F$33:$F$37,MATCH(I$25,chest!$D$33:$D$37,0)),0)*(1+$L$4),0))</f>
        <v>0</v>
      </c>
      <c r="J86" s="2" cm="1">
        <f t="array" ref="J86">IF(J85=0,ROUND(IF(SUM(mission!$L$64:$L$78)&gt;=chest!$E$34,INDEX(chest!$F$33:$F$37,MATCH(J$25,chest!$D$33:$D$37,0)),0)*(1+$L$4),0))</f>
        <v>0</v>
      </c>
      <c r="K86" s="2" cm="1">
        <f t="array" ref="K86">IF(K85=0,ROUND(IF(SUM(mission!$L$64:$L$78)&gt;=chest!$E$35,INDEX(chest!$F$33:$F$37,MATCH(K$25,chest!$D$33:$D$37,0)),0)*(1+$L$4),0))</f>
        <v>0</v>
      </c>
      <c r="L86" s="2" cm="1">
        <f t="array" ref="L86">IF(L85=0,ROUND(IF(SUM(mission!$L$64:$L$78)&gt;=chest!$E$36,INDEX(chest!$F$33:$F$37,MATCH(L$25,chest!$D$33:$D$37,0)),0)*(1+$L$4),0))</f>
        <v>0</v>
      </c>
      <c r="M86" s="2" cm="1">
        <f t="array" ref="M86">IF(M85=0,ROUND(IF(SUM(mission!$L$64:$L$78)&gt;=chest!$E$37,INDEX(chest!$F$33:$F$37,MATCH(M$25,chest!$D$33:$D$37,0)),0)*(1+$L$4),0))</f>
        <v>0</v>
      </c>
      <c r="N86" s="2"/>
      <c r="O86" s="2"/>
      <c r="P86" s="2"/>
    </row>
    <row r="87" s="1" customFormat="1" ht="18" customHeight="1" spans="2:16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546</v>
      </c>
      <c r="G87" s="2">
        <f t="shared" si="2"/>
        <v>35</v>
      </c>
      <c r="H87" s="2">
        <f t="shared" si="3"/>
        <v>585</v>
      </c>
      <c r="I87" s="2" t="b" cm="1">
        <f t="array" ref="I87">IF(I86=0,ROUND(IF(SUM(mission!$M$64:$M$78)&gt;=chest!$E$33,INDEX(chest!$F$33:$F$37,MATCH(I$25,chest!$D$33:$D$37,0)),0)*(1+$L$4),0))</f>
        <v>0</v>
      </c>
      <c r="J87" s="2" cm="1">
        <f t="array" ref="J87">IF(J86=0,ROUND(IF(SUM(mission!$M$64:$M$78)&gt;=chest!$E$34,INDEX(chest!$F$33:$F$37,MATCH(J$25,chest!$D$33:$D$37,0)),0)*(1+$L$4),0))</f>
        <v>35</v>
      </c>
      <c r="K87" s="2" cm="1">
        <f t="array" ref="K87">IF(K86=0,ROUND(IF(SUM(mission!$M$64:$M$78)&gt;=chest!$E$35,INDEX(chest!$F$33:$F$37,MATCH(K$25,chest!$D$33:$D$37,0)),0)*(1+$L$4),0))</f>
        <v>0</v>
      </c>
      <c r="L87" s="2" cm="1">
        <f t="array" ref="L87">IF(L86=0,ROUND(IF(SUM(mission!$M$64:$M$78)&gt;=chest!$E$36,INDEX(chest!$F$33:$F$37,MATCH(L$25,chest!$D$33:$D$37,0)),0)*(1+$L$4),0))</f>
        <v>0</v>
      </c>
      <c r="M87" s="2" cm="1">
        <f t="array" ref="M87">IF(M86=0,ROUND(IF(SUM(mission!$M$64:$M$78)&gt;=chest!$E$37,INDEX(chest!$F$33:$F$37,MATCH(M$25,chest!$D$33:$D$37,0)),0)*(1+$L$4),0))</f>
        <v>0</v>
      </c>
      <c r="N87" s="2"/>
      <c r="O87" s="2"/>
      <c r="P87" s="2"/>
    </row>
    <row r="88" s="10" customFormat="1" ht="18" customHeight="1" spans="2:16">
      <c r="B88" s="10">
        <v>63</v>
      </c>
      <c r="C88" s="10">
        <f t="shared" si="0"/>
        <v>63000</v>
      </c>
      <c r="D88" s="10">
        <f>ROUND($C$8*$C$5+$C$8*$C$4*(1-$L$5),0)</f>
        <v>88</v>
      </c>
      <c r="E88" s="10">
        <f t="shared" si="1"/>
        <v>5544</v>
      </c>
      <c r="F88" s="10">
        <f>ROUND(E88*VLOOKUP($B$10,总产出!$T$4:$U$14,2,FALSE),0)</f>
        <v>554</v>
      </c>
      <c r="G88" s="10">
        <f t="shared" si="2"/>
        <v>0</v>
      </c>
      <c r="H88" s="10">
        <f t="shared" si="3"/>
        <v>585</v>
      </c>
      <c r="I88" s="10" t="b" cm="1">
        <f t="array" ref="I88">IF(I87=0,ROUND(IF(SUM(mission!$N$64:$N$78)&gt;=chest!$E$33,INDEX(chest!$F$33:$F$37,MATCH(I$25,chest!$D$33:$D$37,0)),0)*(1+$L$4),0))</f>
        <v>0</v>
      </c>
      <c r="J88" s="10" t="b" cm="1">
        <f t="array" ref="J88">IF(J87=0,ROUND(IF(SUM(mission!$N$64:$N$78)&gt;=chest!$E$34,INDEX(chest!$F$33:$F$37,MATCH(J$25,chest!$D$33:$D$37,0)),0)*(1+$L$4),0))</f>
        <v>0</v>
      </c>
      <c r="K88" s="10" cm="1">
        <f t="array" ref="K88">IF(K87=0,ROUND(IF(SUM(mission!$N$64:$N$78)&gt;=chest!$E$35,INDEX(chest!$F$33:$F$37,MATCH(K$25,chest!$D$33:$D$37,0)),0)*(1+$L$4),0))</f>
        <v>0</v>
      </c>
      <c r="L88" s="10" cm="1">
        <f t="array" ref="L88">IF(L87=0,ROUND(IF(SUM(mission!$N$64:$N$78)&gt;=chest!$E$36,INDEX(chest!$F$33:$F$37,MATCH(L$25,chest!$D$33:$D$37,0)),0)*(1+$L$4),0))</f>
        <v>0</v>
      </c>
      <c r="M88" s="10" cm="1">
        <f t="array" ref="M88">IF(M87=0,ROUND(IF(SUM(mission!$N$64:$N$78)&gt;=chest!$E$37,INDEX(chest!$F$33:$F$37,MATCH(M$25,chest!$D$33:$D$37,0)),0)*(1+$L$4),0))</f>
        <v>0</v>
      </c>
      <c r="N88" s="2"/>
      <c r="O88" s="2"/>
      <c r="P88" s="2"/>
    </row>
    <row r="89" s="1" customFormat="1" ht="18" customHeight="1" spans="2:16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563</v>
      </c>
      <c r="G89" s="2">
        <f t="shared" si="2"/>
        <v>0</v>
      </c>
      <c r="H89" s="2">
        <f t="shared" si="3"/>
        <v>585</v>
      </c>
      <c r="I89" s="2" cm="1">
        <f t="array" ref="I89">ROUND(IF(SUM(mission!$H$64:$H$78)&gt;=chest!$E$33,INDEX(chest!$F$33:$F$37,MATCH(I$25,chest!$D$33:$D$37,0)),0)*(1+$L$4),0)</f>
        <v>0</v>
      </c>
      <c r="J89" s="2" cm="1">
        <f t="array" ref="J89">ROUND(IF(SUM(mission!$H$64:$H$78)&gt;=chest!$E$34,INDEX(chest!$F$33:$F$37,MATCH(J$25,chest!$D$33:$D$37,0)),0)*(1+$L$4),0)</f>
        <v>0</v>
      </c>
      <c r="K89" s="2" cm="1">
        <f t="array" ref="K89">ROUND(IF(SUM(mission!$H$64:$H$78)&gt;=chest!$E$35,INDEX(chest!$F$33:$F$37,MATCH(K$25,chest!$D$33:$D$37,0)),0)*(1+$L$4),0)</f>
        <v>0</v>
      </c>
      <c r="L89" s="2" cm="1">
        <f t="array" ref="L89">ROUND(IF(SUM(mission!$H$64:$H$78)&gt;=chest!$E$36,INDEX(chest!$F$33:$F$37,MATCH(L$25,chest!$D$33:$D$37,0)),0)*(1+$L$4),0)</f>
        <v>0</v>
      </c>
      <c r="M89" s="2" cm="1">
        <f t="array" ref="M89">ROUND(IF(SUM(mission!$H$64:$H$78)&gt;=chest!$E$37,INDEX(chest!$F$33:$F$37,MATCH(M$25,chest!$D$33:$D$37,0)),0)*(1+$L$4),0)</f>
        <v>0</v>
      </c>
      <c r="N89" s="2"/>
      <c r="O89" s="2"/>
      <c r="P89" s="2"/>
    </row>
    <row r="90" s="1" customFormat="1" ht="18" customHeight="1" spans="2:16">
      <c r="B90" s="2">
        <v>65</v>
      </c>
      <c r="C90" s="2">
        <f t="shared" ref="C90:C125" si="6">$C$8*B90</f>
        <v>65000</v>
      </c>
      <c r="D90" s="2">
        <f>ROUND($C$8*$C$5+$C$8*$C$4*(1-$L$5),0)</f>
        <v>88</v>
      </c>
      <c r="E90" s="2">
        <f t="shared" ref="E90:E125" si="7">D90*B90</f>
        <v>5720</v>
      </c>
      <c r="F90" s="2">
        <f>ROUND(E90*VLOOKUP($B$10,总产出!$T$4:$U$14,2,FALSE),0)</f>
        <v>572</v>
      </c>
      <c r="G90" s="2">
        <f t="shared" ref="G90:G125" si="8">SUM(I90:M90)</f>
        <v>0</v>
      </c>
      <c r="H90" s="2">
        <f t="shared" si="3"/>
        <v>585</v>
      </c>
      <c r="I90" s="2" cm="1">
        <f t="array" ref="I90">IF(I89=0,ROUND(IF(SUM(mission!$I$64:$I$78)&gt;=chest!$E$33,INDEX(chest!$F$33:$F$37,MATCH(I$25,chest!$D$33:$D$37,0)),0)*(1+$L$4),0))</f>
        <v>0</v>
      </c>
      <c r="J90" s="2" cm="1">
        <f t="array" ref="J90">IF(J89=0,ROUND(IF(SUM(mission!$I$64:$I$78)&gt;=chest!$E$34,INDEX(chest!$F$33:$F$37,MATCH(J$25,chest!$D$33:$D$37,0)),0)*(1+$L$4),0))</f>
        <v>0</v>
      </c>
      <c r="K90" s="2" cm="1">
        <f t="array" ref="K90">IF(K89=0,ROUND(IF(SUM(mission!$I$64:$I$78)&gt;=chest!$E$35,INDEX(chest!$F$33:$F$37,MATCH(K$25,chest!$D$33:$D$37,0)),0)*(1+$L$4),0))</f>
        <v>0</v>
      </c>
      <c r="L90" s="2" cm="1">
        <f t="array" ref="L90">IF(L89=0,ROUND(IF(SUM(mission!$I$64:$I$78)&gt;=chest!$E$36,INDEX(chest!$F$33:$F$37,MATCH(L$25,chest!$D$33:$D$37,0)),0)*(1+$L$4),0))</f>
        <v>0</v>
      </c>
      <c r="M90" s="2" cm="1">
        <f t="array" ref="M90">IF(M89=0,ROUND(IF(SUM(mission!$I$64:$I$78)&gt;=chest!$E$37,INDEX(chest!$F$33:$F$37,MATCH(M$25,chest!$D$33:$D$37,0)),0)*(1+$L$4),0))</f>
        <v>0</v>
      </c>
      <c r="N90" s="2"/>
      <c r="O90" s="2"/>
      <c r="P90" s="2"/>
    </row>
    <row r="91" s="1" customFormat="1" ht="18" customHeight="1" spans="2:16">
      <c r="B91" s="2">
        <v>66</v>
      </c>
      <c r="C91" s="2">
        <f t="shared" si="6"/>
        <v>66000</v>
      </c>
      <c r="D91" s="2">
        <f>ROUND($C$8*$C$5+$C$8*$C$4*(1-$L$5),0)</f>
        <v>88</v>
      </c>
      <c r="E91" s="2">
        <f t="shared" si="7"/>
        <v>5808</v>
      </c>
      <c r="F91" s="2">
        <f>ROUND(E91*VLOOKUP($B$10,总产出!$T$4:$U$14,2,FALSE),0)</f>
        <v>581</v>
      </c>
      <c r="G91" s="2">
        <f t="shared" si="8"/>
        <v>30</v>
      </c>
      <c r="H91" s="2">
        <f t="shared" ref="H91:H125" si="9">G91+H90</f>
        <v>615</v>
      </c>
      <c r="I91" s="2" cm="1">
        <f t="array" ref="I91">IF(I90=0,ROUND(IF(SUM(mission!$J$64:$J$78)&gt;=chest!$E$33,INDEX(chest!$F$33:$F$37,MATCH(I$25,chest!$D$33:$D$37,0)),0)*(1+$L$4),0))</f>
        <v>30</v>
      </c>
      <c r="J91" s="2" cm="1">
        <f t="array" ref="J91">IF(J90=0,ROUND(IF(SUM(mission!$J$64:$J$78)&gt;=chest!$E$34,INDEX(chest!$F$33:$F$37,MATCH(J$25,chest!$D$33:$D$37,0)),0)*(1+$L$4),0))</f>
        <v>0</v>
      </c>
      <c r="K91" s="2" cm="1">
        <f t="array" ref="K91">IF(K90=0,ROUND(IF(SUM(mission!$J$64:$J$78)&gt;=chest!$E$35,INDEX(chest!$F$33:$F$37,MATCH(K$25,chest!$D$33:$D$37,0)),0)*(1+$L$4),0))</f>
        <v>0</v>
      </c>
      <c r="L91" s="2" cm="1">
        <f t="array" ref="L91">IF(L90=0,ROUND(IF(SUM(mission!$J$64:$J$78)&gt;=chest!$E$36,INDEX(chest!$F$33:$F$37,MATCH(L$25,chest!$D$33:$D$37,0)),0)*(1+$L$4),0))</f>
        <v>0</v>
      </c>
      <c r="M91" s="2" cm="1">
        <f t="array" ref="M91">IF(M90=0,ROUND(IF(SUM(mission!$J$64:$J$78)&gt;=chest!$E$37,INDEX(chest!$F$33:$F$37,MATCH(M$25,chest!$D$33:$D$37,0)),0)*(1+$L$4),0))</f>
        <v>0</v>
      </c>
      <c r="N91" s="2"/>
      <c r="O91" s="2"/>
      <c r="P91" s="2"/>
    </row>
    <row r="92" s="1" customFormat="1" ht="18" customHeight="1" spans="2:16">
      <c r="B92" s="2">
        <v>67</v>
      </c>
      <c r="C92" s="2">
        <f t="shared" si="6"/>
        <v>67000</v>
      </c>
      <c r="D92" s="2">
        <f>ROUND($C$8*$C$5+$C$8*$C$4*(1-$L$5),0)</f>
        <v>88</v>
      </c>
      <c r="E92" s="2">
        <f t="shared" si="7"/>
        <v>5896</v>
      </c>
      <c r="F92" s="2">
        <f>ROUND(E92*VLOOKUP($B$10,总产出!$T$4:$U$14,2,FALSE),0)</f>
        <v>590</v>
      </c>
      <c r="G92" s="2">
        <f t="shared" si="8"/>
        <v>0</v>
      </c>
      <c r="H92" s="2">
        <f t="shared" si="9"/>
        <v>615</v>
      </c>
      <c r="I92" s="2" t="b" cm="1">
        <f t="array" ref="I92">IF(I91=0,ROUND(IF(SUM(mission!$K$64:$K$78)&gt;=chest!$E$33,INDEX(chest!$F$33:$F$37,MATCH(I$25,chest!$D$33:$D$37,0)),0)*(1+$L$4),0))</f>
        <v>0</v>
      </c>
      <c r="J92" s="2" cm="1">
        <f t="array" ref="J92">IF(J91=0,ROUND(IF(SUM(mission!$K$64:$K$78)&gt;=chest!$E$34,INDEX(chest!$F$33:$F$37,MATCH(J$25,chest!$D$33:$D$37,0)),0)*(1+$L$4),0))</f>
        <v>0</v>
      </c>
      <c r="K92" s="2" cm="1">
        <f t="array" ref="K92">IF(K91=0,ROUND(IF(SUM(mission!$K$64:$K$78)&gt;=chest!$E$35,INDEX(chest!$F$33:$F$37,MATCH(K$25,chest!$D$33:$D$37,0)),0)*(1+$L$4),0))</f>
        <v>0</v>
      </c>
      <c r="L92" s="2" cm="1">
        <f t="array" ref="L92">IF(L91=0,ROUND(IF(SUM(mission!$K$64:$K$78)&gt;=chest!$E$36,INDEX(chest!$F$33:$F$37,MATCH(L$25,chest!$D$33:$D$37,0)),0)*(1+$L$4),0))</f>
        <v>0</v>
      </c>
      <c r="M92" s="2" cm="1">
        <f t="array" ref="M92">IF(M91=0,ROUND(IF(SUM(mission!$K$64:$K$78)&gt;=chest!$E$37,INDEX(chest!$F$33:$F$37,MATCH(M$25,chest!$D$33:$D$37,0)),0)*(1+$L$4),0))</f>
        <v>0</v>
      </c>
      <c r="N92" s="2"/>
      <c r="O92" s="2"/>
      <c r="P92" s="2"/>
    </row>
    <row r="93" s="1" customFormat="1" ht="18" customHeight="1" spans="2:16">
      <c r="B93" s="2">
        <v>68</v>
      </c>
      <c r="C93" s="2">
        <f t="shared" si="6"/>
        <v>68000</v>
      </c>
      <c r="D93" s="2">
        <f>ROUND($C$8*$C$5+$C$8*$C$4*(1-$L$5),0)</f>
        <v>88</v>
      </c>
      <c r="E93" s="2">
        <f t="shared" si="7"/>
        <v>5984</v>
      </c>
      <c r="F93" s="2">
        <f>ROUND(E93*VLOOKUP($B$10,总产出!$T$4:$U$14,2,FALSE),0)</f>
        <v>598</v>
      </c>
      <c r="G93" s="2">
        <f t="shared" si="8"/>
        <v>0</v>
      </c>
      <c r="H93" s="2">
        <f t="shared" si="9"/>
        <v>615</v>
      </c>
      <c r="I93" s="2" t="b" cm="1">
        <f t="array" ref="I93">IF(I92=0,ROUND(IF(SUM(mission!$L$64:$L$78)&gt;=chest!$E$33,INDEX(chest!$F$33:$F$37,MATCH(I$25,chest!$D$33:$D$37,0)),0)*(1+$L$4),0))</f>
        <v>0</v>
      </c>
      <c r="J93" s="2" cm="1">
        <f t="array" ref="J93">IF(J92=0,ROUND(IF(SUM(mission!$L$64:$L$78)&gt;=chest!$E$34,INDEX(chest!$F$33:$F$37,MATCH(J$25,chest!$D$33:$D$37,0)),0)*(1+$L$4),0))</f>
        <v>0</v>
      </c>
      <c r="K93" s="2" cm="1">
        <f t="array" ref="K93">IF(K92=0,ROUND(IF(SUM(mission!$L$64:$L$78)&gt;=chest!$E$35,INDEX(chest!$F$33:$F$37,MATCH(K$25,chest!$D$33:$D$37,0)),0)*(1+$L$4),0))</f>
        <v>0</v>
      </c>
      <c r="L93" s="2" cm="1">
        <f t="array" ref="L93">IF(L92=0,ROUND(IF(SUM(mission!$L$64:$L$78)&gt;=chest!$E$36,INDEX(chest!$F$33:$F$37,MATCH(L$25,chest!$D$33:$D$37,0)),0)*(1+$L$4),0))</f>
        <v>0</v>
      </c>
      <c r="M93" s="2" cm="1">
        <f t="array" ref="M93">IF(M92=0,ROUND(IF(SUM(mission!$L$64:$L$78)&gt;=chest!$E$37,INDEX(chest!$F$33:$F$37,MATCH(M$25,chest!$D$33:$D$37,0)),0)*(1+$L$4),0))</f>
        <v>0</v>
      </c>
      <c r="N93" s="2"/>
      <c r="O93" s="2"/>
      <c r="P93" s="2"/>
    </row>
    <row r="94" s="1" customFormat="1" ht="18" customHeight="1" spans="2:16">
      <c r="B94" s="2">
        <v>69</v>
      </c>
      <c r="C94" s="2">
        <f t="shared" si="6"/>
        <v>69000</v>
      </c>
      <c r="D94" s="2">
        <f>ROUND($C$8*$C$5+$C$8*$C$4*(1-$L$5),0)</f>
        <v>88</v>
      </c>
      <c r="E94" s="2">
        <f t="shared" si="7"/>
        <v>6072</v>
      </c>
      <c r="F94" s="2">
        <f>ROUND(E94*VLOOKUP($B$10,总产出!$T$4:$U$14,2,FALSE),0)</f>
        <v>607</v>
      </c>
      <c r="G94" s="2">
        <f t="shared" si="8"/>
        <v>35</v>
      </c>
      <c r="H94" s="2">
        <f t="shared" si="9"/>
        <v>650</v>
      </c>
      <c r="I94" s="2" t="b" cm="1">
        <f t="array" ref="I94">IF(I93=0,ROUND(IF(SUM(mission!$M$64:$M$78)&gt;=chest!$E$33,INDEX(chest!$F$33:$F$37,MATCH(I$25,chest!$D$33:$D$37,0)),0)*(1+$L$4),0))</f>
        <v>0</v>
      </c>
      <c r="J94" s="2" cm="1">
        <f t="array" ref="J94">IF(J93=0,ROUND(IF(SUM(mission!$M$64:$M$78)&gt;=chest!$E$34,INDEX(chest!$F$33:$F$37,MATCH(J$25,chest!$D$33:$D$37,0)),0)*(1+$L$4),0))</f>
        <v>35</v>
      </c>
      <c r="K94" s="2" cm="1">
        <f t="array" ref="K94">IF(K93=0,ROUND(IF(SUM(mission!$M$64:$M$78)&gt;=chest!$E$35,INDEX(chest!$F$33:$F$37,MATCH(K$25,chest!$D$33:$D$37,0)),0)*(1+$L$4),0))</f>
        <v>0</v>
      </c>
      <c r="L94" s="2" cm="1">
        <f t="array" ref="L94">IF(L93=0,ROUND(IF(SUM(mission!$M$64:$M$78)&gt;=chest!$E$36,INDEX(chest!$F$33:$F$37,MATCH(L$25,chest!$D$33:$D$37,0)),0)*(1+$L$4),0))</f>
        <v>0</v>
      </c>
      <c r="M94" s="2" cm="1">
        <f t="array" ref="M94">IF(M93=0,ROUND(IF(SUM(mission!$M$64:$M$78)&gt;=chest!$E$37,INDEX(chest!$F$33:$F$37,MATCH(M$25,chest!$D$33:$D$37,0)),0)*(1+$L$4),0))</f>
        <v>0</v>
      </c>
      <c r="N94" s="2"/>
      <c r="O94" s="2"/>
      <c r="P94" s="2"/>
    </row>
    <row r="95" s="10" customFormat="1" ht="18" customHeight="1" spans="2:16">
      <c r="B95" s="10">
        <v>70</v>
      </c>
      <c r="C95" s="10">
        <f t="shared" si="6"/>
        <v>70000</v>
      </c>
      <c r="D95" s="10">
        <f>ROUND($C$8*$C$5+$C$8*$C$4*(1-$L$5),0)</f>
        <v>88</v>
      </c>
      <c r="E95" s="10">
        <f t="shared" si="7"/>
        <v>6160</v>
      </c>
      <c r="F95" s="10">
        <f>ROUND(E95*VLOOKUP($B$10,总产出!$T$4:$U$14,2,FALSE),0)</f>
        <v>616</v>
      </c>
      <c r="G95" s="10">
        <f t="shared" si="8"/>
        <v>0</v>
      </c>
      <c r="H95" s="10">
        <f t="shared" si="9"/>
        <v>650</v>
      </c>
      <c r="I95" s="10" t="b" cm="1">
        <f t="array" ref="I95">IF(I94=0,ROUND(IF(SUM(mission!$N$64:$N$78)&gt;=chest!$E$33,INDEX(chest!$F$33:$F$37,MATCH(I$25,chest!$D$33:$D$37,0)),0)*(1+$L$4),0))</f>
        <v>0</v>
      </c>
      <c r="J95" s="10" t="b" cm="1">
        <f t="array" ref="J95">IF(J94=0,ROUND(IF(SUM(mission!$N$64:$N$78)&gt;=chest!$E$34,INDEX(chest!$F$33:$F$37,MATCH(J$25,chest!$D$33:$D$37,0)),0)*(1+$L$4),0))</f>
        <v>0</v>
      </c>
      <c r="K95" s="10" cm="1">
        <f t="array" ref="K95">IF(K94=0,ROUND(IF(SUM(mission!$N$64:$N$78)&gt;=chest!$E$35,INDEX(chest!$F$33:$F$37,MATCH(K$25,chest!$D$33:$D$37,0)),0)*(1+$L$4),0))</f>
        <v>0</v>
      </c>
      <c r="L95" s="10" cm="1">
        <f t="array" ref="L95">IF(L94=0,ROUND(IF(SUM(mission!$N$64:$N$78)&gt;=chest!$E$36,INDEX(chest!$F$33:$F$37,MATCH(L$25,chest!$D$33:$D$37,0)),0)*(1+$L$4),0))</f>
        <v>0</v>
      </c>
      <c r="M95" s="10" cm="1">
        <f t="array" ref="M95">IF(M94=0,ROUND(IF(SUM(mission!$N$64:$N$78)&gt;=chest!$E$37,INDEX(chest!$F$33:$F$37,MATCH(M$25,chest!$D$33:$D$37,0)),0)*(1+$L$4),0))</f>
        <v>0</v>
      </c>
      <c r="N95" s="2"/>
      <c r="O95" s="2"/>
      <c r="P95" s="2"/>
    </row>
    <row r="96" s="1" customFormat="1" ht="18" customHeight="1" spans="2:16">
      <c r="B96" s="2">
        <v>71</v>
      </c>
      <c r="C96" s="2">
        <f t="shared" si="6"/>
        <v>71000</v>
      </c>
      <c r="D96" s="2">
        <f>ROUND($C$8*$C$5+$C$8*$C$4*(1-$L$5),0)</f>
        <v>88</v>
      </c>
      <c r="E96" s="2">
        <f t="shared" si="7"/>
        <v>6248</v>
      </c>
      <c r="F96" s="2">
        <f>ROUND(E96*VLOOKUP($B$10,总产出!$T$4:$U$14,2,FALSE),0)</f>
        <v>625</v>
      </c>
      <c r="G96" s="2">
        <f t="shared" si="8"/>
        <v>0</v>
      </c>
      <c r="H96" s="2">
        <f t="shared" si="9"/>
        <v>650</v>
      </c>
      <c r="I96" s="2" cm="1">
        <f t="array" ref="I96">ROUND(IF(SUM(mission!$H$64:$H$78)&gt;=chest!$E$33,INDEX(chest!$F$33:$F$37,MATCH(I$25,chest!$D$33:$D$37,0)),0)*(1+$L$4),0)</f>
        <v>0</v>
      </c>
      <c r="J96" s="2" cm="1">
        <f t="array" ref="J96">ROUND(IF(SUM(mission!$H$64:$H$78)&gt;=chest!$E$34,INDEX(chest!$F$33:$F$37,MATCH(J$25,chest!$D$33:$D$37,0)),0)*(1+$L$4),0)</f>
        <v>0</v>
      </c>
      <c r="K96" s="2" cm="1">
        <f t="array" ref="K96">ROUND(IF(SUM(mission!$H$64:$H$78)&gt;=chest!$E$35,INDEX(chest!$F$33:$F$37,MATCH(K$25,chest!$D$33:$D$37,0)),0)*(1+$L$4),0)</f>
        <v>0</v>
      </c>
      <c r="L96" s="2" cm="1">
        <f t="array" ref="L96">ROUND(IF(SUM(mission!$H$64:$H$78)&gt;=chest!$E$36,INDEX(chest!$F$33:$F$37,MATCH(L$25,chest!$D$33:$D$37,0)),0)*(1+$L$4),0)</f>
        <v>0</v>
      </c>
      <c r="M96" s="2" cm="1">
        <f t="array" ref="M96">ROUND(IF(SUM(mission!$H$64:$H$78)&gt;=chest!$E$37,INDEX(chest!$F$33:$F$37,MATCH(M$25,chest!$D$33:$D$37,0)),0)*(1+$L$4),0)</f>
        <v>0</v>
      </c>
      <c r="N96" s="2"/>
      <c r="O96" s="2"/>
      <c r="P96" s="2"/>
    </row>
    <row r="97" s="1" customFormat="1" ht="18" customHeight="1" spans="2:16">
      <c r="B97" s="2">
        <v>72</v>
      </c>
      <c r="C97" s="2">
        <f t="shared" si="6"/>
        <v>72000</v>
      </c>
      <c r="D97" s="2">
        <f>ROUND($C$8*$C$5+$C$8*$C$4*(1-$L$5),0)</f>
        <v>88</v>
      </c>
      <c r="E97" s="2">
        <f t="shared" si="7"/>
        <v>6336</v>
      </c>
      <c r="F97" s="2">
        <f>ROUND(E97*VLOOKUP($B$10,总产出!$T$4:$U$14,2,FALSE),0)</f>
        <v>634</v>
      </c>
      <c r="G97" s="2">
        <f t="shared" si="8"/>
        <v>0</v>
      </c>
      <c r="H97" s="2">
        <f t="shared" si="9"/>
        <v>650</v>
      </c>
      <c r="I97" s="2" cm="1">
        <f t="array" ref="I97">IF(I96=0,ROUND(IF(SUM(mission!$I$64:$I$78)&gt;=chest!$E$33,INDEX(chest!$F$33:$F$37,MATCH(I$25,chest!$D$33:$D$37,0)),0)*(1+$L$4),0))</f>
        <v>0</v>
      </c>
      <c r="J97" s="2" cm="1">
        <f t="array" ref="J97">IF(J96=0,ROUND(IF(SUM(mission!$I$64:$I$78)&gt;=chest!$E$34,INDEX(chest!$F$33:$F$37,MATCH(J$25,chest!$D$33:$D$37,0)),0)*(1+$L$4),0))</f>
        <v>0</v>
      </c>
      <c r="K97" s="2" cm="1">
        <f t="array" ref="K97">IF(K96=0,ROUND(IF(SUM(mission!$I$64:$I$78)&gt;=chest!$E$35,INDEX(chest!$F$33:$F$37,MATCH(K$25,chest!$D$33:$D$37,0)),0)*(1+$L$4),0))</f>
        <v>0</v>
      </c>
      <c r="L97" s="2" cm="1">
        <f t="array" ref="L97">IF(L96=0,ROUND(IF(SUM(mission!$I$64:$I$78)&gt;=chest!$E$36,INDEX(chest!$F$33:$F$37,MATCH(L$25,chest!$D$33:$D$37,0)),0)*(1+$L$4),0))</f>
        <v>0</v>
      </c>
      <c r="M97" s="2" cm="1">
        <f t="array" ref="M97">IF(M96=0,ROUND(IF(SUM(mission!$I$64:$I$78)&gt;=chest!$E$37,INDEX(chest!$F$33:$F$37,MATCH(M$25,chest!$D$33:$D$37,0)),0)*(1+$L$4),0))</f>
        <v>0</v>
      </c>
      <c r="N97" s="2"/>
      <c r="O97" s="2"/>
      <c r="P97" s="2"/>
    </row>
    <row r="98" s="1" customFormat="1" ht="18" customHeight="1" spans="2:16">
      <c r="B98" s="2">
        <v>73</v>
      </c>
      <c r="C98" s="2">
        <f t="shared" si="6"/>
        <v>73000</v>
      </c>
      <c r="D98" s="2">
        <f>ROUND($C$8*$C$5+$C$8*$C$4*(1-$L$5),0)</f>
        <v>88</v>
      </c>
      <c r="E98" s="2">
        <f t="shared" si="7"/>
        <v>6424</v>
      </c>
      <c r="F98" s="2">
        <f>ROUND(E98*VLOOKUP($B$10,总产出!$T$4:$U$14,2,FALSE),0)</f>
        <v>642</v>
      </c>
      <c r="G98" s="2">
        <f t="shared" si="8"/>
        <v>30</v>
      </c>
      <c r="H98" s="2">
        <f t="shared" si="9"/>
        <v>680</v>
      </c>
      <c r="I98" s="2" cm="1">
        <f t="array" ref="I98">IF(I97=0,ROUND(IF(SUM(mission!$J$64:$J$78)&gt;=chest!$E$33,INDEX(chest!$F$33:$F$37,MATCH(I$25,chest!$D$33:$D$37,0)),0)*(1+$L$4),0))</f>
        <v>30</v>
      </c>
      <c r="J98" s="2" cm="1">
        <f t="array" ref="J98">IF(J97=0,ROUND(IF(SUM(mission!$J$64:$J$78)&gt;=chest!$E$34,INDEX(chest!$F$33:$F$37,MATCH(J$25,chest!$D$33:$D$37,0)),0)*(1+$L$4),0))</f>
        <v>0</v>
      </c>
      <c r="K98" s="2" cm="1">
        <f t="array" ref="K98">IF(K97=0,ROUND(IF(SUM(mission!$J$64:$J$78)&gt;=chest!$E$35,INDEX(chest!$F$33:$F$37,MATCH(K$25,chest!$D$33:$D$37,0)),0)*(1+$L$4),0))</f>
        <v>0</v>
      </c>
      <c r="L98" s="2" cm="1">
        <f t="array" ref="L98">IF(L97=0,ROUND(IF(SUM(mission!$J$64:$J$78)&gt;=chest!$E$36,INDEX(chest!$F$33:$F$37,MATCH(L$25,chest!$D$33:$D$37,0)),0)*(1+$L$4),0))</f>
        <v>0</v>
      </c>
      <c r="M98" s="2" cm="1">
        <f t="array" ref="M98">IF(M97=0,ROUND(IF(SUM(mission!$J$64:$J$78)&gt;=chest!$E$37,INDEX(chest!$F$33:$F$37,MATCH(M$25,chest!$D$33:$D$37,0)),0)*(1+$L$4),0))</f>
        <v>0</v>
      </c>
      <c r="N98" s="2"/>
      <c r="O98" s="2"/>
      <c r="P98" s="2"/>
    </row>
    <row r="99" s="1" customFormat="1" ht="18" customHeight="1" spans="2:16">
      <c r="B99" s="2">
        <v>74</v>
      </c>
      <c r="C99" s="2">
        <f t="shared" si="6"/>
        <v>74000</v>
      </c>
      <c r="D99" s="2">
        <f>ROUND($C$8*$C$5+$C$8*$C$4*(1-$L$5),0)</f>
        <v>88</v>
      </c>
      <c r="E99" s="2">
        <f t="shared" si="7"/>
        <v>6512</v>
      </c>
      <c r="F99" s="2">
        <f>ROUND(E99*VLOOKUP($B$10,总产出!$T$4:$U$14,2,FALSE),0)</f>
        <v>651</v>
      </c>
      <c r="G99" s="2">
        <f t="shared" si="8"/>
        <v>0</v>
      </c>
      <c r="H99" s="2">
        <f t="shared" si="9"/>
        <v>680</v>
      </c>
      <c r="I99" s="2" t="b" cm="1">
        <f t="array" ref="I99">IF(I98=0,ROUND(IF(SUM(mission!$K$64:$K$78)&gt;=chest!$E$33,INDEX(chest!$F$33:$F$37,MATCH(I$25,chest!$D$33:$D$37,0)),0)*(1+$L$4),0))</f>
        <v>0</v>
      </c>
      <c r="J99" s="2" cm="1">
        <f t="array" ref="J99">IF(J98=0,ROUND(IF(SUM(mission!$K$64:$K$78)&gt;=chest!$E$34,INDEX(chest!$F$33:$F$37,MATCH(J$25,chest!$D$33:$D$37,0)),0)*(1+$L$4),0))</f>
        <v>0</v>
      </c>
      <c r="K99" s="2" cm="1">
        <f t="array" ref="K99">IF(K98=0,ROUND(IF(SUM(mission!$K$64:$K$78)&gt;=chest!$E$35,INDEX(chest!$F$33:$F$37,MATCH(K$25,chest!$D$33:$D$37,0)),0)*(1+$L$4),0))</f>
        <v>0</v>
      </c>
      <c r="L99" s="2" cm="1">
        <f t="array" ref="L99">IF(L98=0,ROUND(IF(SUM(mission!$K$64:$K$78)&gt;=chest!$E$36,INDEX(chest!$F$33:$F$37,MATCH(L$25,chest!$D$33:$D$37,0)),0)*(1+$L$4),0))</f>
        <v>0</v>
      </c>
      <c r="M99" s="2" cm="1">
        <f t="array" ref="M99">IF(M98=0,ROUND(IF(SUM(mission!$K$64:$K$78)&gt;=chest!$E$37,INDEX(chest!$F$33:$F$37,MATCH(M$25,chest!$D$33:$D$37,0)),0)*(1+$L$4),0))</f>
        <v>0</v>
      </c>
      <c r="N99" s="2"/>
      <c r="O99" s="2"/>
      <c r="P99" s="2"/>
    </row>
    <row r="100" s="1" customFormat="1" ht="18" customHeight="1" spans="2:16">
      <c r="B100" s="2">
        <v>75</v>
      </c>
      <c r="C100" s="2">
        <f t="shared" si="6"/>
        <v>75000</v>
      </c>
      <c r="D100" s="2">
        <f>ROUND($C$8*$C$5+$C$8*$C$4*(1-$L$5),0)</f>
        <v>88</v>
      </c>
      <c r="E100" s="2">
        <f t="shared" si="7"/>
        <v>6600</v>
      </c>
      <c r="F100" s="2">
        <f>ROUND(E100*VLOOKUP($B$10,总产出!$T$4:$U$14,2,FALSE),0)</f>
        <v>660</v>
      </c>
      <c r="G100" s="2">
        <f t="shared" si="8"/>
        <v>0</v>
      </c>
      <c r="H100" s="2">
        <f t="shared" si="9"/>
        <v>680</v>
      </c>
      <c r="I100" s="2" t="b" cm="1">
        <f t="array" ref="I100">IF(I99=0,ROUND(IF(SUM(mission!$L$64:$L$78)&gt;=chest!$E$33,INDEX(chest!$F$33:$F$37,MATCH(I$25,chest!$D$33:$D$37,0)),0)*(1+$L$4),0))</f>
        <v>0</v>
      </c>
      <c r="J100" s="2" cm="1">
        <f t="array" ref="J100">IF(J99=0,ROUND(IF(SUM(mission!$L$64:$L$78)&gt;=chest!$E$34,INDEX(chest!$F$33:$F$37,MATCH(J$25,chest!$D$33:$D$37,0)),0)*(1+$L$4),0))</f>
        <v>0</v>
      </c>
      <c r="K100" s="2" cm="1">
        <f t="array" ref="K100">IF(K99=0,ROUND(IF(SUM(mission!$L$64:$L$78)&gt;=chest!$E$35,INDEX(chest!$F$33:$F$37,MATCH(K$25,chest!$D$33:$D$37,0)),0)*(1+$L$4),0))</f>
        <v>0</v>
      </c>
      <c r="L100" s="2" cm="1">
        <f t="array" ref="L100">IF(L99=0,ROUND(IF(SUM(mission!$L$64:$L$78)&gt;=chest!$E$36,INDEX(chest!$F$33:$F$37,MATCH(L$25,chest!$D$33:$D$37,0)),0)*(1+$L$4),0))</f>
        <v>0</v>
      </c>
      <c r="M100" s="2" cm="1">
        <f t="array" ref="M100">IF(M99=0,ROUND(IF(SUM(mission!$L$64:$L$78)&gt;=chest!$E$37,INDEX(chest!$F$33:$F$37,MATCH(M$25,chest!$D$33:$D$37,0)),0)*(1+$L$4),0))</f>
        <v>0</v>
      </c>
      <c r="N100" s="2"/>
      <c r="O100" s="2"/>
      <c r="P100" s="2"/>
    </row>
    <row r="101" s="1" customFormat="1" ht="18" customHeight="1" spans="2:16">
      <c r="B101" s="2">
        <v>76</v>
      </c>
      <c r="C101" s="2">
        <f t="shared" si="6"/>
        <v>76000</v>
      </c>
      <c r="D101" s="2">
        <f>ROUND($C$8*$C$5+$C$8*$C$4*(1-$L$5),0)</f>
        <v>88</v>
      </c>
      <c r="E101" s="2">
        <f t="shared" si="7"/>
        <v>6688</v>
      </c>
      <c r="F101" s="2">
        <f>ROUND(E101*VLOOKUP($B$10,总产出!$T$4:$U$14,2,FALSE),0)</f>
        <v>669</v>
      </c>
      <c r="G101" s="2">
        <f t="shared" si="8"/>
        <v>35</v>
      </c>
      <c r="H101" s="2">
        <f t="shared" si="9"/>
        <v>715</v>
      </c>
      <c r="I101" s="2" t="b" cm="1">
        <f t="array" ref="I101">IF(I100=0,ROUND(IF(SUM(mission!$M$64:$M$78)&gt;=chest!$E$33,INDEX(chest!$F$33:$F$37,MATCH(I$25,chest!$D$33:$D$37,0)),0)*(1+$L$4),0))</f>
        <v>0</v>
      </c>
      <c r="J101" s="2" cm="1">
        <f t="array" ref="J101">IF(J100=0,ROUND(IF(SUM(mission!$M$64:$M$78)&gt;=chest!$E$34,INDEX(chest!$F$33:$F$37,MATCH(J$25,chest!$D$33:$D$37,0)),0)*(1+$L$4),0))</f>
        <v>35</v>
      </c>
      <c r="K101" s="2" cm="1">
        <f t="array" ref="K101">IF(K100=0,ROUND(IF(SUM(mission!$M$64:$M$78)&gt;=chest!$E$35,INDEX(chest!$F$33:$F$37,MATCH(K$25,chest!$D$33:$D$37,0)),0)*(1+$L$4),0))</f>
        <v>0</v>
      </c>
      <c r="L101" s="2" cm="1">
        <f t="array" ref="L101">IF(L100=0,ROUND(IF(SUM(mission!$M$64:$M$78)&gt;=chest!$E$36,INDEX(chest!$F$33:$F$37,MATCH(L$25,chest!$D$33:$D$37,0)),0)*(1+$L$4),0))</f>
        <v>0</v>
      </c>
      <c r="M101" s="2" cm="1">
        <f t="array" ref="M101">IF(M100=0,ROUND(IF(SUM(mission!$M$64:$M$78)&gt;=chest!$E$37,INDEX(chest!$F$33:$F$37,MATCH(M$25,chest!$D$33:$D$37,0)),0)*(1+$L$4),0))</f>
        <v>0</v>
      </c>
      <c r="N101" s="2"/>
      <c r="O101" s="2"/>
      <c r="P101" s="2"/>
    </row>
    <row r="102" s="10" customFormat="1" ht="18" customHeight="1" spans="2:16">
      <c r="B102" s="10">
        <v>77</v>
      </c>
      <c r="C102" s="10">
        <f t="shared" si="6"/>
        <v>77000</v>
      </c>
      <c r="D102" s="10">
        <f>ROUND($C$8*$C$5+$C$8*$C$4*(1-$L$5),0)</f>
        <v>88</v>
      </c>
      <c r="E102" s="10">
        <f t="shared" si="7"/>
        <v>6776</v>
      </c>
      <c r="F102" s="10">
        <f>ROUND(E102*VLOOKUP($B$10,总产出!$T$4:$U$14,2,FALSE),0)</f>
        <v>678</v>
      </c>
      <c r="G102" s="10">
        <f t="shared" si="8"/>
        <v>0</v>
      </c>
      <c r="H102" s="10">
        <f t="shared" si="9"/>
        <v>715</v>
      </c>
      <c r="I102" s="10" t="b" cm="1">
        <f t="array" ref="I102">IF(I101=0,ROUND(IF(SUM(mission!$N$64:$N$78)&gt;=chest!$E$33,INDEX(chest!$F$33:$F$37,MATCH(I$25,chest!$D$33:$D$37,0)),0)*(1+$L$4),0))</f>
        <v>0</v>
      </c>
      <c r="J102" s="10" t="b" cm="1">
        <f t="array" ref="J102">IF(J101=0,ROUND(IF(SUM(mission!$N$64:$N$78)&gt;=chest!$E$34,INDEX(chest!$F$33:$F$37,MATCH(J$25,chest!$D$33:$D$37,0)),0)*(1+$L$4),0))</f>
        <v>0</v>
      </c>
      <c r="K102" s="10" cm="1">
        <f t="array" ref="K102">IF(K101=0,ROUND(IF(SUM(mission!$N$64:$N$78)&gt;=chest!$E$35,INDEX(chest!$F$33:$F$37,MATCH(K$25,chest!$D$33:$D$37,0)),0)*(1+$L$4),0))</f>
        <v>0</v>
      </c>
      <c r="L102" s="10" cm="1">
        <f t="array" ref="L102">IF(L101=0,ROUND(IF(SUM(mission!$N$64:$N$78)&gt;=chest!$E$36,INDEX(chest!$F$33:$F$37,MATCH(L$25,chest!$D$33:$D$37,0)),0)*(1+$L$4),0))</f>
        <v>0</v>
      </c>
      <c r="M102" s="10" cm="1">
        <f t="array" ref="M102">IF(M101=0,ROUND(IF(SUM(mission!$N$64:$N$78)&gt;=chest!$E$37,INDEX(chest!$F$33:$F$37,MATCH(M$25,chest!$D$33:$D$37,0)),0)*(1+$L$4),0))</f>
        <v>0</v>
      </c>
      <c r="N102" s="2"/>
      <c r="O102" s="2"/>
      <c r="P102" s="2"/>
    </row>
    <row r="103" s="1" customFormat="1" ht="18" customHeight="1" spans="2:16">
      <c r="B103" s="2">
        <v>78</v>
      </c>
      <c r="C103" s="2">
        <f t="shared" si="6"/>
        <v>78000</v>
      </c>
      <c r="D103" s="2">
        <f>ROUND($C$8*$C$5+$C$8*$C$4*(1-$L$5),0)</f>
        <v>88</v>
      </c>
      <c r="E103" s="2">
        <f t="shared" si="7"/>
        <v>6864</v>
      </c>
      <c r="F103" s="2">
        <f>ROUND(E103*VLOOKUP($B$10,总产出!$T$4:$U$14,2,FALSE),0)</f>
        <v>686</v>
      </c>
      <c r="G103" s="2">
        <f t="shared" si="8"/>
        <v>0</v>
      </c>
      <c r="H103" s="2">
        <f t="shared" si="9"/>
        <v>715</v>
      </c>
      <c r="I103" s="2" cm="1">
        <f t="array" ref="I103">ROUND(IF(SUM(mission!$H$64:$H$78)&gt;=chest!$E$33,INDEX(chest!$F$33:$F$37,MATCH(I$25,chest!$D$33:$D$37,0)),0)*(1+$L$4),0)</f>
        <v>0</v>
      </c>
      <c r="J103" s="2" cm="1">
        <f t="array" ref="J103">ROUND(IF(SUM(mission!$H$64:$H$78)&gt;=chest!$E$34,INDEX(chest!$F$33:$F$37,MATCH(J$25,chest!$D$33:$D$37,0)),0)*(1+$L$4),0)</f>
        <v>0</v>
      </c>
      <c r="K103" s="2" cm="1">
        <f t="array" ref="K103">ROUND(IF(SUM(mission!$H$64:$H$78)&gt;=chest!$E$35,INDEX(chest!$F$33:$F$37,MATCH(K$25,chest!$D$33:$D$37,0)),0)*(1+$L$4),0)</f>
        <v>0</v>
      </c>
      <c r="L103" s="2" cm="1">
        <f t="array" ref="L103">ROUND(IF(SUM(mission!$H$64:$H$78)&gt;=chest!$E$36,INDEX(chest!$F$33:$F$37,MATCH(L$25,chest!$D$33:$D$37,0)),0)*(1+$L$4),0)</f>
        <v>0</v>
      </c>
      <c r="M103" s="2" cm="1">
        <f t="array" ref="M103">ROUND(IF(SUM(mission!$H$64:$H$78)&gt;=chest!$E$37,INDEX(chest!$F$33:$F$37,MATCH(M$25,chest!$D$33:$D$37,0)),0)*(1+$L$4),0)</f>
        <v>0</v>
      </c>
      <c r="N103" s="2"/>
      <c r="O103" s="2"/>
      <c r="P103" s="2"/>
    </row>
    <row r="104" s="1" customFormat="1" ht="18" customHeight="1" spans="2:16">
      <c r="B104" s="2">
        <v>79</v>
      </c>
      <c r="C104" s="2">
        <f t="shared" si="6"/>
        <v>79000</v>
      </c>
      <c r="D104" s="2">
        <f>ROUND($C$8*$C$5+$C$8*$C$4*(1-$L$5),0)</f>
        <v>88</v>
      </c>
      <c r="E104" s="2">
        <f t="shared" si="7"/>
        <v>6952</v>
      </c>
      <c r="F104" s="2">
        <f>ROUND(E104*VLOOKUP($B$10,总产出!$T$4:$U$14,2,FALSE),0)</f>
        <v>695</v>
      </c>
      <c r="G104" s="2">
        <f t="shared" si="8"/>
        <v>0</v>
      </c>
      <c r="H104" s="2">
        <f t="shared" si="9"/>
        <v>715</v>
      </c>
      <c r="I104" s="2" cm="1">
        <f t="array" ref="I104">IF(I103=0,ROUND(IF(SUM(mission!$I$64:$I$78)&gt;=chest!$E$33,INDEX(chest!$F$33:$F$37,MATCH(I$25,chest!$D$33:$D$37,0)),0)*(1+$L$4),0))</f>
        <v>0</v>
      </c>
      <c r="J104" s="2" cm="1">
        <f t="array" ref="J104">IF(J103=0,ROUND(IF(SUM(mission!$I$64:$I$78)&gt;=chest!$E$34,INDEX(chest!$F$33:$F$37,MATCH(J$25,chest!$D$33:$D$37,0)),0)*(1+$L$4),0))</f>
        <v>0</v>
      </c>
      <c r="K104" s="2" cm="1">
        <f t="array" ref="K104">IF(K103=0,ROUND(IF(SUM(mission!$I$64:$I$78)&gt;=chest!$E$35,INDEX(chest!$F$33:$F$37,MATCH(K$25,chest!$D$33:$D$37,0)),0)*(1+$L$4),0))</f>
        <v>0</v>
      </c>
      <c r="L104" s="2" cm="1">
        <f t="array" ref="L104">IF(L103=0,ROUND(IF(SUM(mission!$I$64:$I$78)&gt;=chest!$E$36,INDEX(chest!$F$33:$F$37,MATCH(L$25,chest!$D$33:$D$37,0)),0)*(1+$L$4),0))</f>
        <v>0</v>
      </c>
      <c r="M104" s="2" cm="1">
        <f t="array" ref="M104">IF(M103=0,ROUND(IF(SUM(mission!$I$64:$I$78)&gt;=chest!$E$37,INDEX(chest!$F$33:$F$37,MATCH(M$25,chest!$D$33:$D$37,0)),0)*(1+$L$4),0))</f>
        <v>0</v>
      </c>
      <c r="N104" s="2"/>
      <c r="O104" s="2"/>
      <c r="P104" s="2"/>
    </row>
    <row r="105" s="1" customFormat="1" ht="18" customHeight="1" spans="2:16">
      <c r="B105" s="2">
        <v>80</v>
      </c>
      <c r="C105" s="2">
        <f t="shared" si="6"/>
        <v>80000</v>
      </c>
      <c r="D105" s="2">
        <f>ROUND($C$8*$C$5+$C$8*$C$4*(1-$L$5),0)</f>
        <v>88</v>
      </c>
      <c r="E105" s="2">
        <f t="shared" si="7"/>
        <v>7040</v>
      </c>
      <c r="F105" s="2">
        <f>ROUND(E105*VLOOKUP($B$10,总产出!$T$4:$U$14,2,FALSE),0)</f>
        <v>704</v>
      </c>
      <c r="G105" s="2">
        <f t="shared" si="8"/>
        <v>30</v>
      </c>
      <c r="H105" s="2">
        <f t="shared" si="9"/>
        <v>745</v>
      </c>
      <c r="I105" s="2" cm="1">
        <f t="array" ref="I105">IF(I104=0,ROUND(IF(SUM(mission!$J$64:$J$78)&gt;=chest!$E$33,INDEX(chest!$F$33:$F$37,MATCH(I$25,chest!$D$33:$D$37,0)),0)*(1+$L$4),0))</f>
        <v>30</v>
      </c>
      <c r="J105" s="2" cm="1">
        <f t="array" ref="J105">IF(J104=0,ROUND(IF(SUM(mission!$J$64:$J$78)&gt;=chest!$E$34,INDEX(chest!$F$33:$F$37,MATCH(J$25,chest!$D$33:$D$37,0)),0)*(1+$L$4),0))</f>
        <v>0</v>
      </c>
      <c r="K105" s="2" cm="1">
        <f t="array" ref="K105">IF(K104=0,ROUND(IF(SUM(mission!$J$64:$J$78)&gt;=chest!$E$35,INDEX(chest!$F$33:$F$37,MATCH(K$25,chest!$D$33:$D$37,0)),0)*(1+$L$4),0))</f>
        <v>0</v>
      </c>
      <c r="L105" s="2" cm="1">
        <f t="array" ref="L105">IF(L104=0,ROUND(IF(SUM(mission!$J$64:$J$78)&gt;=chest!$E$36,INDEX(chest!$F$33:$F$37,MATCH(L$25,chest!$D$33:$D$37,0)),0)*(1+$L$4),0))</f>
        <v>0</v>
      </c>
      <c r="M105" s="2" cm="1">
        <f t="array" ref="M105">IF(M104=0,ROUND(IF(SUM(mission!$J$64:$J$78)&gt;=chest!$E$37,INDEX(chest!$F$33:$F$37,MATCH(M$25,chest!$D$33:$D$37,0)),0)*(1+$L$4),0))</f>
        <v>0</v>
      </c>
      <c r="N105" s="2"/>
      <c r="O105" s="2"/>
      <c r="P105" s="2"/>
    </row>
    <row r="106" s="1" customFormat="1" ht="18" customHeight="1" spans="2:16">
      <c r="B106" s="2">
        <v>81</v>
      </c>
      <c r="C106" s="2">
        <f t="shared" si="6"/>
        <v>81000</v>
      </c>
      <c r="D106" s="2">
        <f>ROUND($C$8*$C$5+$C$8*$C$4*(1-$L$5),0)</f>
        <v>88</v>
      </c>
      <c r="E106" s="2">
        <f t="shared" si="7"/>
        <v>7128</v>
      </c>
      <c r="F106" s="2">
        <f>ROUND(E106*VLOOKUP($B$10,总产出!$T$4:$U$14,2,FALSE),0)</f>
        <v>713</v>
      </c>
      <c r="G106" s="2">
        <f t="shared" si="8"/>
        <v>0</v>
      </c>
      <c r="H106" s="2">
        <f t="shared" si="9"/>
        <v>745</v>
      </c>
      <c r="I106" s="2" t="b" cm="1">
        <f t="array" ref="I106">IF(I105=0,ROUND(IF(SUM(mission!$K$64:$K$78)&gt;=chest!$E$33,INDEX(chest!$F$33:$F$37,MATCH(I$25,chest!$D$33:$D$37,0)),0)*(1+$L$4),0))</f>
        <v>0</v>
      </c>
      <c r="J106" s="2" cm="1">
        <f t="array" ref="J106">IF(J105=0,ROUND(IF(SUM(mission!$K$64:$K$78)&gt;=chest!$E$34,INDEX(chest!$F$33:$F$37,MATCH(J$25,chest!$D$33:$D$37,0)),0)*(1+$L$4),0))</f>
        <v>0</v>
      </c>
      <c r="K106" s="2" cm="1">
        <f t="array" ref="K106">IF(K105=0,ROUND(IF(SUM(mission!$K$64:$K$78)&gt;=chest!$E$35,INDEX(chest!$F$33:$F$37,MATCH(K$25,chest!$D$33:$D$37,0)),0)*(1+$L$4),0))</f>
        <v>0</v>
      </c>
      <c r="L106" s="2" cm="1">
        <f t="array" ref="L106">IF(L105=0,ROUND(IF(SUM(mission!$K$64:$K$78)&gt;=chest!$E$36,INDEX(chest!$F$33:$F$37,MATCH(L$25,chest!$D$33:$D$37,0)),0)*(1+$L$4),0))</f>
        <v>0</v>
      </c>
      <c r="M106" s="2" cm="1">
        <f t="array" ref="M106">IF(M105=0,ROUND(IF(SUM(mission!$K$64:$K$78)&gt;=chest!$E$37,INDEX(chest!$F$33:$F$37,MATCH(M$25,chest!$D$33:$D$37,0)),0)*(1+$L$4),0))</f>
        <v>0</v>
      </c>
      <c r="N106" s="2"/>
      <c r="O106" s="2"/>
      <c r="P106" s="2"/>
    </row>
    <row r="107" s="1" customFormat="1" ht="18" customHeight="1" spans="2:16">
      <c r="B107" s="2">
        <v>82</v>
      </c>
      <c r="C107" s="2">
        <f t="shared" si="6"/>
        <v>82000</v>
      </c>
      <c r="D107" s="2">
        <f>ROUND($C$8*$C$5+$C$8*$C$4*(1-$L$5),0)</f>
        <v>88</v>
      </c>
      <c r="E107" s="2">
        <f t="shared" si="7"/>
        <v>7216</v>
      </c>
      <c r="F107" s="2">
        <f>ROUND(E107*VLOOKUP($B$10,总产出!$T$4:$U$14,2,FALSE),0)</f>
        <v>722</v>
      </c>
      <c r="G107" s="2">
        <f t="shared" si="8"/>
        <v>0</v>
      </c>
      <c r="H107" s="2">
        <f t="shared" si="9"/>
        <v>745</v>
      </c>
      <c r="I107" s="2" t="b" cm="1">
        <f t="array" ref="I107">IF(I106=0,ROUND(IF(SUM(mission!$L$64:$L$78)&gt;=chest!$E$33,INDEX(chest!$F$33:$F$37,MATCH(I$25,chest!$D$33:$D$37,0)),0)*(1+$L$4),0))</f>
        <v>0</v>
      </c>
      <c r="J107" s="2" cm="1">
        <f t="array" ref="J107">IF(J106=0,ROUND(IF(SUM(mission!$L$64:$L$78)&gt;=chest!$E$34,INDEX(chest!$F$33:$F$37,MATCH(J$25,chest!$D$33:$D$37,0)),0)*(1+$L$4),0))</f>
        <v>0</v>
      </c>
      <c r="K107" s="2" cm="1">
        <f t="array" ref="K107">IF(K106=0,ROUND(IF(SUM(mission!$L$64:$L$78)&gt;=chest!$E$35,INDEX(chest!$F$33:$F$37,MATCH(K$25,chest!$D$33:$D$37,0)),0)*(1+$L$4),0))</f>
        <v>0</v>
      </c>
      <c r="L107" s="2" cm="1">
        <f t="array" ref="L107">IF(L106=0,ROUND(IF(SUM(mission!$L$64:$L$78)&gt;=chest!$E$36,INDEX(chest!$F$33:$F$37,MATCH(L$25,chest!$D$33:$D$37,0)),0)*(1+$L$4),0))</f>
        <v>0</v>
      </c>
      <c r="M107" s="2" cm="1">
        <f t="array" ref="M107">IF(M106=0,ROUND(IF(SUM(mission!$L$64:$L$78)&gt;=chest!$E$37,INDEX(chest!$F$33:$F$37,MATCH(M$25,chest!$D$33:$D$37,0)),0)*(1+$L$4),0))</f>
        <v>0</v>
      </c>
      <c r="N107" s="2"/>
      <c r="O107" s="2"/>
      <c r="P107" s="2"/>
    </row>
    <row r="108" s="1" customFormat="1" ht="18" customHeight="1" spans="2:16">
      <c r="B108" s="2">
        <v>83</v>
      </c>
      <c r="C108" s="2">
        <f t="shared" si="6"/>
        <v>83000</v>
      </c>
      <c r="D108" s="2">
        <f>ROUND($C$8*$C$5+$C$8*$C$4*(1-$L$5),0)</f>
        <v>88</v>
      </c>
      <c r="E108" s="2">
        <f t="shared" si="7"/>
        <v>7304</v>
      </c>
      <c r="F108" s="2">
        <f>ROUND(E108*VLOOKUP($B$10,总产出!$T$4:$U$14,2,FALSE),0)</f>
        <v>730</v>
      </c>
      <c r="G108" s="2">
        <f t="shared" si="8"/>
        <v>35</v>
      </c>
      <c r="H108" s="2">
        <f t="shared" si="9"/>
        <v>780</v>
      </c>
      <c r="I108" s="2" t="b" cm="1">
        <f t="array" ref="I108">IF(I107=0,ROUND(IF(SUM(mission!$M$64:$M$78)&gt;=chest!$E$33,INDEX(chest!$F$33:$F$37,MATCH(I$25,chest!$D$33:$D$37,0)),0)*(1+$L$4),0))</f>
        <v>0</v>
      </c>
      <c r="J108" s="2" cm="1">
        <f t="array" ref="J108">IF(J107=0,ROUND(IF(SUM(mission!$M$64:$M$78)&gt;=chest!$E$34,INDEX(chest!$F$33:$F$37,MATCH(J$25,chest!$D$33:$D$37,0)),0)*(1+$L$4),0))</f>
        <v>35</v>
      </c>
      <c r="K108" s="2" cm="1">
        <f t="array" ref="K108">IF(K107=0,ROUND(IF(SUM(mission!$M$64:$M$78)&gt;=chest!$E$35,INDEX(chest!$F$33:$F$37,MATCH(K$25,chest!$D$33:$D$37,0)),0)*(1+$L$4),0))</f>
        <v>0</v>
      </c>
      <c r="L108" s="2" cm="1">
        <f t="array" ref="L108">IF(L107=0,ROUND(IF(SUM(mission!$M$64:$M$78)&gt;=chest!$E$36,INDEX(chest!$F$33:$F$37,MATCH(L$25,chest!$D$33:$D$37,0)),0)*(1+$L$4),0))</f>
        <v>0</v>
      </c>
      <c r="M108" s="2" cm="1">
        <f t="array" ref="M108">IF(M107=0,ROUND(IF(SUM(mission!$M$64:$M$78)&gt;=chest!$E$37,INDEX(chest!$F$33:$F$37,MATCH(M$25,chest!$D$33:$D$37,0)),0)*(1+$L$4),0))</f>
        <v>0</v>
      </c>
      <c r="N108" s="2"/>
      <c r="O108" s="2"/>
      <c r="P108" s="2"/>
    </row>
    <row r="109" s="10" customFormat="1" ht="18" customHeight="1" spans="2:16">
      <c r="B109" s="10">
        <v>84</v>
      </c>
      <c r="C109" s="10">
        <f t="shared" si="6"/>
        <v>84000</v>
      </c>
      <c r="D109" s="10">
        <f>ROUND($C$8*$C$5+$C$8*$C$4*(1-$L$5),0)</f>
        <v>88</v>
      </c>
      <c r="E109" s="10">
        <f t="shared" si="7"/>
        <v>7392</v>
      </c>
      <c r="F109" s="10">
        <f>ROUND(E109*VLOOKUP($B$10,总产出!$T$4:$U$14,2,FALSE),0)</f>
        <v>739</v>
      </c>
      <c r="G109" s="10">
        <f t="shared" si="8"/>
        <v>0</v>
      </c>
      <c r="H109" s="10">
        <f t="shared" si="9"/>
        <v>780</v>
      </c>
      <c r="I109" s="10" t="b" cm="1">
        <f t="array" ref="I109">IF(I108=0,ROUND(IF(SUM(mission!$N$64:$N$78)&gt;=chest!$E$33,INDEX(chest!$F$33:$F$37,MATCH(I$25,chest!$D$33:$D$37,0)),0)*(1+$L$4),0))</f>
        <v>0</v>
      </c>
      <c r="J109" s="10" t="b" cm="1">
        <f t="array" ref="J109">IF(J108=0,ROUND(IF(SUM(mission!$N$64:$N$78)&gt;=chest!$E$34,INDEX(chest!$F$33:$F$37,MATCH(J$25,chest!$D$33:$D$37,0)),0)*(1+$L$4),0))</f>
        <v>0</v>
      </c>
      <c r="K109" s="10" cm="1">
        <f t="array" ref="K109">IF(K108=0,ROUND(IF(SUM(mission!$N$64:$N$78)&gt;=chest!$E$35,INDEX(chest!$F$33:$F$37,MATCH(K$25,chest!$D$33:$D$37,0)),0)*(1+$L$4),0))</f>
        <v>0</v>
      </c>
      <c r="L109" s="10" cm="1">
        <f t="array" ref="L109">IF(L108=0,ROUND(IF(SUM(mission!$N$64:$N$78)&gt;=chest!$E$36,INDEX(chest!$F$33:$F$37,MATCH(L$25,chest!$D$33:$D$37,0)),0)*(1+$L$4),0))</f>
        <v>0</v>
      </c>
      <c r="M109" s="10" cm="1">
        <f t="array" ref="M109">IF(M108=0,ROUND(IF(SUM(mission!$N$64:$N$78)&gt;=chest!$E$37,INDEX(chest!$F$33:$F$37,MATCH(M$25,chest!$D$33:$D$37,0)),0)*(1+$L$4),0))</f>
        <v>0</v>
      </c>
      <c r="N109" s="2"/>
      <c r="O109" s="2"/>
      <c r="P109" s="2"/>
    </row>
    <row r="110" s="1" customFormat="1" ht="18" customHeight="1" spans="2:16">
      <c r="B110" s="2">
        <v>85</v>
      </c>
      <c r="C110" s="2">
        <f t="shared" si="6"/>
        <v>85000</v>
      </c>
      <c r="D110" s="2">
        <f>ROUND($C$8*$C$5+$C$8*$C$4*(1-$L$5),0)</f>
        <v>88</v>
      </c>
      <c r="E110" s="2">
        <f t="shared" si="7"/>
        <v>7480</v>
      </c>
      <c r="F110" s="2">
        <f>ROUND(E110*VLOOKUP($B$10,总产出!$T$4:$U$14,2,FALSE),0)</f>
        <v>748</v>
      </c>
      <c r="G110" s="2">
        <f t="shared" si="8"/>
        <v>0</v>
      </c>
      <c r="H110" s="2">
        <f t="shared" si="9"/>
        <v>780</v>
      </c>
      <c r="I110" s="2" cm="1">
        <f t="array" ref="I110">ROUND(IF(SUM(mission!$H$64:$H$78)&gt;=chest!$E$33,INDEX(chest!$F$33:$F$37,MATCH(I$25,chest!$D$33:$D$37,0)),0)*(1+$L$4),0)</f>
        <v>0</v>
      </c>
      <c r="J110" s="2" cm="1">
        <f t="array" ref="J110">ROUND(IF(SUM(mission!$H$64:$H$78)&gt;=chest!$E$34,INDEX(chest!$F$33:$F$37,MATCH(J$25,chest!$D$33:$D$37,0)),0)*(1+$L$4),0)</f>
        <v>0</v>
      </c>
      <c r="K110" s="2" cm="1">
        <f t="array" ref="K110">ROUND(IF(SUM(mission!$H$64:$H$78)&gt;=chest!$E$35,INDEX(chest!$F$33:$F$37,MATCH(K$25,chest!$D$33:$D$37,0)),0)*(1+$L$4),0)</f>
        <v>0</v>
      </c>
      <c r="L110" s="2" cm="1">
        <f t="array" ref="L110">ROUND(IF(SUM(mission!$H$64:$H$78)&gt;=chest!$E$36,INDEX(chest!$F$33:$F$37,MATCH(L$25,chest!$D$33:$D$37,0)),0)*(1+$L$4),0)</f>
        <v>0</v>
      </c>
      <c r="M110" s="2" cm="1">
        <f t="array" ref="M110">ROUND(IF(SUM(mission!$H$64:$H$78)&gt;=chest!$E$37,INDEX(chest!$F$33:$F$37,MATCH(M$25,chest!$D$33:$D$37,0)),0)*(1+$L$4),0)</f>
        <v>0</v>
      </c>
      <c r="N110" s="2"/>
      <c r="O110" s="2"/>
      <c r="P110" s="2"/>
    </row>
    <row r="111" s="1" customFormat="1" ht="18" customHeight="1" spans="2:16">
      <c r="B111" s="2">
        <v>86</v>
      </c>
      <c r="C111" s="2">
        <f t="shared" si="6"/>
        <v>86000</v>
      </c>
      <c r="D111" s="2">
        <f>ROUND($C$8*$C$5+$C$8*$C$4*(1-$L$5),0)</f>
        <v>88</v>
      </c>
      <c r="E111" s="2">
        <f t="shared" si="7"/>
        <v>7568</v>
      </c>
      <c r="F111" s="2">
        <f>ROUND(E111*VLOOKUP($B$10,总产出!$T$4:$U$14,2,FALSE),0)</f>
        <v>757</v>
      </c>
      <c r="G111" s="2">
        <f t="shared" si="8"/>
        <v>0</v>
      </c>
      <c r="H111" s="2">
        <f t="shared" si="9"/>
        <v>780</v>
      </c>
      <c r="I111" s="2" cm="1">
        <f t="array" ref="I111">IF(I110=0,ROUND(IF(SUM(mission!$I$64:$I$78)&gt;=chest!$E$33,INDEX(chest!$F$33:$F$37,MATCH(I$25,chest!$D$33:$D$37,0)),0)*(1+$L$4),0))</f>
        <v>0</v>
      </c>
      <c r="J111" s="2" cm="1">
        <f t="array" ref="J111">IF(J110=0,ROUND(IF(SUM(mission!$I$64:$I$78)&gt;=chest!$E$34,INDEX(chest!$F$33:$F$37,MATCH(J$25,chest!$D$33:$D$37,0)),0)*(1+$L$4),0))</f>
        <v>0</v>
      </c>
      <c r="K111" s="2" cm="1">
        <f t="array" ref="K111">IF(K110=0,ROUND(IF(SUM(mission!$I$64:$I$78)&gt;=chest!$E$35,INDEX(chest!$F$33:$F$37,MATCH(K$25,chest!$D$33:$D$37,0)),0)*(1+$L$4),0))</f>
        <v>0</v>
      </c>
      <c r="L111" s="2" cm="1">
        <f t="array" ref="L111">IF(L110=0,ROUND(IF(SUM(mission!$I$64:$I$78)&gt;=chest!$E$36,INDEX(chest!$F$33:$F$37,MATCH(L$25,chest!$D$33:$D$37,0)),0)*(1+$L$4),0))</f>
        <v>0</v>
      </c>
      <c r="M111" s="2" cm="1">
        <f t="array" ref="M111">IF(M110=0,ROUND(IF(SUM(mission!$I$64:$I$78)&gt;=chest!$E$37,INDEX(chest!$F$33:$F$37,MATCH(M$25,chest!$D$33:$D$37,0)),0)*(1+$L$4),0))</f>
        <v>0</v>
      </c>
      <c r="N111" s="2"/>
      <c r="O111" s="2"/>
      <c r="P111" s="2"/>
    </row>
    <row r="112" s="1" customFormat="1" ht="18" customHeight="1" spans="2:16">
      <c r="B112" s="2">
        <v>87</v>
      </c>
      <c r="C112" s="2">
        <f t="shared" si="6"/>
        <v>87000</v>
      </c>
      <c r="D112" s="2">
        <f>ROUND($C$8*$C$5+$C$8*$C$4*(1-$L$5),0)</f>
        <v>88</v>
      </c>
      <c r="E112" s="2">
        <f t="shared" si="7"/>
        <v>7656</v>
      </c>
      <c r="F112" s="2">
        <f>ROUND(E112*VLOOKUP($B$10,总产出!$T$4:$U$14,2,FALSE),0)</f>
        <v>766</v>
      </c>
      <c r="G112" s="2">
        <f t="shared" si="8"/>
        <v>30</v>
      </c>
      <c r="H112" s="2">
        <f t="shared" si="9"/>
        <v>810</v>
      </c>
      <c r="I112" s="2" cm="1">
        <f t="array" ref="I112">IF(I111=0,ROUND(IF(SUM(mission!$J$64:$J$78)&gt;=chest!$E$33,INDEX(chest!$F$33:$F$37,MATCH(I$25,chest!$D$33:$D$37,0)),0)*(1+$L$4),0))</f>
        <v>30</v>
      </c>
      <c r="J112" s="2" cm="1">
        <f t="array" ref="J112">IF(J111=0,ROUND(IF(SUM(mission!$J$64:$J$78)&gt;=chest!$E$34,INDEX(chest!$F$33:$F$37,MATCH(J$25,chest!$D$33:$D$37,0)),0)*(1+$L$4),0))</f>
        <v>0</v>
      </c>
      <c r="K112" s="2" cm="1">
        <f t="array" ref="K112">IF(K111=0,ROUND(IF(SUM(mission!$J$64:$J$78)&gt;=chest!$E$35,INDEX(chest!$F$33:$F$37,MATCH(K$25,chest!$D$33:$D$37,0)),0)*(1+$L$4),0))</f>
        <v>0</v>
      </c>
      <c r="L112" s="2" cm="1">
        <f t="array" ref="L112">IF(L111=0,ROUND(IF(SUM(mission!$J$64:$J$78)&gt;=chest!$E$36,INDEX(chest!$F$33:$F$37,MATCH(L$25,chest!$D$33:$D$37,0)),0)*(1+$L$4),0))</f>
        <v>0</v>
      </c>
      <c r="M112" s="2" cm="1">
        <f t="array" ref="M112">IF(M111=0,ROUND(IF(SUM(mission!$J$64:$J$78)&gt;=chest!$E$37,INDEX(chest!$F$33:$F$37,MATCH(M$25,chest!$D$33:$D$37,0)),0)*(1+$L$4),0))</f>
        <v>0</v>
      </c>
      <c r="N112" s="2"/>
      <c r="O112" s="2"/>
      <c r="P112" s="2"/>
    </row>
    <row r="113" s="1" customFormat="1" ht="18" customHeight="1" spans="2:16">
      <c r="B113" s="2">
        <v>88</v>
      </c>
      <c r="C113" s="2">
        <f t="shared" si="6"/>
        <v>88000</v>
      </c>
      <c r="D113" s="2">
        <f>ROUND($C$8*$C$5+$C$8*$C$4*(1-$L$5),0)</f>
        <v>88</v>
      </c>
      <c r="E113" s="2">
        <f t="shared" si="7"/>
        <v>7744</v>
      </c>
      <c r="F113" s="2">
        <f>ROUND(E113*VLOOKUP($B$10,总产出!$T$4:$U$14,2,FALSE),0)</f>
        <v>774</v>
      </c>
      <c r="G113" s="2">
        <f t="shared" si="8"/>
        <v>0</v>
      </c>
      <c r="H113" s="2">
        <f t="shared" si="9"/>
        <v>810</v>
      </c>
      <c r="I113" s="2" t="b" cm="1">
        <f t="array" ref="I113">IF(I112=0,ROUND(IF(SUM(mission!$K$64:$K$78)&gt;=chest!$E$33,INDEX(chest!$F$33:$F$37,MATCH(I$25,chest!$D$33:$D$37,0)),0)*(1+$L$4),0))</f>
        <v>0</v>
      </c>
      <c r="J113" s="2" cm="1">
        <f t="array" ref="J113">IF(J112=0,ROUND(IF(SUM(mission!$K$64:$K$78)&gt;=chest!$E$34,INDEX(chest!$F$33:$F$37,MATCH(J$25,chest!$D$33:$D$37,0)),0)*(1+$L$4),0))</f>
        <v>0</v>
      </c>
      <c r="K113" s="2" cm="1">
        <f t="array" ref="K113">IF(K112=0,ROUND(IF(SUM(mission!$K$64:$K$78)&gt;=chest!$E$35,INDEX(chest!$F$33:$F$37,MATCH(K$25,chest!$D$33:$D$37,0)),0)*(1+$L$4),0))</f>
        <v>0</v>
      </c>
      <c r="L113" s="2" cm="1">
        <f t="array" ref="L113">IF(L112=0,ROUND(IF(SUM(mission!$K$64:$K$78)&gt;=chest!$E$36,INDEX(chest!$F$33:$F$37,MATCH(L$25,chest!$D$33:$D$37,0)),0)*(1+$L$4),0))</f>
        <v>0</v>
      </c>
      <c r="M113" s="2" cm="1">
        <f t="array" ref="M113">IF(M112=0,ROUND(IF(SUM(mission!$K$64:$K$78)&gt;=chest!$E$37,INDEX(chest!$F$33:$F$37,MATCH(M$25,chest!$D$33:$D$37,0)),0)*(1+$L$4),0))</f>
        <v>0</v>
      </c>
      <c r="N113" s="2"/>
      <c r="O113" s="2"/>
      <c r="P113" s="2"/>
    </row>
    <row r="114" s="1" customFormat="1" ht="18" customHeight="1" spans="2:16">
      <c r="B114" s="2">
        <v>89</v>
      </c>
      <c r="C114" s="2">
        <f t="shared" si="6"/>
        <v>89000</v>
      </c>
      <c r="D114" s="2">
        <f>ROUND($C$8*$C$5+$C$8*$C$4*(1-$L$5),0)</f>
        <v>88</v>
      </c>
      <c r="E114" s="2">
        <f t="shared" si="7"/>
        <v>7832</v>
      </c>
      <c r="F114" s="2">
        <f>ROUND(E114*VLOOKUP($B$10,总产出!$T$4:$U$14,2,FALSE),0)</f>
        <v>783</v>
      </c>
      <c r="G114" s="2">
        <f t="shared" si="8"/>
        <v>0</v>
      </c>
      <c r="H114" s="2">
        <f t="shared" si="9"/>
        <v>810</v>
      </c>
      <c r="I114" s="2" t="b" cm="1">
        <f t="array" ref="I114">IF(I113=0,ROUND(IF(SUM(mission!$L$64:$L$78)&gt;=chest!$E$33,INDEX(chest!$F$33:$F$37,MATCH(I$25,chest!$D$33:$D$37,0)),0)*(1+$L$4),0))</f>
        <v>0</v>
      </c>
      <c r="J114" s="2" cm="1">
        <f t="array" ref="J114">IF(J113=0,ROUND(IF(SUM(mission!$L$64:$L$78)&gt;=chest!$E$34,INDEX(chest!$F$33:$F$37,MATCH(J$25,chest!$D$33:$D$37,0)),0)*(1+$L$4),0))</f>
        <v>0</v>
      </c>
      <c r="K114" s="2" cm="1">
        <f t="array" ref="K114">IF(K113=0,ROUND(IF(SUM(mission!$L$64:$L$78)&gt;=chest!$E$35,INDEX(chest!$F$33:$F$37,MATCH(K$25,chest!$D$33:$D$37,0)),0)*(1+$L$4),0))</f>
        <v>0</v>
      </c>
      <c r="L114" s="2" cm="1">
        <f t="array" ref="L114">IF(L113=0,ROUND(IF(SUM(mission!$L$64:$L$78)&gt;=chest!$E$36,INDEX(chest!$F$33:$F$37,MATCH(L$25,chest!$D$33:$D$37,0)),0)*(1+$L$4),0))</f>
        <v>0</v>
      </c>
      <c r="M114" s="2" cm="1">
        <f t="array" ref="M114">IF(M113=0,ROUND(IF(SUM(mission!$L$64:$L$78)&gt;=chest!$E$37,INDEX(chest!$F$33:$F$37,MATCH(M$25,chest!$D$33:$D$37,0)),0)*(1+$L$4),0))</f>
        <v>0</v>
      </c>
      <c r="N114" s="2"/>
      <c r="O114" s="2"/>
      <c r="P114" s="2"/>
    </row>
    <row r="115" s="1" customFormat="1" ht="18" customHeight="1" spans="2:16">
      <c r="B115" s="2">
        <v>90</v>
      </c>
      <c r="C115" s="2">
        <f t="shared" si="6"/>
        <v>90000</v>
      </c>
      <c r="D115" s="2">
        <f>ROUND($C$8*$C$5+$C$8*$C$4*(1-$L$5),0)</f>
        <v>88</v>
      </c>
      <c r="E115" s="2">
        <f t="shared" si="7"/>
        <v>7920</v>
      </c>
      <c r="F115" s="2">
        <f>ROUND(E115*VLOOKUP($B$10,总产出!$T$4:$U$14,2,FALSE),0)</f>
        <v>792</v>
      </c>
      <c r="G115" s="2">
        <f t="shared" si="8"/>
        <v>35</v>
      </c>
      <c r="H115" s="2">
        <f t="shared" si="9"/>
        <v>845</v>
      </c>
      <c r="I115" s="2" t="b" cm="1">
        <f t="array" ref="I115">IF(I114=0,ROUND(IF(SUM(mission!$M$64:$M$78)&gt;=chest!$E$33,INDEX(chest!$F$33:$F$37,MATCH(I$25,chest!$D$33:$D$37,0)),0)*(1+$L$4),0))</f>
        <v>0</v>
      </c>
      <c r="J115" s="2" cm="1">
        <f t="array" ref="J115">IF(J114=0,ROUND(IF(SUM(mission!$M$64:$M$78)&gt;=chest!$E$34,INDEX(chest!$F$33:$F$37,MATCH(J$25,chest!$D$33:$D$37,0)),0)*(1+$L$4),0))</f>
        <v>35</v>
      </c>
      <c r="K115" s="2" cm="1">
        <f t="array" ref="K115">IF(K114=0,ROUND(IF(SUM(mission!$M$64:$M$78)&gt;=chest!$E$35,INDEX(chest!$F$33:$F$37,MATCH(K$25,chest!$D$33:$D$37,0)),0)*(1+$L$4),0))</f>
        <v>0</v>
      </c>
      <c r="L115" s="2" cm="1">
        <f t="array" ref="L115">IF(L114=0,ROUND(IF(SUM(mission!$M$64:$M$78)&gt;=chest!$E$36,INDEX(chest!$F$33:$F$37,MATCH(L$25,chest!$D$33:$D$37,0)),0)*(1+$L$4),0))</f>
        <v>0</v>
      </c>
      <c r="M115" s="2" cm="1">
        <f t="array" ref="M115">IF(M114=0,ROUND(IF(SUM(mission!$M$64:$M$78)&gt;=chest!$E$37,INDEX(chest!$F$33:$F$37,MATCH(M$25,chest!$D$33:$D$37,0)),0)*(1+$L$4),0))</f>
        <v>0</v>
      </c>
      <c r="N115" s="2"/>
      <c r="O115" s="2"/>
      <c r="P115" s="2"/>
    </row>
    <row r="116" s="10" customFormat="1" ht="18" customHeight="1" spans="2:16">
      <c r="B116" s="10">
        <v>91</v>
      </c>
      <c r="C116" s="10">
        <f t="shared" si="6"/>
        <v>91000</v>
      </c>
      <c r="D116" s="10">
        <f>ROUND($C$8*$C$5+$C$8*$C$4*(1-$L$5),0)</f>
        <v>88</v>
      </c>
      <c r="E116" s="10">
        <f t="shared" si="7"/>
        <v>8008</v>
      </c>
      <c r="F116" s="10">
        <f>ROUND(E116*VLOOKUP($B$10,总产出!$T$4:$U$14,2,FALSE),0)</f>
        <v>801</v>
      </c>
      <c r="G116" s="10">
        <f t="shared" si="8"/>
        <v>0</v>
      </c>
      <c r="H116" s="10">
        <f t="shared" si="9"/>
        <v>845</v>
      </c>
      <c r="I116" s="10" t="b" cm="1">
        <f t="array" ref="I116">IF(I115=0,ROUND(IF(SUM(mission!$N$64:$N$78)&gt;=chest!$E$33,INDEX(chest!$F$33:$F$37,MATCH(I$25,chest!$D$33:$D$37,0)),0)*(1+$L$4),0))</f>
        <v>0</v>
      </c>
      <c r="J116" s="10" t="b" cm="1">
        <f t="array" ref="J116">IF(J115=0,ROUND(IF(SUM(mission!$N$64:$N$78)&gt;=chest!$E$34,INDEX(chest!$F$33:$F$37,MATCH(J$25,chest!$D$33:$D$37,0)),0)*(1+$L$4),0))</f>
        <v>0</v>
      </c>
      <c r="K116" s="10" cm="1">
        <f t="array" ref="K116">IF(K115=0,ROUND(IF(SUM(mission!$N$64:$N$78)&gt;=chest!$E$35,INDEX(chest!$F$33:$F$37,MATCH(K$25,chest!$D$33:$D$37,0)),0)*(1+$L$4),0))</f>
        <v>0</v>
      </c>
      <c r="L116" s="10" cm="1">
        <f t="array" ref="L116">IF(L115=0,ROUND(IF(SUM(mission!$N$64:$N$78)&gt;=chest!$E$36,INDEX(chest!$F$33:$F$37,MATCH(L$25,chest!$D$33:$D$37,0)),0)*(1+$L$4),0))</f>
        <v>0</v>
      </c>
      <c r="M116" s="10" cm="1">
        <f t="array" ref="M116">IF(M115=0,ROUND(IF(SUM(mission!$N$64:$N$78)&gt;=chest!$E$37,INDEX(chest!$F$33:$F$37,MATCH(M$25,chest!$D$33:$D$37,0)),0)*(1+$L$4),0))</f>
        <v>0</v>
      </c>
      <c r="N116" s="2"/>
      <c r="O116" s="2"/>
      <c r="P116" s="2"/>
    </row>
    <row r="117" s="1" customFormat="1" ht="18" customHeight="1" spans="2:16">
      <c r="B117" s="2">
        <v>92</v>
      </c>
      <c r="C117" s="2">
        <f t="shared" si="6"/>
        <v>92000</v>
      </c>
      <c r="D117" s="2">
        <f>ROUND($C$8*$C$5+$C$8*$C$4*(1-$L$5),0)</f>
        <v>88</v>
      </c>
      <c r="E117" s="2">
        <f t="shared" si="7"/>
        <v>8096</v>
      </c>
      <c r="F117" s="2">
        <f>ROUND(E117*VLOOKUP($B$10,总产出!$T$4:$U$14,2,FALSE),0)</f>
        <v>810</v>
      </c>
      <c r="G117" s="2">
        <f t="shared" si="8"/>
        <v>0</v>
      </c>
      <c r="H117" s="2">
        <f t="shared" si="9"/>
        <v>845</v>
      </c>
      <c r="I117" s="2" cm="1">
        <f t="array" ref="I117">ROUND(IF(SUM(mission!$H$64:$H$78)&gt;=chest!$E$33,INDEX(chest!$F$33:$F$37,MATCH(I$25,chest!$D$33:$D$37,0)),0)*(1+$L$4),0)</f>
        <v>0</v>
      </c>
      <c r="J117" s="2" cm="1">
        <f t="array" ref="J117">ROUND(IF(SUM(mission!$H$64:$H$78)&gt;=chest!$E$34,INDEX(chest!$F$33:$F$37,MATCH(J$25,chest!$D$33:$D$37,0)),0)*(1+$L$4),0)</f>
        <v>0</v>
      </c>
      <c r="K117" s="2" cm="1">
        <f t="array" ref="K117">ROUND(IF(SUM(mission!$H$64:$H$78)&gt;=chest!$E$35,INDEX(chest!$F$33:$F$37,MATCH(K$25,chest!$D$33:$D$37,0)),0)*(1+$L$4),0)</f>
        <v>0</v>
      </c>
      <c r="L117" s="2" cm="1">
        <f t="array" ref="L117">ROUND(IF(SUM(mission!$H$64:$H$78)&gt;=chest!$E$36,INDEX(chest!$F$33:$F$37,MATCH(L$25,chest!$D$33:$D$37,0)),0)*(1+$L$4),0)</f>
        <v>0</v>
      </c>
      <c r="M117" s="2" cm="1">
        <f t="array" ref="M117">ROUND(IF(SUM(mission!$H$64:$H$78)&gt;=chest!$E$37,INDEX(chest!$F$33:$F$37,MATCH(M$25,chest!$D$33:$D$37,0)),0)*(1+$L$4),0)</f>
        <v>0</v>
      </c>
      <c r="N117" s="2"/>
      <c r="O117" s="2"/>
      <c r="P117" s="2"/>
    </row>
    <row r="118" s="1" customFormat="1" ht="18" customHeight="1" spans="2:16">
      <c r="B118" s="2">
        <v>93</v>
      </c>
      <c r="C118" s="2">
        <f t="shared" si="6"/>
        <v>93000</v>
      </c>
      <c r="D118" s="2">
        <f>ROUND($C$8*$C$5+$C$8*$C$4*(1-$L$5),0)</f>
        <v>88</v>
      </c>
      <c r="E118" s="2">
        <f t="shared" si="7"/>
        <v>8184</v>
      </c>
      <c r="F118" s="2">
        <f>ROUND(E118*VLOOKUP($B$10,总产出!$T$4:$U$14,2,FALSE),0)</f>
        <v>818</v>
      </c>
      <c r="G118" s="2">
        <f t="shared" si="8"/>
        <v>0</v>
      </c>
      <c r="H118" s="2">
        <f t="shared" si="9"/>
        <v>845</v>
      </c>
      <c r="I118" s="2" cm="1">
        <f t="array" ref="I118">IF(I117=0,ROUND(IF(SUM(mission!$I$64:$I$78)&gt;=chest!$E$33,INDEX(chest!$F$33:$F$37,MATCH(I$25,chest!$D$33:$D$37,0)),0)*(1+$L$4),0))</f>
        <v>0</v>
      </c>
      <c r="J118" s="2" cm="1">
        <f t="array" ref="J118">IF(J117=0,ROUND(IF(SUM(mission!$I$64:$I$78)&gt;=chest!$E$34,INDEX(chest!$F$33:$F$37,MATCH(J$25,chest!$D$33:$D$37,0)),0)*(1+$L$4),0))</f>
        <v>0</v>
      </c>
      <c r="K118" s="2" cm="1">
        <f t="array" ref="K118">IF(K117=0,ROUND(IF(SUM(mission!$I$64:$I$78)&gt;=chest!$E$35,INDEX(chest!$F$33:$F$37,MATCH(K$25,chest!$D$33:$D$37,0)),0)*(1+$L$4),0))</f>
        <v>0</v>
      </c>
      <c r="L118" s="2" cm="1">
        <f t="array" ref="L118">IF(L117=0,ROUND(IF(SUM(mission!$I$64:$I$78)&gt;=chest!$E$36,INDEX(chest!$F$33:$F$37,MATCH(L$25,chest!$D$33:$D$37,0)),0)*(1+$L$4),0))</f>
        <v>0</v>
      </c>
      <c r="M118" s="2" cm="1">
        <f t="array" ref="M118">IF(M117=0,ROUND(IF(SUM(mission!$I$64:$I$78)&gt;=chest!$E$37,INDEX(chest!$F$33:$F$37,MATCH(M$25,chest!$D$33:$D$37,0)),0)*(1+$L$4),0))</f>
        <v>0</v>
      </c>
      <c r="N118" s="2"/>
      <c r="O118" s="2"/>
      <c r="P118" s="2"/>
    </row>
    <row r="119" s="1" customFormat="1" ht="18" customHeight="1" spans="2:16">
      <c r="B119" s="2">
        <v>94</v>
      </c>
      <c r="C119" s="2">
        <f t="shared" si="6"/>
        <v>94000</v>
      </c>
      <c r="D119" s="2">
        <f>ROUND($C$8*$C$5+$C$8*$C$4*(1-$L$5),0)</f>
        <v>88</v>
      </c>
      <c r="E119" s="2">
        <f t="shared" si="7"/>
        <v>8272</v>
      </c>
      <c r="F119" s="2">
        <f>ROUND(E119*VLOOKUP($B$10,总产出!$T$4:$U$14,2,FALSE),0)</f>
        <v>827</v>
      </c>
      <c r="G119" s="2">
        <f t="shared" si="8"/>
        <v>30</v>
      </c>
      <c r="H119" s="2">
        <f t="shared" si="9"/>
        <v>875</v>
      </c>
      <c r="I119" s="2" cm="1">
        <f t="array" ref="I119">IF(I118=0,ROUND(IF(SUM(mission!$J$64:$J$78)&gt;=chest!$E$33,INDEX(chest!$F$33:$F$37,MATCH(I$25,chest!$D$33:$D$37,0)),0)*(1+$L$4),0))</f>
        <v>30</v>
      </c>
      <c r="J119" s="2" cm="1">
        <f t="array" ref="J119">IF(J118=0,ROUND(IF(SUM(mission!$J$64:$J$78)&gt;=chest!$E$34,INDEX(chest!$F$33:$F$37,MATCH(J$25,chest!$D$33:$D$37,0)),0)*(1+$L$4),0))</f>
        <v>0</v>
      </c>
      <c r="K119" s="2" cm="1">
        <f t="array" ref="K119">IF(K118=0,ROUND(IF(SUM(mission!$J$64:$J$78)&gt;=chest!$E$35,INDEX(chest!$F$33:$F$37,MATCH(K$25,chest!$D$33:$D$37,0)),0)*(1+$L$4),0))</f>
        <v>0</v>
      </c>
      <c r="L119" s="2" cm="1">
        <f t="array" ref="L119">IF(L118=0,ROUND(IF(SUM(mission!$J$64:$J$78)&gt;=chest!$E$36,INDEX(chest!$F$33:$F$37,MATCH(L$25,chest!$D$33:$D$37,0)),0)*(1+$L$4),0))</f>
        <v>0</v>
      </c>
      <c r="M119" s="2" cm="1">
        <f t="array" ref="M119">IF(M118=0,ROUND(IF(SUM(mission!$J$64:$J$78)&gt;=chest!$E$37,INDEX(chest!$F$33:$F$37,MATCH(M$25,chest!$D$33:$D$37,0)),0)*(1+$L$4),0))</f>
        <v>0</v>
      </c>
      <c r="N119" s="2"/>
      <c r="O119" s="2"/>
      <c r="P119" s="2"/>
    </row>
    <row r="120" s="1" customFormat="1" ht="18" customHeight="1" spans="2:16">
      <c r="B120" s="2">
        <v>95</v>
      </c>
      <c r="C120" s="2">
        <f t="shared" si="6"/>
        <v>95000</v>
      </c>
      <c r="D120" s="2">
        <f>ROUND($C$8*$C$5+$C$8*$C$4*(1-$L$5),0)</f>
        <v>88</v>
      </c>
      <c r="E120" s="2">
        <f t="shared" si="7"/>
        <v>8360</v>
      </c>
      <c r="F120" s="2">
        <f>ROUND(E120*VLOOKUP($B$10,总产出!$T$4:$U$14,2,FALSE),0)</f>
        <v>836</v>
      </c>
      <c r="G120" s="2">
        <f t="shared" si="8"/>
        <v>0</v>
      </c>
      <c r="H120" s="2">
        <f t="shared" si="9"/>
        <v>875</v>
      </c>
      <c r="I120" s="2" t="b" cm="1">
        <f t="array" ref="I120">IF(I119=0,ROUND(IF(SUM(mission!$K$64:$K$78)&gt;=chest!$E$33,INDEX(chest!$F$33:$F$37,MATCH(I$25,chest!$D$33:$D$37,0)),0)*(1+$L$4),0))</f>
        <v>0</v>
      </c>
      <c r="J120" s="2" cm="1">
        <f t="array" ref="J120">IF(J119=0,ROUND(IF(SUM(mission!$K$64:$K$78)&gt;=chest!$E$34,INDEX(chest!$F$33:$F$37,MATCH(J$25,chest!$D$33:$D$37,0)),0)*(1+$L$4),0))</f>
        <v>0</v>
      </c>
      <c r="K120" s="2" cm="1">
        <f t="array" ref="K120">IF(K119=0,ROUND(IF(SUM(mission!$K$64:$K$78)&gt;=chest!$E$35,INDEX(chest!$F$33:$F$37,MATCH(K$25,chest!$D$33:$D$37,0)),0)*(1+$L$4),0))</f>
        <v>0</v>
      </c>
      <c r="L120" s="2" cm="1">
        <f t="array" ref="L120">IF(L119=0,ROUND(IF(SUM(mission!$K$64:$K$78)&gt;=chest!$E$36,INDEX(chest!$F$33:$F$37,MATCH(L$25,chest!$D$33:$D$37,0)),0)*(1+$L$4),0))</f>
        <v>0</v>
      </c>
      <c r="M120" s="2" cm="1">
        <f t="array" ref="M120">IF(M119=0,ROUND(IF(SUM(mission!$K$64:$K$78)&gt;=chest!$E$37,INDEX(chest!$F$33:$F$37,MATCH(M$25,chest!$D$33:$D$37,0)),0)*(1+$L$4),0))</f>
        <v>0</v>
      </c>
      <c r="N120" s="2"/>
      <c r="O120" s="2"/>
      <c r="P120" s="2"/>
    </row>
    <row r="121" s="1" customFormat="1" ht="18" customHeight="1" spans="2:16">
      <c r="B121" s="2">
        <v>96</v>
      </c>
      <c r="C121" s="2">
        <f t="shared" si="6"/>
        <v>96000</v>
      </c>
      <c r="D121" s="2">
        <f>ROUND($C$8*$C$5+$C$8*$C$4*(1-$L$5),0)</f>
        <v>88</v>
      </c>
      <c r="E121" s="2">
        <f t="shared" si="7"/>
        <v>8448</v>
      </c>
      <c r="F121" s="2">
        <f>ROUND(E121*VLOOKUP($B$10,总产出!$T$4:$U$14,2,FALSE),0)</f>
        <v>845</v>
      </c>
      <c r="G121" s="2">
        <f t="shared" si="8"/>
        <v>0</v>
      </c>
      <c r="H121" s="2">
        <f t="shared" si="9"/>
        <v>875</v>
      </c>
      <c r="I121" s="2" t="b" cm="1">
        <f t="array" ref="I121">IF(I120=0,ROUND(IF(SUM(mission!$L$64:$L$78)&gt;=chest!$E$33,INDEX(chest!$F$33:$F$37,MATCH(I$25,chest!$D$33:$D$37,0)),0)*(1+$L$4),0))</f>
        <v>0</v>
      </c>
      <c r="J121" s="2" cm="1">
        <f t="array" ref="J121">IF(J120=0,ROUND(IF(SUM(mission!$L$64:$L$78)&gt;=chest!$E$34,INDEX(chest!$F$33:$F$37,MATCH(J$25,chest!$D$33:$D$37,0)),0)*(1+$L$4),0))</f>
        <v>0</v>
      </c>
      <c r="K121" s="2" cm="1">
        <f t="array" ref="K121">IF(K120=0,ROUND(IF(SUM(mission!$L$64:$L$78)&gt;=chest!$E$35,INDEX(chest!$F$33:$F$37,MATCH(K$25,chest!$D$33:$D$37,0)),0)*(1+$L$4),0))</f>
        <v>0</v>
      </c>
      <c r="L121" s="2" cm="1">
        <f t="array" ref="L121">IF(L120=0,ROUND(IF(SUM(mission!$L$64:$L$78)&gt;=chest!$E$36,INDEX(chest!$F$33:$F$37,MATCH(L$25,chest!$D$33:$D$37,0)),0)*(1+$L$4),0))</f>
        <v>0</v>
      </c>
      <c r="M121" s="2" cm="1">
        <f t="array" ref="M121">IF(M120=0,ROUND(IF(SUM(mission!$L$64:$L$78)&gt;=chest!$E$37,INDEX(chest!$F$33:$F$37,MATCH(M$25,chest!$D$33:$D$37,0)),0)*(1+$L$4),0))</f>
        <v>0</v>
      </c>
      <c r="N121" s="2"/>
      <c r="O121" s="2"/>
      <c r="P121" s="2"/>
    </row>
    <row r="122" s="1" customFormat="1" ht="18" customHeight="1" spans="2:16">
      <c r="B122" s="2">
        <v>97</v>
      </c>
      <c r="C122" s="2">
        <f t="shared" si="6"/>
        <v>97000</v>
      </c>
      <c r="D122" s="2">
        <f>ROUND($C$8*$C$5+$C$8*$C$4*(1-$L$5),0)</f>
        <v>88</v>
      </c>
      <c r="E122" s="2">
        <f t="shared" si="7"/>
        <v>8536</v>
      </c>
      <c r="F122" s="2">
        <f>ROUND(E122*VLOOKUP($B$10,总产出!$T$4:$U$14,2,FALSE),0)</f>
        <v>854</v>
      </c>
      <c r="G122" s="2">
        <f t="shared" si="8"/>
        <v>35</v>
      </c>
      <c r="H122" s="2">
        <f t="shared" si="9"/>
        <v>910</v>
      </c>
      <c r="I122" s="2" t="b" cm="1">
        <f t="array" ref="I122">IF(I121=0,ROUND(IF(SUM(mission!$M$64:$M$78)&gt;=chest!$E$33,INDEX(chest!$F$33:$F$37,MATCH(I$25,chest!$D$33:$D$37,0)),0)*(1+$L$4),0))</f>
        <v>0</v>
      </c>
      <c r="J122" s="2" cm="1">
        <f t="array" ref="J122">IF(J121=0,ROUND(IF(SUM(mission!$M$64:$M$78)&gt;=chest!$E$34,INDEX(chest!$F$33:$F$37,MATCH(J$25,chest!$D$33:$D$37,0)),0)*(1+$L$4),0))</f>
        <v>35</v>
      </c>
      <c r="K122" s="2" cm="1">
        <f t="array" ref="K122">IF(K121=0,ROUND(IF(SUM(mission!$M$64:$M$78)&gt;=chest!$E$35,INDEX(chest!$F$33:$F$37,MATCH(K$25,chest!$D$33:$D$37,0)),0)*(1+$L$4),0))</f>
        <v>0</v>
      </c>
      <c r="L122" s="2" cm="1">
        <f t="array" ref="L122">IF(L121=0,ROUND(IF(SUM(mission!$M$64:$M$78)&gt;=chest!$E$36,INDEX(chest!$F$33:$F$37,MATCH(L$25,chest!$D$33:$D$37,0)),0)*(1+$L$4),0))</f>
        <v>0</v>
      </c>
      <c r="M122" s="2" cm="1">
        <f t="array" ref="M122">IF(M121=0,ROUND(IF(SUM(mission!$M$64:$M$78)&gt;=chest!$E$37,INDEX(chest!$F$33:$F$37,MATCH(M$25,chest!$D$33:$D$37,0)),0)*(1+$L$4),0))</f>
        <v>0</v>
      </c>
      <c r="N122" s="2"/>
      <c r="O122" s="2"/>
      <c r="P122" s="2"/>
    </row>
    <row r="123" s="10" customFormat="1" ht="18" customHeight="1" spans="2:16">
      <c r="B123" s="10">
        <v>98</v>
      </c>
      <c r="C123" s="10">
        <f t="shared" si="6"/>
        <v>98000</v>
      </c>
      <c r="D123" s="10">
        <f>ROUND($C$8*$C$5+$C$8*$C$4*(1-$L$5),0)</f>
        <v>88</v>
      </c>
      <c r="E123" s="10">
        <f t="shared" si="7"/>
        <v>8624</v>
      </c>
      <c r="F123" s="10">
        <f>ROUND(E123*VLOOKUP($B$10,总产出!$T$4:$U$14,2,FALSE),0)</f>
        <v>862</v>
      </c>
      <c r="G123" s="10">
        <f t="shared" si="8"/>
        <v>0</v>
      </c>
      <c r="H123" s="10">
        <f t="shared" si="9"/>
        <v>910</v>
      </c>
      <c r="I123" s="10" t="b" cm="1">
        <f t="array" ref="I123">IF(I122=0,ROUND(IF(SUM(mission!$N$64:$N$78)&gt;=chest!$E$33,INDEX(chest!$F$33:$F$37,MATCH(I$25,chest!$D$33:$D$37,0)),0)*(1+$L$4),0))</f>
        <v>0</v>
      </c>
      <c r="J123" s="10" t="b" cm="1">
        <f t="array" ref="J123">IF(J122=0,ROUND(IF(SUM(mission!$N$64:$N$78)&gt;=chest!$E$34,INDEX(chest!$F$33:$F$37,MATCH(J$25,chest!$D$33:$D$37,0)),0)*(1+$L$4),0))</f>
        <v>0</v>
      </c>
      <c r="K123" s="10" cm="1">
        <f t="array" ref="K123">IF(K122=0,ROUND(IF(SUM(mission!$N$64:$N$78)&gt;=chest!$E$35,INDEX(chest!$F$33:$F$37,MATCH(K$25,chest!$D$33:$D$37,0)),0)*(1+$L$4),0))</f>
        <v>0</v>
      </c>
      <c r="L123" s="10" cm="1">
        <f t="array" ref="L123">IF(L122=0,ROUND(IF(SUM(mission!$N$64:$N$78)&gt;=chest!$E$36,INDEX(chest!$F$33:$F$37,MATCH(L$25,chest!$D$33:$D$37,0)),0)*(1+$L$4),0))</f>
        <v>0</v>
      </c>
      <c r="M123" s="10" cm="1">
        <f t="array" ref="M123">IF(M122=0,ROUND(IF(SUM(mission!$N$64:$N$78)&gt;=chest!$E$37,INDEX(chest!$F$33:$F$37,MATCH(M$25,chest!$D$33:$D$37,0)),0)*(1+$L$4),0))</f>
        <v>0</v>
      </c>
      <c r="N123" s="2"/>
      <c r="O123" s="2"/>
      <c r="P123" s="2"/>
    </row>
    <row r="124" s="1" customFormat="1" ht="18" customHeight="1" spans="2:16">
      <c r="B124" s="2">
        <v>99</v>
      </c>
      <c r="C124" s="2">
        <f t="shared" si="6"/>
        <v>99000</v>
      </c>
      <c r="D124" s="2">
        <f>ROUND($C$8*$C$5+$C$8*$C$4*(1-$L$5),0)</f>
        <v>88</v>
      </c>
      <c r="E124" s="2">
        <f t="shared" si="7"/>
        <v>8712</v>
      </c>
      <c r="F124" s="2">
        <f>ROUND(E124*VLOOKUP($B$10,总产出!$T$4:$U$14,2,FALSE),0)</f>
        <v>871</v>
      </c>
      <c r="G124" s="2">
        <f t="shared" si="8"/>
        <v>0</v>
      </c>
      <c r="H124" s="2">
        <f t="shared" si="9"/>
        <v>910</v>
      </c>
      <c r="I124" s="2" cm="1">
        <f t="array" ref="I124">ROUND(IF(SUM(mission!$H$64:$H$78)&gt;=chest!$E$33,INDEX(chest!$F$33:$F$37,MATCH(I$25,chest!$D$33:$D$37,0)),0)*(1+$L$4),0)</f>
        <v>0</v>
      </c>
      <c r="J124" s="2" cm="1">
        <f t="array" ref="J124">ROUND(IF(SUM(mission!$H$64:$H$78)&gt;=chest!$E$34,INDEX(chest!$F$33:$F$37,MATCH(J$25,chest!$D$33:$D$37,0)),0)*(1+$L$4),0)</f>
        <v>0</v>
      </c>
      <c r="K124" s="2" cm="1">
        <f t="array" ref="K124">ROUND(IF(SUM(mission!$H$64:$H$78)&gt;=chest!$E$35,INDEX(chest!$F$33:$F$37,MATCH(K$25,chest!$D$33:$D$37,0)),0)*(1+$L$4),0)</f>
        <v>0</v>
      </c>
      <c r="L124" s="2" cm="1">
        <f t="array" ref="L124">ROUND(IF(SUM(mission!$H$64:$H$78)&gt;=chest!$E$36,INDEX(chest!$F$33:$F$37,MATCH(L$25,chest!$D$33:$D$37,0)),0)*(1+$L$4),0)</f>
        <v>0</v>
      </c>
      <c r="M124" s="2" cm="1">
        <f t="array" ref="M124">ROUND(IF(SUM(mission!$H$64:$H$78)&gt;=chest!$E$37,INDEX(chest!$F$33:$F$37,MATCH(M$25,chest!$D$33:$D$37,0)),0)*(1+$L$4),0)</f>
        <v>0</v>
      </c>
      <c r="N124" s="2"/>
      <c r="O124" s="2"/>
      <c r="P124" s="2"/>
    </row>
    <row r="125" s="1" customFormat="1" ht="18" customHeight="1" spans="2:16">
      <c r="B125" s="2">
        <v>100</v>
      </c>
      <c r="C125" s="2">
        <f t="shared" si="6"/>
        <v>100000</v>
      </c>
      <c r="D125" s="2">
        <f>ROUND($C$8*$C$5+$C$8*$C$4*(1-$L$5),0)</f>
        <v>88</v>
      </c>
      <c r="E125" s="2">
        <f t="shared" si="7"/>
        <v>8800</v>
      </c>
      <c r="F125" s="2">
        <f>ROUND(E125*VLOOKUP($B$10,总产出!$T$4:$U$14,2,FALSE),0)</f>
        <v>880</v>
      </c>
      <c r="G125" s="2">
        <f t="shared" si="8"/>
        <v>0</v>
      </c>
      <c r="H125" s="2">
        <f t="shared" si="9"/>
        <v>910</v>
      </c>
      <c r="I125" s="2" cm="1">
        <f t="array" ref="I125">IF(I124=0,ROUND(IF(SUM(mission!$I$64:$I$78)&gt;=chest!$E$33,INDEX(chest!$F$33:$F$37,MATCH(I$25,chest!$D$33:$D$37,0)),0)*(1+$L$4),0))</f>
        <v>0</v>
      </c>
      <c r="J125" s="2" cm="1">
        <f t="array" ref="J125">IF(J124=0,ROUND(IF(SUM(mission!$I$64:$I$78)&gt;=chest!$E$34,INDEX(chest!$F$33:$F$37,MATCH(J$25,chest!$D$33:$D$37,0)),0)*(1+$L$4),0))</f>
        <v>0</v>
      </c>
      <c r="K125" s="2" cm="1">
        <f t="array" ref="K125">IF(K124=0,ROUND(IF(SUM(mission!$I$64:$I$78)&gt;=chest!$E$35,INDEX(chest!$F$33:$F$37,MATCH(K$25,chest!$D$33:$D$37,0)),0)*(1+$L$4),0))</f>
        <v>0</v>
      </c>
      <c r="L125" s="2" cm="1">
        <f t="array" ref="L125">IF(L124=0,ROUND(IF(SUM(mission!$I$64:$I$78)&gt;=chest!$E$36,INDEX(chest!$F$33:$F$37,MATCH(L$25,chest!$D$33:$D$37,0)),0)*(1+$L$4),0))</f>
        <v>0</v>
      </c>
      <c r="M125" s="2" cm="1">
        <f t="array" ref="M125">IF(M124=0,ROUND(IF(SUM(mission!$I$64:$I$78)&gt;=chest!$E$37,INDEX(chest!$F$33:$F$37,MATCH(M$25,chest!$D$33:$D$37,0)),0)*(1+$L$4),0))</f>
        <v>0</v>
      </c>
      <c r="N125" s="2"/>
      <c r="O125" s="2"/>
      <c r="P125" s="2"/>
    </row>
    <row r="126" spans="13:15">
      <c r="M126" s="17"/>
      <c r="N126" s="17"/>
      <c r="O126" s="17"/>
    </row>
    <row r="127" spans="13:15">
      <c r="M127" s="17"/>
      <c r="N127" s="17"/>
      <c r="O127" s="17"/>
    </row>
  </sheetData>
  <mergeCells count="5">
    <mergeCell ref="B2:C3"/>
    <mergeCell ref="H2:I3"/>
    <mergeCell ref="E2:F3"/>
    <mergeCell ref="K2:L3"/>
    <mergeCell ref="H4:I5"/>
  </mergeCells>
  <pageMargins left="0.7" right="0.7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K125"/>
  <sheetViews>
    <sheetView workbookViewId="0">
      <pane ySplit="25" topLeftCell="A26" activePane="bottomLeft" state="frozen"/>
      <selection/>
      <selection pane="bottomLeft" activeCell="L15" sqref="L15"/>
    </sheetView>
  </sheetViews>
  <sheetFormatPr defaultColWidth="9" defaultRowHeight="13.5"/>
  <cols>
    <col min="2" max="8" width="18.625" customWidth="1"/>
    <col min="9" max="63" width="15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K4" s="9"/>
      <c r="L4" s="9"/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8"/>
      <c r="I5" s="8"/>
      <c r="K5" s="9" t="s">
        <v>16</v>
      </c>
      <c r="L5" s="7">
        <f>总产出!L5</f>
        <v>0.990909090909091</v>
      </c>
    </row>
    <row r="6" s="1" customFormat="1" ht="18" customHeight="1" spans="2:6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30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63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554</v>
      </c>
      <c r="H25" s="9" t="s">
        <v>555</v>
      </c>
      <c r="I25" s="9" t="s">
        <v>556</v>
      </c>
      <c r="J25" s="9" t="s">
        <v>557</v>
      </c>
      <c r="K25" s="9" t="s">
        <v>558</v>
      </c>
      <c r="L25" s="9" t="s">
        <v>559</v>
      </c>
      <c r="M25" s="9" t="s">
        <v>560</v>
      </c>
      <c r="N25" s="9" t="s">
        <v>561</v>
      </c>
      <c r="O25" s="9" t="s">
        <v>562</v>
      </c>
      <c r="P25" s="9" t="s">
        <v>563</v>
      </c>
      <c r="Q25" s="9" t="s">
        <v>564</v>
      </c>
      <c r="R25" s="9" t="s">
        <v>565</v>
      </c>
      <c r="S25" s="9" t="s">
        <v>566</v>
      </c>
      <c r="T25" s="9" t="s">
        <v>567</v>
      </c>
      <c r="U25" s="9" t="s">
        <v>568</v>
      </c>
      <c r="V25" s="9" t="s">
        <v>569</v>
      </c>
      <c r="W25" s="9" t="s">
        <v>570</v>
      </c>
      <c r="X25" s="9" t="s">
        <v>571</v>
      </c>
      <c r="Y25" s="9" t="s">
        <v>572</v>
      </c>
      <c r="Z25" s="9" t="s">
        <v>573</v>
      </c>
      <c r="AA25" s="9" t="s">
        <v>574</v>
      </c>
      <c r="AB25" s="9" t="s">
        <v>575</v>
      </c>
      <c r="AC25" s="9" t="s">
        <v>576</v>
      </c>
      <c r="AD25" s="9" t="s">
        <v>577</v>
      </c>
      <c r="AE25" s="9" t="s">
        <v>578</v>
      </c>
      <c r="AF25" s="9" t="s">
        <v>579</v>
      </c>
      <c r="AG25" s="9" t="s">
        <v>580</v>
      </c>
      <c r="AH25" s="9" t="s">
        <v>581</v>
      </c>
      <c r="AI25" s="9" t="s">
        <v>582</v>
      </c>
      <c r="AJ25" s="9" t="s">
        <v>583</v>
      </c>
      <c r="AK25" s="9" t="s">
        <v>584</v>
      </c>
      <c r="AL25" s="9" t="s">
        <v>585</v>
      </c>
      <c r="AM25" s="9" t="s">
        <v>586</v>
      </c>
      <c r="AN25" s="9" t="s">
        <v>587</v>
      </c>
      <c r="AO25" s="9" t="s">
        <v>588</v>
      </c>
      <c r="AP25" s="9" t="s">
        <v>589</v>
      </c>
      <c r="AQ25" s="9" t="s">
        <v>590</v>
      </c>
      <c r="AR25" s="9" t="s">
        <v>591</v>
      </c>
      <c r="AS25" s="9" t="s">
        <v>592</v>
      </c>
      <c r="AT25" s="9" t="s">
        <v>593</v>
      </c>
      <c r="AU25" s="9" t="s">
        <v>594</v>
      </c>
      <c r="AV25" s="9" t="s">
        <v>595</v>
      </c>
      <c r="AW25" s="9" t="s">
        <v>596</v>
      </c>
      <c r="AX25" s="9" t="s">
        <v>597</v>
      </c>
      <c r="AY25" s="9" t="s">
        <v>598</v>
      </c>
      <c r="AZ25" s="9" t="s">
        <v>599</v>
      </c>
      <c r="BA25" s="9" t="s">
        <v>600</v>
      </c>
      <c r="BB25" s="9" t="s">
        <v>601</v>
      </c>
      <c r="BC25" s="9" t="s">
        <v>602</v>
      </c>
      <c r="BD25" s="9" t="s">
        <v>603</v>
      </c>
      <c r="BE25" s="9" t="s">
        <v>604</v>
      </c>
      <c r="BF25" s="9" t="s">
        <v>605</v>
      </c>
      <c r="BG25" s="9" t="s">
        <v>606</v>
      </c>
      <c r="BH25" s="9" t="s">
        <v>607</v>
      </c>
      <c r="BI25" s="9" t="s">
        <v>608</v>
      </c>
      <c r="BJ25" s="9" t="s">
        <v>609</v>
      </c>
      <c r="BK25" s="9" t="s">
        <v>610</v>
      </c>
    </row>
    <row r="26" s="2" customFormat="1" ht="18" customHeight="1" spans="2:63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9</v>
      </c>
      <c r="G26" s="2">
        <f>SUM(I26:BK26)</f>
        <v>57</v>
      </c>
      <c r="H26" s="2">
        <f>G26</f>
        <v>57</v>
      </c>
      <c r="I26" s="2">
        <f>IF($B26&gt;=achievement!F$96,achievement!F$97,0)</f>
        <v>5</v>
      </c>
      <c r="J26" s="2">
        <f>IF($B26&gt;=achievement!G$96,achievement!G$97,0)</f>
        <v>0</v>
      </c>
      <c r="K26" s="2">
        <f>IF($B26&gt;=achievement!H$96,achievement!H$97,0)</f>
        <v>0</v>
      </c>
      <c r="L26" s="2">
        <f>IF($B26&gt;=achievement!I$96,achievement!I$97,0)</f>
        <v>0</v>
      </c>
      <c r="M26" s="2">
        <f>IF($B26&gt;=achievement!J$96,achievement!J$97,0)</f>
        <v>0</v>
      </c>
      <c r="N26" s="2">
        <f>IF($B26&gt;=achievement!K$96,achievement!K$97,0)</f>
        <v>0</v>
      </c>
      <c r="O26" s="2">
        <f>IF($B26&gt;=achievement!L$96,achievement!L$97,0)</f>
        <v>0</v>
      </c>
      <c r="P26" s="2">
        <f>IF(achievement!M$96&gt;=1,achievement!M$97,0)</f>
        <v>2</v>
      </c>
      <c r="Q26" s="2">
        <f>IF(achievement!N$96&gt;=1,achievement!N$97,0)</f>
        <v>0</v>
      </c>
      <c r="R26" s="2">
        <f>IF(achievement!O$96&gt;=1,achievement!O$97,0)</f>
        <v>0</v>
      </c>
      <c r="S26" s="2">
        <f>IF(achievement!P$96&gt;=1,achievement!P$97,0)</f>
        <v>0</v>
      </c>
      <c r="T26" s="2">
        <f>IF(achievement!Q$96&gt;=1,achievement!Q$97,0)</f>
        <v>0</v>
      </c>
      <c r="U26" s="2">
        <f>IF(achievement!R$96&gt;=1,achievement!R$97,0)</f>
        <v>0</v>
      </c>
      <c r="V26" s="2">
        <f>IF(achievement!S$96&gt;=1,achievement!S$97,0)</f>
        <v>0</v>
      </c>
      <c r="W26" s="2">
        <f>IF(achievement!T$96&gt;=1,achievement!T$97,0)</f>
        <v>0</v>
      </c>
      <c r="X26" s="2">
        <f>IF(achievement!U$96&gt;=1,achievement!U$97,0)</f>
        <v>0</v>
      </c>
      <c r="Y26" s="2">
        <f>IF(achievement!V$96&gt;=1,achievement!V$97,0)</f>
        <v>0</v>
      </c>
      <c r="Z26" s="2">
        <f>IF(achievement!W$96&gt;=1,achievement!W$97,0)</f>
        <v>0</v>
      </c>
      <c r="AA26" s="2">
        <f>IF(achievement!X$96&gt;=1,achievement!X$97,0)</f>
        <v>0</v>
      </c>
      <c r="AB26" s="2">
        <f>IF(achievement!Y$96&gt;=1,achievement!Y$97,0)</f>
        <v>0</v>
      </c>
      <c r="AC26" s="2">
        <f>IF(achievement!Z$96&gt;=1,achievement!Z$97,0)</f>
        <v>0</v>
      </c>
      <c r="AD26" s="2">
        <f>IF(achievement!AA$96&gt;=1,achievement!AA$97,0)</f>
        <v>0</v>
      </c>
      <c r="AE26" s="2">
        <f>IF(achievement!AB$96&gt;=1,achievement!AB$97,0)</f>
        <v>0</v>
      </c>
      <c r="AF26" s="2">
        <f>IF(achievement!AC$96&gt;=1,achievement!AC$97,0)</f>
        <v>0</v>
      </c>
      <c r="AG26" s="2">
        <f>IF(achievement!AD$96&gt;=1,achievement!AD$97,0)</f>
        <v>0</v>
      </c>
      <c r="AH26" s="2">
        <f>IF(achievement!AE$96&gt;=1,achievement!AE$97,0)</f>
        <v>0</v>
      </c>
      <c r="AI26" s="2">
        <f>IF(achievement!AF$96&gt;=1,achievement!AF$97,0)</f>
        <v>0</v>
      </c>
      <c r="AJ26" s="2">
        <f>IF(achievement!AG$96&gt;=1,achievement!AG$97,0)</f>
        <v>0</v>
      </c>
      <c r="AK26" s="2">
        <f>IF(achievement!AH$96&gt;=1,achievement!AH$97,0)</f>
        <v>0</v>
      </c>
      <c r="AL26" s="2">
        <f>IF(achievement!AI$96&gt;=1,achievement!AI$97,0)</f>
        <v>0</v>
      </c>
      <c r="AM26" s="2">
        <f>IF(achievement!AJ$96&gt;=1,achievement!AJ$97,0)</f>
        <v>0</v>
      </c>
      <c r="AN26" s="2">
        <f>IF(achievement!AK$96&gt;=1,achievement!AK$97,0)</f>
        <v>0</v>
      </c>
      <c r="AO26" s="2">
        <f>IF(achievement!AL$96&gt;=1,achievement!AL$97,0)</f>
        <v>0</v>
      </c>
      <c r="AP26" s="2">
        <f>IF(achievement!AM$96&gt;=1,achievement!AM$97,0)</f>
        <v>0</v>
      </c>
      <c r="AQ26" s="2">
        <f>IF(achievement!AN$96&gt;=1,achievement!AN$97,0)</f>
        <v>0</v>
      </c>
      <c r="AR26" s="2">
        <f>IF(achievement!AO$96&gt;=1,achievement!AO$97,0)</f>
        <v>0</v>
      </c>
      <c r="AS26" s="2">
        <f>IF(achievement!AP$96&gt;=1,achievement!AP$97,0)</f>
        <v>0</v>
      </c>
      <c r="AT26" s="2">
        <f>IF(achievement!AQ$96&gt;=1,achievement!AQ$97,0)</f>
        <v>0</v>
      </c>
      <c r="AU26" s="2">
        <f>IF(achievement!AR$96&gt;=1,achievement!AR$97,0)</f>
        <v>0</v>
      </c>
      <c r="AV26" s="2">
        <f>IF(achievement!AS$96&gt;=1,achievement!AS$97,0)</f>
        <v>0</v>
      </c>
      <c r="AW26" s="2">
        <f>IF(achievement!AT$96&lt;=$C$8*$C$4,achievement!AT$97,0)</f>
        <v>50</v>
      </c>
      <c r="AX26" s="2">
        <f>IF(achievement!AU$96&lt;=$C$8*$C$4,achievement!AU$97,0)</f>
        <v>0</v>
      </c>
      <c r="AY26" s="2">
        <f>IF(achievement!AV$96&lt;=$C$8*$C$4,achievement!AV$97,0)</f>
        <v>0</v>
      </c>
      <c r="AZ26" s="2">
        <f>IF(achievement!AW$96&lt;=$C$8*$C$4,achievement!AW$97,0)</f>
        <v>0</v>
      </c>
      <c r="BA26" s="2">
        <f>IF(achievement!AX$96&lt;=$C$8*$C$4,achievement!AX$97,0)</f>
        <v>0</v>
      </c>
      <c r="BB26" s="2">
        <f>IF(achievement!AY$96&lt;=$C$8*$C$4,achievement!AY$97,0)</f>
        <v>0</v>
      </c>
      <c r="BC26" s="2">
        <f>IF(achievement!AZ$96&lt;=$C$8*$C$4,achievement!AZ$97,0)</f>
        <v>0</v>
      </c>
      <c r="BD26" s="2">
        <f>IF(achievement!BA$96&lt;=$C$8*$C$4,achievement!BA$97,0)</f>
        <v>0</v>
      </c>
      <c r="BE26" s="2">
        <f>IF(achievement!BB$96&lt;=$C$8*$C$4,achievement!BB$97,0)</f>
        <v>0</v>
      </c>
      <c r="BF26" s="2">
        <f>IF(achievement!BC$96&lt;=$C$8*$C$4,achievement!BC$97,0)</f>
        <v>0</v>
      </c>
      <c r="BG26" s="2">
        <f>IF(achievement!BD$96&lt;=$C$8*$C$4,achievement!BD$97,0)</f>
        <v>0</v>
      </c>
      <c r="BH26" s="2">
        <f>IF(achievement!BE$96&lt;=$C$8*$C$4,achievement!BE$97,0)</f>
        <v>0</v>
      </c>
      <c r="BI26" s="2">
        <f>IF(achievement!BF$96&lt;=$C$8*$C$4,achievement!BF$97,0)</f>
        <v>0</v>
      </c>
      <c r="BJ26" s="2">
        <f>IF(achievement!BG$96&lt;=$C$8*$C$4,achievement!BG$97,0)</f>
        <v>0</v>
      </c>
      <c r="BK26" s="2">
        <f>IF(achievement!BH$96&lt;=$C$8*$C$4,achievement!BH$97,0)</f>
        <v>0</v>
      </c>
    </row>
    <row r="27" s="2" customFormat="1" ht="18" customHeight="1" spans="2:63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18</v>
      </c>
      <c r="G27" s="2">
        <f t="shared" ref="G27:G58" si="2">SUM(I27:BK27)</f>
        <v>104</v>
      </c>
      <c r="H27" s="2">
        <f t="shared" ref="H27:H90" si="3">G27+H26</f>
        <v>161</v>
      </c>
      <c r="I27" s="2" t="b">
        <f>IF(I26=0,IF($B27&gt;=achievement!F$96,achievement!F$97,0))</f>
        <v>0</v>
      </c>
      <c r="J27" s="2">
        <f>IF(J26=0,IF($B27&gt;=achievement!G$96,achievement!G$97,0))</f>
        <v>0</v>
      </c>
      <c r="K27" s="2">
        <f>IF(K26=0,IF($B27&gt;=achievement!H$96,achievement!H$97,0))</f>
        <v>0</v>
      </c>
      <c r="L27" s="2">
        <f>IF(L26=0,IF($B27&gt;=achievement!I$96,achievement!I$97,0))</f>
        <v>0</v>
      </c>
      <c r="M27" s="2">
        <f>IF(M26=0,IF($B27&gt;=achievement!J$96,achievement!J$97,0))</f>
        <v>0</v>
      </c>
      <c r="N27" s="2">
        <f>IF(N26=0,IF($B27&gt;=achievement!K$96,achievement!K$97,0))</f>
        <v>0</v>
      </c>
      <c r="O27" s="2">
        <f>IF(O26=0,IF($B27&gt;=achievement!L$96,achievement!L$97,0))</f>
        <v>0</v>
      </c>
      <c r="P27" s="2" t="b">
        <f>IF(P26=0,IF(achievement!M$96*$B27&gt;=1,achievement!M$97,0))</f>
        <v>0</v>
      </c>
      <c r="Q27" s="2">
        <f>IF(Q26=0,IF(achievement!N$96*$B27&gt;=1,achievement!N$97,0))</f>
        <v>4</v>
      </c>
      <c r="R27" s="2">
        <f>IF(R26=0,IF(achievement!O$96*$B27&gt;=1,achievement!O$97,0))</f>
        <v>0</v>
      </c>
      <c r="S27" s="2">
        <f>IF(S26=0,IF(achievement!P$96*$B27&gt;=1,achievement!P$97,0))</f>
        <v>0</v>
      </c>
      <c r="T27" s="2">
        <f>IF(T26=0,IF(achievement!Q$96*$B27&gt;=1,achievement!Q$97,0))</f>
        <v>0</v>
      </c>
      <c r="U27" s="2">
        <f>IF(U26=0,IF(achievement!R$96*$B27&gt;=1,achievement!R$97,0))</f>
        <v>0</v>
      </c>
      <c r="V27" s="2">
        <f>IF(V26=0,IF(achievement!S$96*$B27&gt;=1,achievement!S$97,0))</f>
        <v>0</v>
      </c>
      <c r="W27" s="2">
        <f>IF(W26=0,IF(achievement!T$96*$B27&gt;=1,achievement!T$97,0))</f>
        <v>0</v>
      </c>
      <c r="X27" s="2">
        <f>IF(X26=0,IF(achievement!U$96*$B27&gt;=1,achievement!U$97,0))</f>
        <v>0</v>
      </c>
      <c r="Y27" s="2">
        <f>IF(Y26=0,IF(achievement!V$96*$B27&gt;=1,achievement!V$97,0))</f>
        <v>0</v>
      </c>
      <c r="Z27" s="2">
        <f>IF(Z26=0,IF(achievement!W$96*$B27&gt;=1,achievement!W$97,0))</f>
        <v>0</v>
      </c>
      <c r="AA27" s="2">
        <f>IF(AA26=0,IF(achievement!X$96*$B27&gt;=1,achievement!X$97,0))</f>
        <v>0</v>
      </c>
      <c r="AB27" s="2">
        <f>IF(AB26=0,IF(achievement!Y$96*$B27&gt;=1,achievement!Y$97,0))</f>
        <v>0</v>
      </c>
      <c r="AC27" s="2">
        <f>IF(AC26=0,IF(achievement!Z$96*$B27&gt;=1,achievement!Z$97,0))</f>
        <v>0</v>
      </c>
      <c r="AD27" s="2">
        <f>IF(AD26=0,IF(achievement!AA$96*$B27&gt;=1,achievement!AA$97,0))</f>
        <v>0</v>
      </c>
      <c r="AE27" s="2">
        <f>IF(AE26=0,IF(achievement!AB$96*$B27&gt;=1,achievement!AB$97,0))</f>
        <v>0</v>
      </c>
      <c r="AF27" s="2">
        <f>IF(AF26=0,IF(achievement!AC$96*$B27&gt;=1,achievement!AC$97,0))</f>
        <v>0</v>
      </c>
      <c r="AG27" s="2">
        <f>IF(AG26=0,IF(achievement!AD$96*$B27&gt;=1,achievement!AD$97,0))</f>
        <v>0</v>
      </c>
      <c r="AH27" s="2">
        <f>IF(AH26=0,IF(achievement!AE$96*$B27&gt;=1,achievement!AE$97,0))</f>
        <v>0</v>
      </c>
      <c r="AI27" s="2">
        <f>IF(AI26=0,IF(achievement!AF$96*$B27&gt;=1,achievement!AF$97,0))</f>
        <v>0</v>
      </c>
      <c r="AJ27" s="2">
        <f>IF(AJ26=0,IF(achievement!AG$96*$B27&gt;=1,achievement!AG$97,0))</f>
        <v>0</v>
      </c>
      <c r="AK27" s="2">
        <f>IF(AK26=0,IF(achievement!AH$96*$B27&gt;=1,achievement!AH$97,0))</f>
        <v>0</v>
      </c>
      <c r="AL27" s="2">
        <f>IF(AL26=0,IF(achievement!AI$96*$B27&gt;=1,achievement!AI$97,0))</f>
        <v>0</v>
      </c>
      <c r="AM27" s="2">
        <f>IF(AM26=0,IF(achievement!AJ$96*$B27&gt;=1,achievement!AJ$97,0))</f>
        <v>0</v>
      </c>
      <c r="AN27" s="2">
        <f>IF(AN26=0,IF(achievement!AK$96*$B27&gt;=1,achievement!AK$97,0))</f>
        <v>0</v>
      </c>
      <c r="AO27" s="2">
        <f>IF(AO26=0,IF(achievement!AL$96*$B27&gt;=1,achievement!AL$97,0))</f>
        <v>0</v>
      </c>
      <c r="AP27" s="2">
        <f>IF(AP26=0,IF(achievement!AM$96*$B27&gt;=1,achievement!AM$97,0))</f>
        <v>0</v>
      </c>
      <c r="AQ27" s="2">
        <f>IF(AQ26=0,IF(achievement!AN$96*$B27&gt;=1,achievement!AN$97,0))</f>
        <v>0</v>
      </c>
      <c r="AR27" s="2">
        <f>IF(AR26=0,IF(achievement!AO$96*$B27&gt;=1,achievement!AO$97,0))</f>
        <v>0</v>
      </c>
      <c r="AS27" s="2">
        <f>IF(AS26=0,IF(achievement!AP$96*$B27&gt;=1,achievement!AP$97,0))</f>
        <v>0</v>
      </c>
      <c r="AT27" s="2">
        <f>IF(AT26=0,IF(achievement!AQ$96*$B27&gt;=1,achievement!AQ$97,0))</f>
        <v>0</v>
      </c>
      <c r="AU27" s="2">
        <f>IF(AU26=0,IF(achievement!AR$96*$B27&gt;=1,achievement!AR$97,0))</f>
        <v>0</v>
      </c>
      <c r="AV27" s="2">
        <f>IF(AV26=0,IF(achievement!AS$96*$B27&gt;=1,achievement!AS$97,0))</f>
        <v>0</v>
      </c>
      <c r="BB27" s="2">
        <f>IF(BB26=0,IF(achievement!AY$96&lt;=$C$8*$C$4*(ROW()-25),achievement!AY$97,0))</f>
        <v>100</v>
      </c>
      <c r="BC27" s="2">
        <f>IF(BC26=0,IF(achievement!AZ$96&lt;=$C$8*$C$4*(ROW()-25),achievement!AZ$97,0))</f>
        <v>0</v>
      </c>
      <c r="BD27" s="2">
        <f>IF(BD26=0,IF(achievement!BA$96&lt;=$C$8*$C$4*(ROW()-25),achievement!BA$97,0))</f>
        <v>0</v>
      </c>
      <c r="BE27" s="2">
        <f>IF(BE26=0,IF(achievement!BB$96&lt;=$C$8*$C$4*(ROW()-25),achievement!BB$97,0))</f>
        <v>0</v>
      </c>
      <c r="BF27" s="2">
        <f>IF(BF26=0,IF(achievement!BC$96&lt;=$C$8*$C$4*(ROW()-25),achievement!BC$97,0))</f>
        <v>0</v>
      </c>
      <c r="BG27" s="2">
        <f>IF(BG26=0,IF(achievement!BD$96&lt;=$C$8*$C$4*(ROW()-25),achievement!BD$97,0))</f>
        <v>0</v>
      </c>
      <c r="BH27" s="2">
        <f>IF(BH26=0,IF(achievement!BE$96&lt;=$C$8*$C$4*(ROW()-25),achievement!BE$97,0))</f>
        <v>0</v>
      </c>
      <c r="BI27" s="2">
        <f>IF(BI26=0,IF(achievement!BF$96&lt;=$C$8*$C$4*(ROW()-25),achievement!BF$97,0))</f>
        <v>0</v>
      </c>
      <c r="BJ27" s="2">
        <f>IF(BJ26=0,IF(achievement!BG$96&lt;=$C$8*$C$4*(ROW()-25),achievement!BG$97,0))</f>
        <v>0</v>
      </c>
      <c r="BK27" s="2">
        <f>IF(BK26=0,IF(achievement!BH$96&lt;=$C$8*$C$4*(ROW()-25),achievement!BH$97,0))</f>
        <v>0</v>
      </c>
    </row>
    <row r="28" s="2" customFormat="1" ht="18" customHeight="1" spans="2:63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26</v>
      </c>
      <c r="G28" s="2">
        <f t="shared" si="2"/>
        <v>371</v>
      </c>
      <c r="H28" s="2">
        <f t="shared" si="3"/>
        <v>532</v>
      </c>
      <c r="I28" s="2" t="b">
        <f>IF(I27=0,IF($B28&gt;=achievement!F$96,achievement!F$97,0))</f>
        <v>0</v>
      </c>
      <c r="J28" s="2">
        <f>IF(J27=0,IF($B28&gt;=achievement!G$96,achievement!G$97,0))</f>
        <v>15</v>
      </c>
      <c r="K28" s="2">
        <f>IF(K27=0,IF($B28&gt;=achievement!H$96,achievement!H$97,0))</f>
        <v>0</v>
      </c>
      <c r="L28" s="2">
        <f>IF(L27=0,IF($B28&gt;=achievement!I$96,achievement!I$97,0))</f>
        <v>0</v>
      </c>
      <c r="M28" s="2">
        <f>IF(M27=0,IF($B28&gt;=achievement!J$96,achievement!J$97,0))</f>
        <v>0</v>
      </c>
      <c r="N28" s="2">
        <f>IF(N27=0,IF($B28&gt;=achievement!K$96,achievement!K$97,0))</f>
        <v>0</v>
      </c>
      <c r="O28" s="2">
        <f>IF(O27=0,IF($B28&gt;=achievement!L$96,achievement!L$97,0))</f>
        <v>0</v>
      </c>
      <c r="P28" s="2" t="b">
        <f>IF(P27=0,IF(achievement!M$96*$B28&gt;=1,achievement!M$97,0))</f>
        <v>0</v>
      </c>
      <c r="Q28" s="2" t="b">
        <f>IF(Q27=0,IF(achievement!N$96*$B28&gt;=1,achievement!N$97,0))</f>
        <v>0</v>
      </c>
      <c r="R28" s="2">
        <f>IF(R27=0,IF(achievement!O$96*$B28&gt;=1,achievement!O$97,0))</f>
        <v>6</v>
      </c>
      <c r="S28" s="2">
        <f>IF(S27=0,IF(achievement!P$96*$B28&gt;=1,achievement!P$97,0))</f>
        <v>0</v>
      </c>
      <c r="T28" s="2">
        <f>IF(T27=0,IF(achievement!Q$96*$B28&gt;=1,achievement!Q$97,0))</f>
        <v>0</v>
      </c>
      <c r="U28" s="2">
        <f>IF(U27=0,IF(achievement!R$96*$B28&gt;=1,achievement!R$97,0))</f>
        <v>0</v>
      </c>
      <c r="V28" s="2">
        <f>IF(V27=0,IF(achievement!S$96*$B28&gt;=1,achievement!S$97,0))</f>
        <v>0</v>
      </c>
      <c r="W28" s="2">
        <f>IF(W27=0,IF(achievement!T$96*$B28&gt;=1,achievement!T$97,0))</f>
        <v>0</v>
      </c>
      <c r="X28" s="2">
        <f>IF(X27=0,IF(achievement!U$96*$B28&gt;=1,achievement!U$97,0))</f>
        <v>0</v>
      </c>
      <c r="Y28" s="2">
        <f>IF(Y27=0,IF(achievement!V$96*$B28&gt;=1,achievement!V$97,0))</f>
        <v>0</v>
      </c>
      <c r="Z28" s="2">
        <f>IF(Z27=0,IF(achievement!W$96*$B28&gt;=1,achievement!W$97,0))</f>
        <v>0</v>
      </c>
      <c r="AA28" s="2">
        <f>IF(AA27=0,IF(achievement!X$96*$B28&gt;=1,achievement!X$97,0))</f>
        <v>0</v>
      </c>
      <c r="AB28" s="2">
        <f>IF(AB27=0,IF(achievement!Y$96*$B28&gt;=1,achievement!Y$97,0))</f>
        <v>0</v>
      </c>
      <c r="AC28" s="2">
        <f>IF(AC27=0,IF(achievement!Z$96*$B28&gt;=1,achievement!Z$97,0))</f>
        <v>0</v>
      </c>
      <c r="AD28" s="2">
        <f>IF(AD27=0,IF(achievement!AA$96*$B28&gt;=1,achievement!AA$97,0))</f>
        <v>0</v>
      </c>
      <c r="AE28" s="2">
        <f>IF(AE27=0,IF(achievement!AB$96*$B28&gt;=1,achievement!AB$97,0))</f>
        <v>0</v>
      </c>
      <c r="AF28" s="2">
        <f>IF(AF27=0,IF(achievement!AC$96*$B28&gt;=1,achievement!AC$97,0))</f>
        <v>0</v>
      </c>
      <c r="AG28" s="2">
        <f>IF(AG27=0,IF(achievement!AD$96*$B28&gt;=1,achievement!AD$97,0))</f>
        <v>0</v>
      </c>
      <c r="AH28" s="2">
        <f>IF(AH27=0,IF(achievement!AE$96*$B28&gt;=1,achievement!AE$97,0))</f>
        <v>0</v>
      </c>
      <c r="AI28" s="2">
        <f>IF(AI27=0,IF(achievement!AF$96*$B28&gt;=1,achievement!AF$97,0))</f>
        <v>0</v>
      </c>
      <c r="AJ28" s="2">
        <f>IF(AJ27=0,IF(achievement!AG$96*$B28&gt;=1,achievement!AG$97,0))</f>
        <v>0</v>
      </c>
      <c r="AK28" s="2">
        <f>IF(AK27=0,IF(achievement!AH$96*$B28&gt;=1,achievement!AH$97,0))</f>
        <v>0</v>
      </c>
      <c r="AL28" s="2">
        <f>IF(AL27=0,IF(achievement!AI$96*$B28&gt;=1,achievement!AI$97,0))</f>
        <v>0</v>
      </c>
      <c r="AM28" s="2">
        <f>IF(AM27=0,IF(achievement!AJ$96*$B28&gt;=1,achievement!AJ$97,0))</f>
        <v>0</v>
      </c>
      <c r="AN28" s="2">
        <f>IF(AN27=0,IF(achievement!AK$96*$B28&gt;=1,achievement!AK$97,0))</f>
        <v>0</v>
      </c>
      <c r="AO28" s="2">
        <f>IF(AO27=0,IF(achievement!AL$96*$B28&gt;=1,achievement!AL$97,0))</f>
        <v>0</v>
      </c>
      <c r="AP28" s="2">
        <f>IF(AP27=0,IF(achievement!AM$96*$B28&gt;=1,achievement!AM$97,0))</f>
        <v>0</v>
      </c>
      <c r="AQ28" s="2">
        <f>IF(AQ27=0,IF(achievement!AN$96*$B28&gt;=1,achievement!AN$97,0))</f>
        <v>0</v>
      </c>
      <c r="AR28" s="2">
        <f>IF(AR27=0,IF(achievement!AO$96*$B28&gt;=1,achievement!AO$97,0))</f>
        <v>0</v>
      </c>
      <c r="AS28" s="2">
        <f>IF(AS27=0,IF(achievement!AP$96*$B28&gt;=1,achievement!AP$97,0))</f>
        <v>0</v>
      </c>
      <c r="AT28" s="2">
        <f>IF(AT27=0,IF(achievement!AQ$96*$B28&gt;=1,achievement!AQ$97,0))</f>
        <v>0</v>
      </c>
      <c r="AU28" s="2">
        <f>IF(AU27=0,IF(achievement!AR$96*$B28&gt;=1,achievement!AR$97,0))</f>
        <v>0</v>
      </c>
      <c r="AV28" s="2">
        <f>IF(AV27=0,IF(achievement!AS$96*$B28&gt;=1,achievement!AS$97,0))</f>
        <v>0</v>
      </c>
      <c r="BB28" s="2" t="b">
        <f>IF(BB27=0,IF(achievement!AY$96&lt;=$C$8*$C$4*(ROW()-25),achievement!AY$97,0))</f>
        <v>0</v>
      </c>
      <c r="BC28" s="2">
        <f>IF(BC27=0,IF(achievement!AZ$96&lt;=$C$8*$C$4*(ROW()-25),achievement!AZ$97,0))</f>
        <v>100</v>
      </c>
      <c r="BD28" s="2">
        <f>IF(BD27=0,IF(achievement!BA$96&lt;=$C$8*$C$4*(ROW()-25),achievement!BA$97,0))</f>
        <v>0</v>
      </c>
      <c r="BE28" s="2">
        <f>IF(BE27=0,IF(achievement!BB$96&lt;=$C$8*$C$4*(ROW()-25),achievement!BB$97,0))</f>
        <v>0</v>
      </c>
      <c r="BF28" s="2">
        <f>IF(BF27=0,IF(achievement!BC$96&lt;=$C$8*$C$4*(ROW()-25),achievement!BC$97,0))</f>
        <v>0</v>
      </c>
      <c r="BG28" s="2">
        <f>IF(BG27=0,IF(achievement!BD$96&lt;=$C$8*$C$4*(ROW()-25),achievement!BD$97,0))</f>
        <v>250</v>
      </c>
      <c r="BH28" s="2">
        <f>IF(BH27=0,IF(achievement!BE$96&lt;=$C$8*$C$4*(ROW()-25),achievement!BE$97,0))</f>
        <v>0</v>
      </c>
      <c r="BI28" s="2">
        <f>IF(BI27=0,IF(achievement!BF$96&lt;=$C$8*$C$4*(ROW()-25),achievement!BF$97,0))</f>
        <v>0</v>
      </c>
      <c r="BJ28" s="2">
        <f>IF(BJ27=0,IF(achievement!BG$96&lt;=$C$8*$C$4*(ROW()-25),achievement!BG$97,0))</f>
        <v>0</v>
      </c>
      <c r="BK28" s="2">
        <f>IF(BK27=0,IF(achievement!BH$96&lt;=$C$8*$C$4*(ROW()-25),achievement!BH$97,0))</f>
        <v>0</v>
      </c>
    </row>
    <row r="29" s="2" customFormat="1" ht="18" customHeight="1" spans="2:63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35</v>
      </c>
      <c r="G29" s="2">
        <f t="shared" si="2"/>
        <v>8</v>
      </c>
      <c r="H29" s="2">
        <f t="shared" si="3"/>
        <v>540</v>
      </c>
      <c r="I29" s="2" t="b">
        <f>IF(I28=0,IF($B29&gt;=achievement!F$96,achievement!F$97,0))</f>
        <v>0</v>
      </c>
      <c r="J29" s="2" t="b">
        <f>IF(J28=0,IF($B29&gt;=achievement!G$96,achievement!G$97,0))</f>
        <v>0</v>
      </c>
      <c r="K29" s="2">
        <f>IF(K28=0,IF($B29&gt;=achievement!H$96,achievement!H$97,0))</f>
        <v>0</v>
      </c>
      <c r="L29" s="2">
        <f>IF(L28=0,IF($B29&gt;=achievement!I$96,achievement!I$97,0))</f>
        <v>0</v>
      </c>
      <c r="M29" s="2">
        <f>IF(M28=0,IF($B29&gt;=achievement!J$96,achievement!J$97,0))</f>
        <v>0</v>
      </c>
      <c r="N29" s="2">
        <f>IF(N28=0,IF($B29&gt;=achievement!K$96,achievement!K$97,0))</f>
        <v>0</v>
      </c>
      <c r="O29" s="2">
        <f>IF(O28=0,IF($B29&gt;=achievement!L$96,achievement!L$97,0))</f>
        <v>0</v>
      </c>
      <c r="P29" s="2" t="b">
        <f>IF(P28=0,IF(achievement!M$96*$B29&gt;=1,achievement!M$97,0))</f>
        <v>0</v>
      </c>
      <c r="Q29" s="2" t="b">
        <f>IF(Q28=0,IF(achievement!N$96*$B29&gt;=1,achievement!N$97,0))</f>
        <v>0</v>
      </c>
      <c r="R29" s="2" t="b">
        <f>IF(R28=0,IF(achievement!O$96*$B29&gt;=1,achievement!O$97,0))</f>
        <v>0</v>
      </c>
      <c r="S29" s="2">
        <f>IF(S28=0,IF(achievement!P$96*$B29&gt;=1,achievement!P$97,0))</f>
        <v>8</v>
      </c>
      <c r="T29" s="2">
        <f>IF(T28=0,IF(achievement!Q$96*$B29&gt;=1,achievement!Q$97,0))</f>
        <v>0</v>
      </c>
      <c r="U29" s="2">
        <f>IF(U28=0,IF(achievement!R$96*$B29&gt;=1,achievement!R$97,0))</f>
        <v>0</v>
      </c>
      <c r="V29" s="2">
        <f>IF(V28=0,IF(achievement!S$96*$B29&gt;=1,achievement!S$97,0))</f>
        <v>0</v>
      </c>
      <c r="W29" s="2">
        <f>IF(W28=0,IF(achievement!T$96*$B29&gt;=1,achievement!T$97,0))</f>
        <v>0</v>
      </c>
      <c r="X29" s="2">
        <f>IF(X28=0,IF(achievement!U$96*$B29&gt;=1,achievement!U$97,0))</f>
        <v>0</v>
      </c>
      <c r="Y29" s="2">
        <f>IF(Y28=0,IF(achievement!V$96*$B29&gt;=1,achievement!V$97,0))</f>
        <v>0</v>
      </c>
      <c r="Z29" s="2">
        <f>IF(Z28=0,IF(achievement!W$96*$B29&gt;=1,achievement!W$97,0))</f>
        <v>0</v>
      </c>
      <c r="AA29" s="2">
        <f>IF(AA28=0,IF(achievement!X$96*$B29&gt;=1,achievement!X$97,0))</f>
        <v>0</v>
      </c>
      <c r="AB29" s="2">
        <f>IF(AB28=0,IF(achievement!Y$96*$B29&gt;=1,achievement!Y$97,0))</f>
        <v>0</v>
      </c>
      <c r="AC29" s="2">
        <f>IF(AC28=0,IF(achievement!Z$96*$B29&gt;=1,achievement!Z$97,0))</f>
        <v>0</v>
      </c>
      <c r="AD29" s="2">
        <f>IF(AD28=0,IF(achievement!AA$96*$B29&gt;=1,achievement!AA$97,0))</f>
        <v>0</v>
      </c>
      <c r="AE29" s="2">
        <f>IF(AE28=0,IF(achievement!AB$96*$B29&gt;=1,achievement!AB$97,0))</f>
        <v>0</v>
      </c>
      <c r="AF29" s="2">
        <f>IF(AF28=0,IF(achievement!AC$96*$B29&gt;=1,achievement!AC$97,0))</f>
        <v>0</v>
      </c>
      <c r="AG29" s="2">
        <f>IF(AG28=0,IF(achievement!AD$96*$B29&gt;=1,achievement!AD$97,0))</f>
        <v>0</v>
      </c>
      <c r="AH29" s="2">
        <f>IF(AH28=0,IF(achievement!AE$96*$B29&gt;=1,achievement!AE$97,0))</f>
        <v>0</v>
      </c>
      <c r="AI29" s="2">
        <f>IF(AI28=0,IF(achievement!AF$96*$B29&gt;=1,achievement!AF$97,0))</f>
        <v>0</v>
      </c>
      <c r="AJ29" s="2">
        <f>IF(AJ28=0,IF(achievement!AG$96*$B29&gt;=1,achievement!AG$97,0))</f>
        <v>0</v>
      </c>
      <c r="AK29" s="2">
        <f>IF(AK28=0,IF(achievement!AH$96*$B29&gt;=1,achievement!AH$97,0))</f>
        <v>0</v>
      </c>
      <c r="AL29" s="2">
        <f>IF(AL28=0,IF(achievement!AI$96*$B29&gt;=1,achievement!AI$97,0))</f>
        <v>0</v>
      </c>
      <c r="AM29" s="2">
        <f>IF(AM28=0,IF(achievement!AJ$96*$B29&gt;=1,achievement!AJ$97,0))</f>
        <v>0</v>
      </c>
      <c r="AN29" s="2">
        <f>IF(AN28=0,IF(achievement!AK$96*$B29&gt;=1,achievement!AK$97,0))</f>
        <v>0</v>
      </c>
      <c r="AO29" s="2">
        <f>IF(AO28=0,IF(achievement!AL$96*$B29&gt;=1,achievement!AL$97,0))</f>
        <v>0</v>
      </c>
      <c r="AP29" s="2">
        <f>IF(AP28=0,IF(achievement!AM$96*$B29&gt;=1,achievement!AM$97,0))</f>
        <v>0</v>
      </c>
      <c r="AQ29" s="2">
        <f>IF(AQ28=0,IF(achievement!AN$96*$B29&gt;=1,achievement!AN$97,0))</f>
        <v>0</v>
      </c>
      <c r="AR29" s="2">
        <f>IF(AR28=0,IF(achievement!AO$96*$B29&gt;=1,achievement!AO$97,0))</f>
        <v>0</v>
      </c>
      <c r="AS29" s="2">
        <f>IF(AS28=0,IF(achievement!AP$96*$B29&gt;=1,achievement!AP$97,0))</f>
        <v>0</v>
      </c>
      <c r="AT29" s="2">
        <f>IF(AT28=0,IF(achievement!AQ$96*$B29&gt;=1,achievement!AQ$97,0))</f>
        <v>0</v>
      </c>
      <c r="AU29" s="2">
        <f>IF(AU28=0,IF(achievement!AR$96*$B29&gt;=1,achievement!AR$97,0))</f>
        <v>0</v>
      </c>
      <c r="AV29" s="2">
        <f>IF(AV28=0,IF(achievement!AS$96*$B29&gt;=1,achievement!AS$97,0))</f>
        <v>0</v>
      </c>
      <c r="BG29" s="2" t="b">
        <f>IF(BG28=0,IF(achievement!BD$96&lt;=$C$8*$C$4*(ROW()-25),achievement!BD$97,0))</f>
        <v>0</v>
      </c>
      <c r="BH29" s="2">
        <f>IF(BH28=0,IF(achievement!BE$96&lt;=$C$8*$C$4*(ROW()-25),achievement!BE$97,0))</f>
        <v>0</v>
      </c>
      <c r="BI29" s="2">
        <f>IF(BI28=0,IF(achievement!BF$96&lt;=$C$8*$C$4*(ROW()-25),achievement!BF$97,0))</f>
        <v>0</v>
      </c>
      <c r="BJ29" s="2">
        <f>IF(BJ28=0,IF(achievement!BG$96&lt;=$C$8*$C$4*(ROW()-25),achievement!BG$97,0))</f>
        <v>0</v>
      </c>
      <c r="BK29" s="2">
        <f>IF(BK28=0,IF(achievement!BH$96&lt;=$C$8*$C$4*(ROW()-25),achievement!BH$97,0))</f>
        <v>0</v>
      </c>
    </row>
    <row r="30" s="2" customFormat="1" ht="18" customHeight="1" spans="2:63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44</v>
      </c>
      <c r="G30" s="2">
        <f t="shared" si="2"/>
        <v>260</v>
      </c>
      <c r="H30" s="2">
        <f t="shared" si="3"/>
        <v>800</v>
      </c>
      <c r="I30" s="2" t="b">
        <f>IF(I29=0,IF($B30&gt;=achievement!F$96,achievement!F$97,0))</f>
        <v>0</v>
      </c>
      <c r="J30" s="2" t="b">
        <f>IF(J29=0,IF($B30&gt;=achievement!G$96,achievement!G$97,0))</f>
        <v>0</v>
      </c>
      <c r="K30" s="2">
        <f>IF(K29=0,IF($B30&gt;=achievement!H$96,achievement!H$97,0))</f>
        <v>0</v>
      </c>
      <c r="L30" s="2">
        <f>IF(L29=0,IF($B30&gt;=achievement!I$96,achievement!I$97,0))</f>
        <v>0</v>
      </c>
      <c r="M30" s="2">
        <f>IF(M29=0,IF($B30&gt;=achievement!J$96,achievement!J$97,0))</f>
        <v>0</v>
      </c>
      <c r="N30" s="2">
        <f>IF(N29=0,IF($B30&gt;=achievement!K$96,achievement!K$97,0))</f>
        <v>0</v>
      </c>
      <c r="O30" s="2">
        <f>IF(O29=0,IF($B30&gt;=achievement!L$96,achievement!L$97,0))</f>
        <v>0</v>
      </c>
      <c r="P30" s="2" t="b">
        <f>IF(P29=0,IF(achievement!M$96*$B30&gt;=1,achievement!M$97,0))</f>
        <v>0</v>
      </c>
      <c r="Q30" s="2" t="b">
        <f>IF(Q29=0,IF(achievement!N$96*$B30&gt;=1,achievement!N$97,0))</f>
        <v>0</v>
      </c>
      <c r="R30" s="2" t="b">
        <f>IF(R29=0,IF(achievement!O$96*$B30&gt;=1,achievement!O$97,0))</f>
        <v>0</v>
      </c>
      <c r="S30" s="2" t="b">
        <f>IF(S29=0,IF(achievement!P$96*$B30&gt;=1,achievement!P$97,0))</f>
        <v>0</v>
      </c>
      <c r="T30" s="2">
        <f>IF(T29=0,IF(achievement!Q$96*$B30&gt;=1,achievement!Q$97,0))</f>
        <v>10</v>
      </c>
      <c r="U30" s="2">
        <f>IF(U29=0,IF(achievement!R$96*$B30&gt;=1,achievement!R$97,0))</f>
        <v>0</v>
      </c>
      <c r="V30" s="2">
        <f>IF(V29=0,IF(achievement!S$96*$B30&gt;=1,achievement!S$97,0))</f>
        <v>0</v>
      </c>
      <c r="W30" s="2">
        <f>IF(W29=0,IF(achievement!T$96*$B30&gt;=1,achievement!T$97,0))</f>
        <v>0</v>
      </c>
      <c r="X30" s="2">
        <f>IF(X29=0,IF(achievement!U$96*$B30&gt;=1,achievement!U$97,0))</f>
        <v>0</v>
      </c>
      <c r="Y30" s="2">
        <f>IF(Y29=0,IF(achievement!V$96*$B30&gt;=1,achievement!V$97,0))</f>
        <v>0</v>
      </c>
      <c r="Z30" s="2">
        <f>IF(Z29=0,IF(achievement!W$96*$B30&gt;=1,achievement!W$97,0))</f>
        <v>0</v>
      </c>
      <c r="AA30" s="2">
        <f>IF(AA29=0,IF(achievement!X$96*$B30&gt;=1,achievement!X$97,0))</f>
        <v>0</v>
      </c>
      <c r="AB30" s="2">
        <f>IF(AB29=0,IF(achievement!Y$96*$B30&gt;=1,achievement!Y$97,0))</f>
        <v>0</v>
      </c>
      <c r="AC30" s="2">
        <f>IF(AC29=0,IF(achievement!Z$96*$B30&gt;=1,achievement!Z$97,0))</f>
        <v>0</v>
      </c>
      <c r="AD30" s="2">
        <f>IF(AD29=0,IF(achievement!AA$96*$B30&gt;=1,achievement!AA$97,0))</f>
        <v>0</v>
      </c>
      <c r="AE30" s="2">
        <f>IF(AE29=0,IF(achievement!AB$96*$B30&gt;=1,achievement!AB$97,0))</f>
        <v>0</v>
      </c>
      <c r="AF30" s="2">
        <f>IF(AF29=0,IF(achievement!AC$96*$B30&gt;=1,achievement!AC$97,0))</f>
        <v>0</v>
      </c>
      <c r="AG30" s="2">
        <f>IF(AG29=0,IF(achievement!AD$96*$B30&gt;=1,achievement!AD$97,0))</f>
        <v>0</v>
      </c>
      <c r="AH30" s="2">
        <f>IF(AH29=0,IF(achievement!AE$96*$B30&gt;=1,achievement!AE$97,0))</f>
        <v>0</v>
      </c>
      <c r="AI30" s="2">
        <f>IF(AI29=0,IF(achievement!AF$96*$B30&gt;=1,achievement!AF$97,0))</f>
        <v>0</v>
      </c>
      <c r="AJ30" s="2">
        <f>IF(AJ29=0,IF(achievement!AG$96*$B30&gt;=1,achievement!AG$97,0))</f>
        <v>0</v>
      </c>
      <c r="AK30" s="2">
        <f>IF(AK29=0,IF(achievement!AH$96*$B30&gt;=1,achievement!AH$97,0))</f>
        <v>0</v>
      </c>
      <c r="AL30" s="2">
        <f>IF(AL29=0,IF(achievement!AI$96*$B30&gt;=1,achievement!AI$97,0))</f>
        <v>0</v>
      </c>
      <c r="AM30" s="2">
        <f>IF(AM29=0,IF(achievement!AJ$96*$B30&gt;=1,achievement!AJ$97,0))</f>
        <v>0</v>
      </c>
      <c r="AN30" s="2">
        <f>IF(AN29=0,IF(achievement!AK$96*$B30&gt;=1,achievement!AK$97,0))</f>
        <v>0</v>
      </c>
      <c r="AO30" s="2">
        <f>IF(AO29=0,IF(achievement!AL$96*$B30&gt;=1,achievement!AL$97,0))</f>
        <v>0</v>
      </c>
      <c r="AP30" s="2">
        <f>IF(AP29=0,IF(achievement!AM$96*$B30&gt;=1,achievement!AM$97,0))</f>
        <v>0</v>
      </c>
      <c r="AQ30" s="2">
        <f>IF(AQ29=0,IF(achievement!AN$96*$B30&gt;=1,achievement!AN$97,0))</f>
        <v>0</v>
      </c>
      <c r="AR30" s="2">
        <f>IF(AR29=0,IF(achievement!AO$96*$B30&gt;=1,achievement!AO$97,0))</f>
        <v>0</v>
      </c>
      <c r="AS30" s="2">
        <f>IF(AS29=0,IF(achievement!AP$96*$B30&gt;=1,achievement!AP$97,0))</f>
        <v>0</v>
      </c>
      <c r="AT30" s="2">
        <f>IF(AT29=0,IF(achievement!AQ$96*$B30&gt;=1,achievement!AQ$97,0))</f>
        <v>0</v>
      </c>
      <c r="AU30" s="2">
        <f>IF(AU29=0,IF(achievement!AR$96*$B30&gt;=1,achievement!AR$97,0))</f>
        <v>0</v>
      </c>
      <c r="AV30" s="2">
        <f>IF(AV29=0,IF(achievement!AS$96*$B30&gt;=1,achievement!AS$97,0))</f>
        <v>0</v>
      </c>
      <c r="BG30" s="2" t="b">
        <f>IF(BG29=0,IF(achievement!BD$96&lt;=$C$8*$C$4*(ROW()-25),achievement!BD$97,0))</f>
        <v>0</v>
      </c>
      <c r="BH30" s="2">
        <f>IF(BH29=0,IF(achievement!BE$96&lt;=$C$8*$C$4*(ROW()-25),achievement!BE$97,0))</f>
        <v>250</v>
      </c>
      <c r="BI30" s="2">
        <f>IF(BI29=0,IF(achievement!BF$96&lt;=$C$8*$C$4*(ROW()-25),achievement!BF$97,0))</f>
        <v>0</v>
      </c>
      <c r="BJ30" s="2">
        <f>IF(BJ29=0,IF(achievement!BG$96&lt;=$C$8*$C$4*(ROW()-25),achievement!BG$97,0))</f>
        <v>0</v>
      </c>
      <c r="BK30" s="2">
        <f>IF(BK29=0,IF(achievement!BH$96&lt;=$C$8*$C$4*(ROW()-25),achievement!BH$97,0))</f>
        <v>0</v>
      </c>
    </row>
    <row r="31" s="2" customFormat="1" ht="18" customHeight="1" spans="2:63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53</v>
      </c>
      <c r="G31" s="2">
        <f t="shared" si="2"/>
        <v>262</v>
      </c>
      <c r="H31" s="2">
        <f t="shared" si="3"/>
        <v>1062</v>
      </c>
      <c r="I31" s="2" t="b">
        <f>IF(I30=0,IF($B31&gt;=achievement!F$96,achievement!F$97,0))</f>
        <v>0</v>
      </c>
      <c r="J31" s="2" t="b">
        <f>IF(J30=0,IF($B31&gt;=achievement!G$96,achievement!G$97,0))</f>
        <v>0</v>
      </c>
      <c r="K31" s="2">
        <f>IF(K30=0,IF($B31&gt;=achievement!H$96,achievement!H$97,0))</f>
        <v>0</v>
      </c>
      <c r="L31" s="2">
        <f>IF(L30=0,IF($B31&gt;=achievement!I$96,achievement!I$97,0))</f>
        <v>0</v>
      </c>
      <c r="M31" s="2">
        <f>IF(M30=0,IF($B31&gt;=achievement!J$96,achievement!J$97,0))</f>
        <v>0</v>
      </c>
      <c r="N31" s="2">
        <f>IF(N30=0,IF($B31&gt;=achievement!K$96,achievement!K$97,0))</f>
        <v>0</v>
      </c>
      <c r="O31" s="2">
        <f>IF(O30=0,IF($B31&gt;=achievement!L$96,achievement!L$97,0))</f>
        <v>0</v>
      </c>
      <c r="P31" s="2" t="b">
        <f>IF(P30=0,IF(achievement!M$96*$B31&gt;=1,achievement!M$97,0))</f>
        <v>0</v>
      </c>
      <c r="Q31" s="2" t="b">
        <f>IF(Q30=0,IF(achievement!N$96*$B31&gt;=1,achievement!N$97,0))</f>
        <v>0</v>
      </c>
      <c r="R31" s="2" t="b">
        <f>IF(R30=0,IF(achievement!O$96*$B31&gt;=1,achievement!O$97,0))</f>
        <v>0</v>
      </c>
      <c r="S31" s="2" t="b">
        <f>IF(S30=0,IF(achievement!P$96*$B31&gt;=1,achievement!P$97,0))</f>
        <v>0</v>
      </c>
      <c r="T31" s="2" t="b">
        <f>IF(T30=0,IF(achievement!Q$96*$B31&gt;=1,achievement!Q$97,0))</f>
        <v>0</v>
      </c>
      <c r="U31" s="2">
        <f>IF(U30=0,IF(achievement!R$96*$B31&gt;=1,achievement!R$97,0))</f>
        <v>12</v>
      </c>
      <c r="V31" s="2">
        <f>IF(V30=0,IF(achievement!S$96*$B31&gt;=1,achievement!S$97,0))</f>
        <v>0</v>
      </c>
      <c r="W31" s="2">
        <f>IF(W30=0,IF(achievement!T$96*$B31&gt;=1,achievement!T$97,0))</f>
        <v>0</v>
      </c>
      <c r="X31" s="2">
        <f>IF(X30=0,IF(achievement!U$96*$B31&gt;=1,achievement!U$97,0))</f>
        <v>0</v>
      </c>
      <c r="Y31" s="2">
        <f>IF(Y30=0,IF(achievement!V$96*$B31&gt;=1,achievement!V$97,0))</f>
        <v>0</v>
      </c>
      <c r="Z31" s="2">
        <f>IF(Z30=0,IF(achievement!W$96*$B31&gt;=1,achievement!W$97,0))</f>
        <v>0</v>
      </c>
      <c r="AA31" s="2">
        <f>IF(AA30=0,IF(achievement!X$96*$B31&gt;=1,achievement!X$97,0))</f>
        <v>0</v>
      </c>
      <c r="AB31" s="2">
        <f>IF(AB30=0,IF(achievement!Y$96*$B31&gt;=1,achievement!Y$97,0))</f>
        <v>0</v>
      </c>
      <c r="AC31" s="2">
        <f>IF(AC30=0,IF(achievement!Z$96*$B31&gt;=1,achievement!Z$97,0))</f>
        <v>0</v>
      </c>
      <c r="AD31" s="2">
        <f>IF(AD30=0,IF(achievement!AA$96*$B31&gt;=1,achievement!AA$97,0))</f>
        <v>0</v>
      </c>
      <c r="AE31" s="2">
        <f>IF(AE30=0,IF(achievement!AB$96*$B31&gt;=1,achievement!AB$97,0))</f>
        <v>0</v>
      </c>
      <c r="AF31" s="2">
        <f>IF(AF30=0,IF(achievement!AC$96*$B31&gt;=1,achievement!AC$97,0))</f>
        <v>0</v>
      </c>
      <c r="AG31" s="2">
        <f>IF(AG30=0,IF(achievement!AD$96*$B31&gt;=1,achievement!AD$97,0))</f>
        <v>0</v>
      </c>
      <c r="AH31" s="2">
        <f>IF(AH30=0,IF(achievement!AE$96*$B31&gt;=1,achievement!AE$97,0))</f>
        <v>0</v>
      </c>
      <c r="AI31" s="2">
        <f>IF(AI30=0,IF(achievement!AF$96*$B31&gt;=1,achievement!AF$97,0))</f>
        <v>0</v>
      </c>
      <c r="AJ31" s="2">
        <f>IF(AJ30=0,IF(achievement!AG$96*$B31&gt;=1,achievement!AG$97,0))</f>
        <v>0</v>
      </c>
      <c r="AK31" s="2">
        <f>IF(AK30=0,IF(achievement!AH$96*$B31&gt;=1,achievement!AH$97,0))</f>
        <v>0</v>
      </c>
      <c r="AL31" s="2">
        <f>IF(AL30=0,IF(achievement!AI$96*$B31&gt;=1,achievement!AI$97,0))</f>
        <v>0</v>
      </c>
      <c r="AM31" s="2">
        <f>IF(AM30=0,IF(achievement!AJ$96*$B31&gt;=1,achievement!AJ$97,0))</f>
        <v>0</v>
      </c>
      <c r="AN31" s="2">
        <f>IF(AN30=0,IF(achievement!AK$96*$B31&gt;=1,achievement!AK$97,0))</f>
        <v>0</v>
      </c>
      <c r="AO31" s="2">
        <f>IF(AO30=0,IF(achievement!AL$96*$B31&gt;=1,achievement!AL$97,0))</f>
        <v>0</v>
      </c>
      <c r="AP31" s="2">
        <f>IF(AP30=0,IF(achievement!AM$96*$B31&gt;=1,achievement!AM$97,0))</f>
        <v>0</v>
      </c>
      <c r="AQ31" s="2">
        <f>IF(AQ30=0,IF(achievement!AN$96*$B31&gt;=1,achievement!AN$97,0))</f>
        <v>0</v>
      </c>
      <c r="AR31" s="2">
        <f>IF(AR30=0,IF(achievement!AO$96*$B31&gt;=1,achievement!AO$97,0))</f>
        <v>0</v>
      </c>
      <c r="AS31" s="2">
        <f>IF(AS30=0,IF(achievement!AP$96*$B31&gt;=1,achievement!AP$97,0))</f>
        <v>0</v>
      </c>
      <c r="AT31" s="2">
        <f>IF(AT30=0,IF(achievement!AQ$96*$B31&gt;=1,achievement!AQ$97,0))</f>
        <v>0</v>
      </c>
      <c r="AU31" s="2">
        <f>IF(AU30=0,IF(achievement!AR$96*$B31&gt;=1,achievement!AR$97,0))</f>
        <v>0</v>
      </c>
      <c r="AV31" s="2">
        <f>IF(AV30=0,IF(achievement!AS$96*$B31&gt;=1,achievement!AS$97,0))</f>
        <v>0</v>
      </c>
      <c r="BG31" s="2" t="b">
        <f>IF(BG30=0,IF(achievement!BD$96&lt;=$C$8*$C$4*(ROW()-25),achievement!BD$97,0))</f>
        <v>0</v>
      </c>
      <c r="BH31" s="2" t="b">
        <f>IF(BH30=0,IF(achievement!BE$96&lt;=$C$8*$C$4*(ROW()-25),achievement!BE$97,0))</f>
        <v>0</v>
      </c>
      <c r="BI31" s="2">
        <f>IF(BI30=0,IF(achievement!BF$96&lt;=$C$8*$C$4*(ROW()-25),achievement!BF$97,0))</f>
        <v>250</v>
      </c>
      <c r="BJ31" s="2">
        <f>IF(BJ30=0,IF(achievement!BG$96&lt;=$C$8*$C$4*(ROW()-25),achievement!BG$97,0))</f>
        <v>0</v>
      </c>
      <c r="BK31" s="2">
        <f>IF(BK30=0,IF(achievement!BH$96&lt;=$C$8*$C$4*(ROW()-25),achievement!BH$97,0))</f>
        <v>0</v>
      </c>
    </row>
    <row r="32" s="2" customFormat="1" ht="18" customHeight="1" spans="2:63">
      <c r="B32" s="2">
        <v>7</v>
      </c>
      <c r="C32" s="2">
        <f t="shared" si="0"/>
        <v>7000</v>
      </c>
      <c r="D32" s="2">
        <f>ROUND($C$8*$C$5+$C$8*$C$4*(1-$L$5),0)</f>
        <v>88</v>
      </c>
      <c r="E32" s="2">
        <f t="shared" si="1"/>
        <v>616</v>
      </c>
      <c r="F32" s="2">
        <f>ROUND(E32*VLOOKUP($B$10,总产出!$T$4:$U$14,2,FALSE),0)</f>
        <v>62</v>
      </c>
      <c r="G32" s="2">
        <f t="shared" si="2"/>
        <v>49</v>
      </c>
      <c r="H32" s="2">
        <f t="shared" si="3"/>
        <v>1111</v>
      </c>
      <c r="I32" s="2" t="b">
        <f>IF(I31=0,IF($B32&gt;=achievement!F$96,achievement!F$97,0))</f>
        <v>0</v>
      </c>
      <c r="J32" s="2" t="b">
        <f>IF(J31=0,IF($B32&gt;=achievement!G$96,achievement!G$97,0))</f>
        <v>0</v>
      </c>
      <c r="K32" s="2">
        <f>IF(K31=0,IF($B32&gt;=achievement!H$96,achievement!H$97,0))</f>
        <v>35</v>
      </c>
      <c r="L32" s="2">
        <f>IF(L31=0,IF($B32&gt;=achievement!I$96,achievement!I$97,0))</f>
        <v>0</v>
      </c>
      <c r="M32" s="2">
        <f>IF(M31=0,IF($B32&gt;=achievement!J$96,achievement!J$97,0))</f>
        <v>0</v>
      </c>
      <c r="N32" s="2">
        <f>IF(N31=0,IF($B32&gt;=achievement!K$96,achievement!K$97,0))</f>
        <v>0</v>
      </c>
      <c r="O32" s="2">
        <f>IF(O31=0,IF($B32&gt;=achievement!L$96,achievement!L$97,0))</f>
        <v>0</v>
      </c>
      <c r="P32" s="2" t="b">
        <f>IF(P31=0,IF(achievement!M$96*$B32&gt;=1,achievement!M$97,0))</f>
        <v>0</v>
      </c>
      <c r="Q32" s="2" t="b">
        <f>IF(Q31=0,IF(achievement!N$96*$B32&gt;=1,achievement!N$97,0))</f>
        <v>0</v>
      </c>
      <c r="R32" s="2" t="b">
        <f>IF(R31=0,IF(achievement!O$96*$B32&gt;=1,achievement!O$97,0))</f>
        <v>0</v>
      </c>
      <c r="S32" s="2" t="b">
        <f>IF(S31=0,IF(achievement!P$96*$B32&gt;=1,achievement!P$97,0))</f>
        <v>0</v>
      </c>
      <c r="T32" s="2" t="b">
        <f>IF(T31=0,IF(achievement!Q$96*$B32&gt;=1,achievement!Q$97,0))</f>
        <v>0</v>
      </c>
      <c r="U32" s="2" t="b">
        <f>IF(U31=0,IF(achievement!R$96*$B32&gt;=1,achievement!R$97,0))</f>
        <v>0</v>
      </c>
      <c r="V32" s="2">
        <f>IF(V31=0,IF(achievement!S$96*$B32&gt;=1,achievement!S$97,0))</f>
        <v>14</v>
      </c>
      <c r="W32" s="2">
        <f>IF(W31=0,IF(achievement!T$96*$B32&gt;=1,achievement!T$97,0))</f>
        <v>0</v>
      </c>
      <c r="X32" s="2">
        <f>IF(X31=0,IF(achievement!U$96*$B32&gt;=1,achievement!U$97,0))</f>
        <v>0</v>
      </c>
      <c r="Y32" s="2">
        <f>IF(Y31=0,IF(achievement!V$96*$B32&gt;=1,achievement!V$97,0))</f>
        <v>0</v>
      </c>
      <c r="Z32" s="2">
        <f>IF(Z31=0,IF(achievement!W$96*$B32&gt;=1,achievement!W$97,0))</f>
        <v>0</v>
      </c>
      <c r="AA32" s="2">
        <f>IF(AA31=0,IF(achievement!X$96*$B32&gt;=1,achievement!X$97,0))</f>
        <v>0</v>
      </c>
      <c r="AB32" s="2">
        <f>IF(AB31=0,IF(achievement!Y$96*$B32&gt;=1,achievement!Y$97,0))</f>
        <v>0</v>
      </c>
      <c r="AC32" s="2">
        <f>IF(AC31=0,IF(achievement!Z$96*$B32&gt;=1,achievement!Z$97,0))</f>
        <v>0</v>
      </c>
      <c r="AD32" s="2">
        <f>IF(AD31=0,IF(achievement!AA$96*$B32&gt;=1,achievement!AA$97,0))</f>
        <v>0</v>
      </c>
      <c r="AE32" s="2">
        <f>IF(AE31=0,IF(achievement!AB$96*$B32&gt;=1,achievement!AB$97,0))</f>
        <v>0</v>
      </c>
      <c r="AF32" s="2">
        <f>IF(AF31=0,IF(achievement!AC$96*$B32&gt;=1,achievement!AC$97,0))</f>
        <v>0</v>
      </c>
      <c r="AG32" s="2">
        <f>IF(AG31=0,IF(achievement!AD$96*$B32&gt;=1,achievement!AD$97,0))</f>
        <v>0</v>
      </c>
      <c r="AH32" s="2">
        <f>IF(AH31=0,IF(achievement!AE$96*$B32&gt;=1,achievement!AE$97,0))</f>
        <v>0</v>
      </c>
      <c r="AI32" s="2">
        <f>IF(AI31=0,IF(achievement!AF$96*$B32&gt;=1,achievement!AF$97,0))</f>
        <v>0</v>
      </c>
      <c r="AJ32" s="2">
        <f>IF(AJ31=0,IF(achievement!AG$96*$B32&gt;=1,achievement!AG$97,0))</f>
        <v>0</v>
      </c>
      <c r="AK32" s="2">
        <f>IF(AK31=0,IF(achievement!AH$96*$B32&gt;=1,achievement!AH$97,0))</f>
        <v>0</v>
      </c>
      <c r="AL32" s="2">
        <f>IF(AL31=0,IF(achievement!AI$96*$B32&gt;=1,achievement!AI$97,0))</f>
        <v>0</v>
      </c>
      <c r="AM32" s="2">
        <f>IF(AM31=0,IF(achievement!AJ$96*$B32&gt;=1,achievement!AJ$97,0))</f>
        <v>0</v>
      </c>
      <c r="AN32" s="2">
        <f>IF(AN31=0,IF(achievement!AK$96*$B32&gt;=1,achievement!AK$97,0))</f>
        <v>0</v>
      </c>
      <c r="AO32" s="2">
        <f>IF(AO31=0,IF(achievement!AL$96*$B32&gt;=1,achievement!AL$97,0))</f>
        <v>0</v>
      </c>
      <c r="AP32" s="2">
        <f>IF(AP31=0,IF(achievement!AM$96*$B32&gt;=1,achievement!AM$97,0))</f>
        <v>0</v>
      </c>
      <c r="AQ32" s="2">
        <f>IF(AQ31=0,IF(achievement!AN$96*$B32&gt;=1,achievement!AN$97,0))</f>
        <v>0</v>
      </c>
      <c r="AR32" s="2">
        <f>IF(AR31=0,IF(achievement!AO$96*$B32&gt;=1,achievement!AO$97,0))</f>
        <v>0</v>
      </c>
      <c r="AS32" s="2">
        <f>IF(AS31=0,IF(achievement!AP$96*$B32&gt;=1,achievement!AP$97,0))</f>
        <v>0</v>
      </c>
      <c r="AT32" s="2">
        <f>IF(AT31=0,IF(achievement!AQ$96*$B32&gt;=1,achievement!AQ$97,0))</f>
        <v>0</v>
      </c>
      <c r="AU32" s="2">
        <f>IF(AU31=0,IF(achievement!AR$96*$B32&gt;=1,achievement!AR$97,0))</f>
        <v>0</v>
      </c>
      <c r="AV32" s="2">
        <f>IF(AV31=0,IF(achievement!AS$96*$B32&gt;=1,achievement!AS$97,0))</f>
        <v>0</v>
      </c>
      <c r="BG32" s="2" t="b">
        <f>IF(BG31=0,IF(achievement!BD$96&lt;=$C$8*$C$4*(ROW()-25),achievement!BD$97,0))</f>
        <v>0</v>
      </c>
      <c r="BH32" s="2" t="b">
        <f>IF(BH31=0,IF(achievement!BE$96&lt;=$C$8*$C$4*(ROW()-25),achievement!BE$97,0))</f>
        <v>0</v>
      </c>
      <c r="BI32" s="2" t="b">
        <f>IF(BI31=0,IF(achievement!BF$96&lt;=$C$8*$C$4*(ROW()-25),achievement!BF$97,0))</f>
        <v>0</v>
      </c>
      <c r="BJ32" s="2">
        <f>IF(BJ31=0,IF(achievement!BG$96&lt;=$C$8*$C$4*(ROW()-25),achievement!BG$97,0))</f>
        <v>0</v>
      </c>
      <c r="BK32" s="2">
        <f>IF(BK31=0,IF(achievement!BH$96&lt;=$C$8*$C$4*(ROW()-25),achievement!BH$97,0))</f>
        <v>0</v>
      </c>
    </row>
    <row r="33" s="2" customFormat="1" ht="18" customHeight="1" spans="2:48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70</v>
      </c>
      <c r="G33" s="2">
        <f t="shared" si="2"/>
        <v>16</v>
      </c>
      <c r="H33" s="2">
        <f t="shared" si="3"/>
        <v>1127</v>
      </c>
      <c r="I33" s="2" t="b">
        <f>IF(I32=0,IF($B33&gt;=achievement!F$96,achievement!F$97,0))</f>
        <v>0</v>
      </c>
      <c r="J33" s="2" t="b">
        <f>IF(J32=0,IF($B33&gt;=achievement!G$96,achievement!G$97,0))</f>
        <v>0</v>
      </c>
      <c r="K33" s="2" t="b">
        <f>IF(K32=0,IF($B33&gt;=achievement!H$96,achievement!H$97,0))</f>
        <v>0</v>
      </c>
      <c r="L33" s="2">
        <f>IF(L32=0,IF($B33&gt;=achievement!I$96,achievement!I$97,0))</f>
        <v>0</v>
      </c>
      <c r="M33" s="2">
        <f>IF(M32=0,IF($B33&gt;=achievement!J$96,achievement!J$97,0))</f>
        <v>0</v>
      </c>
      <c r="N33" s="2">
        <f>IF(N32=0,IF($B33&gt;=achievement!K$96,achievement!K$97,0))</f>
        <v>0</v>
      </c>
      <c r="O33" s="2">
        <f>IF(O32=0,IF($B33&gt;=achievement!L$96,achievement!L$97,0))</f>
        <v>0</v>
      </c>
      <c r="P33" s="2" t="b">
        <f>IF(P32=0,IF(achievement!M$96*$B33&gt;=1,achievement!M$97,0))</f>
        <v>0</v>
      </c>
      <c r="Q33" s="2" t="b">
        <f>IF(Q32=0,IF(achievement!N$96*$B33&gt;=1,achievement!N$97,0))</f>
        <v>0</v>
      </c>
      <c r="R33" s="2" t="b">
        <f>IF(R32=0,IF(achievement!O$96*$B33&gt;=1,achievement!O$97,0))</f>
        <v>0</v>
      </c>
      <c r="S33" s="2" t="b">
        <f>IF(S32=0,IF(achievement!P$96*$B33&gt;=1,achievement!P$97,0))</f>
        <v>0</v>
      </c>
      <c r="T33" s="2" t="b">
        <f>IF(T32=0,IF(achievement!Q$96*$B33&gt;=1,achievement!Q$97,0))</f>
        <v>0</v>
      </c>
      <c r="U33" s="2" t="b">
        <f>IF(U32=0,IF(achievement!R$96*$B33&gt;=1,achievement!R$97,0))</f>
        <v>0</v>
      </c>
      <c r="V33" s="2" t="b">
        <f>IF(V32=0,IF(achievement!S$96*$B33&gt;=1,achievement!S$97,0))</f>
        <v>0</v>
      </c>
      <c r="W33" s="2">
        <f>IF(W32=0,IF(achievement!T$96*$B33&gt;=1,achievement!T$97,0))</f>
        <v>16</v>
      </c>
      <c r="X33" s="2">
        <f>IF(X32=0,IF(achievement!U$96*$B33&gt;=1,achievement!U$97,0))</f>
        <v>0</v>
      </c>
      <c r="Y33" s="2">
        <f>IF(Y32=0,IF(achievement!V$96*$B33&gt;=1,achievement!V$97,0))</f>
        <v>0</v>
      </c>
      <c r="Z33" s="2">
        <f>IF(Z32=0,IF(achievement!W$96*$B33&gt;=1,achievement!W$97,0))</f>
        <v>0</v>
      </c>
      <c r="AA33" s="2">
        <f>IF(AA32=0,IF(achievement!X$96*$B33&gt;=1,achievement!X$97,0))</f>
        <v>0</v>
      </c>
      <c r="AB33" s="2">
        <f>IF(AB32=0,IF(achievement!Y$96*$B33&gt;=1,achievement!Y$97,0))</f>
        <v>0</v>
      </c>
      <c r="AC33" s="2">
        <f>IF(AC32=0,IF(achievement!Z$96*$B33&gt;=1,achievement!Z$97,0))</f>
        <v>0</v>
      </c>
      <c r="AD33" s="2">
        <f>IF(AD32=0,IF(achievement!AA$96*$B33&gt;=1,achievement!AA$97,0))</f>
        <v>0</v>
      </c>
      <c r="AE33" s="2">
        <f>IF(AE32=0,IF(achievement!AB$96*$B33&gt;=1,achievement!AB$97,0))</f>
        <v>0</v>
      </c>
      <c r="AF33" s="2">
        <f>IF(AF32=0,IF(achievement!AC$96*$B33&gt;=1,achievement!AC$97,0))</f>
        <v>0</v>
      </c>
      <c r="AG33" s="2">
        <f>IF(AG32=0,IF(achievement!AD$96*$B33&gt;=1,achievement!AD$97,0))</f>
        <v>0</v>
      </c>
      <c r="AH33" s="2">
        <f>IF(AH32=0,IF(achievement!AE$96*$B33&gt;=1,achievement!AE$97,0))</f>
        <v>0</v>
      </c>
      <c r="AI33" s="2">
        <f>IF(AI32=0,IF(achievement!AF$96*$B33&gt;=1,achievement!AF$97,0))</f>
        <v>0</v>
      </c>
      <c r="AJ33" s="2">
        <f>IF(AJ32=0,IF(achievement!AG$96*$B33&gt;=1,achievement!AG$97,0))</f>
        <v>0</v>
      </c>
      <c r="AK33" s="2">
        <f>IF(AK32=0,IF(achievement!AH$96*$B33&gt;=1,achievement!AH$97,0))</f>
        <v>0</v>
      </c>
      <c r="AL33" s="2">
        <f>IF(AL32=0,IF(achievement!AI$96*$B33&gt;=1,achievement!AI$97,0))</f>
        <v>0</v>
      </c>
      <c r="AM33" s="2">
        <f>IF(AM32=0,IF(achievement!AJ$96*$B33&gt;=1,achievement!AJ$97,0))</f>
        <v>0</v>
      </c>
      <c r="AN33" s="2">
        <f>IF(AN32=0,IF(achievement!AK$96*$B33&gt;=1,achievement!AK$97,0))</f>
        <v>0</v>
      </c>
      <c r="AO33" s="2">
        <f>IF(AO32=0,IF(achievement!AL$96*$B33&gt;=1,achievement!AL$97,0))</f>
        <v>0</v>
      </c>
      <c r="AP33" s="2">
        <f>IF(AP32=0,IF(achievement!AM$96*$B33&gt;=1,achievement!AM$97,0))</f>
        <v>0</v>
      </c>
      <c r="AQ33" s="2">
        <f>IF(AQ32=0,IF(achievement!AN$96*$B33&gt;=1,achievement!AN$97,0))</f>
        <v>0</v>
      </c>
      <c r="AR33" s="2">
        <f>IF(AR32=0,IF(achievement!AO$96*$B33&gt;=1,achievement!AO$97,0))</f>
        <v>0</v>
      </c>
      <c r="AS33" s="2">
        <f>IF(AS32=0,IF(achievement!AP$96*$B33&gt;=1,achievement!AP$97,0))</f>
        <v>0</v>
      </c>
      <c r="AT33" s="2">
        <f>IF(AT32=0,IF(achievement!AQ$96*$B33&gt;=1,achievement!AQ$97,0))</f>
        <v>0</v>
      </c>
      <c r="AU33" s="2">
        <f>IF(AU32=0,IF(achievement!AR$96*$B33&gt;=1,achievement!AR$97,0))</f>
        <v>0</v>
      </c>
      <c r="AV33" s="2">
        <f>IF(AV32=0,IF(achievement!AS$96*$B33&gt;=1,achievement!AS$97,0))</f>
        <v>0</v>
      </c>
    </row>
    <row r="34" s="2" customFormat="1" ht="18" customHeight="1" spans="2:48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79</v>
      </c>
      <c r="G34" s="2">
        <f t="shared" si="2"/>
        <v>18</v>
      </c>
      <c r="H34" s="2">
        <f t="shared" si="3"/>
        <v>1145</v>
      </c>
      <c r="I34" s="2" t="b">
        <f>IF(I33=0,IF($B34&gt;=achievement!F$96,achievement!F$97,0))</f>
        <v>0</v>
      </c>
      <c r="J34" s="2" t="b">
        <f>IF(J33=0,IF($B34&gt;=achievement!G$96,achievement!G$97,0))</f>
        <v>0</v>
      </c>
      <c r="K34" s="2" t="b">
        <f>IF(K33=0,IF($B34&gt;=achievement!H$96,achievement!H$97,0))</f>
        <v>0</v>
      </c>
      <c r="L34" s="2">
        <f>IF(L33=0,IF($B34&gt;=achievement!I$96,achievement!I$97,0))</f>
        <v>0</v>
      </c>
      <c r="M34" s="2">
        <f>IF(M33=0,IF($B34&gt;=achievement!J$96,achievement!J$97,0))</f>
        <v>0</v>
      </c>
      <c r="N34" s="2">
        <f>IF(N33=0,IF($B34&gt;=achievement!K$96,achievement!K$97,0))</f>
        <v>0</v>
      </c>
      <c r="O34" s="2">
        <f>IF(O33=0,IF($B34&gt;=achievement!L$96,achievement!L$97,0))</f>
        <v>0</v>
      </c>
      <c r="P34" s="2" t="b">
        <f>IF(P33=0,IF(achievement!M$96*$B34&gt;=1,achievement!M$97,0))</f>
        <v>0</v>
      </c>
      <c r="Q34" s="2" t="b">
        <f>IF(Q33=0,IF(achievement!N$96*$B34&gt;=1,achievement!N$97,0))</f>
        <v>0</v>
      </c>
      <c r="R34" s="2" t="b">
        <f>IF(R33=0,IF(achievement!O$96*$B34&gt;=1,achievement!O$97,0))</f>
        <v>0</v>
      </c>
      <c r="S34" s="2" t="b">
        <f>IF(S33=0,IF(achievement!P$96*$B34&gt;=1,achievement!P$97,0))</f>
        <v>0</v>
      </c>
      <c r="T34" s="2" t="b">
        <f>IF(T33=0,IF(achievement!Q$96*$B34&gt;=1,achievement!Q$97,0))</f>
        <v>0</v>
      </c>
      <c r="U34" s="2" t="b">
        <f>IF(U33=0,IF(achievement!R$96*$B34&gt;=1,achievement!R$97,0))</f>
        <v>0</v>
      </c>
      <c r="V34" s="2" t="b">
        <f>IF(V33=0,IF(achievement!S$96*$B34&gt;=1,achievement!S$97,0))</f>
        <v>0</v>
      </c>
      <c r="W34" s="2" t="b">
        <f>IF(W33=0,IF(achievement!T$96*$B34&gt;=1,achievement!T$97,0))</f>
        <v>0</v>
      </c>
      <c r="X34" s="2">
        <f>IF(X33=0,IF(achievement!U$96*$B34&gt;=1,achievement!U$97,0))</f>
        <v>18</v>
      </c>
      <c r="Y34" s="2">
        <f>IF(Y33=0,IF(achievement!V$96*$B34&gt;=1,achievement!V$97,0))</f>
        <v>0</v>
      </c>
      <c r="Z34" s="2">
        <f>IF(Z33=0,IF(achievement!W$96*$B34&gt;=1,achievement!W$97,0))</f>
        <v>0</v>
      </c>
      <c r="AA34" s="2">
        <f>IF(AA33=0,IF(achievement!X$96*$B34&gt;=1,achievement!X$97,0))</f>
        <v>0</v>
      </c>
      <c r="AB34" s="2">
        <f>IF(AB33=0,IF(achievement!Y$96*$B34&gt;=1,achievement!Y$97,0))</f>
        <v>0</v>
      </c>
      <c r="AC34" s="2">
        <f>IF(AC33=0,IF(achievement!Z$96*$B34&gt;=1,achievement!Z$97,0))</f>
        <v>0</v>
      </c>
      <c r="AD34" s="2">
        <f>IF(AD33=0,IF(achievement!AA$96*$B34&gt;=1,achievement!AA$97,0))</f>
        <v>0</v>
      </c>
      <c r="AE34" s="2">
        <f>IF(AE33=0,IF(achievement!AB$96*$B34&gt;=1,achievement!AB$97,0))</f>
        <v>0</v>
      </c>
      <c r="AF34" s="2">
        <f>IF(AF33=0,IF(achievement!AC$96*$B34&gt;=1,achievement!AC$97,0))</f>
        <v>0</v>
      </c>
      <c r="AG34" s="2">
        <f>IF(AG33=0,IF(achievement!AD$96*$B34&gt;=1,achievement!AD$97,0))</f>
        <v>0</v>
      </c>
      <c r="AH34" s="2">
        <f>IF(AH33=0,IF(achievement!AE$96*$B34&gt;=1,achievement!AE$97,0))</f>
        <v>0</v>
      </c>
      <c r="AI34" s="2">
        <f>IF(AI33=0,IF(achievement!AF$96*$B34&gt;=1,achievement!AF$97,0))</f>
        <v>0</v>
      </c>
      <c r="AJ34" s="2">
        <f>IF(AJ33=0,IF(achievement!AG$96*$B34&gt;=1,achievement!AG$97,0))</f>
        <v>0</v>
      </c>
      <c r="AK34" s="2">
        <f>IF(AK33=0,IF(achievement!AH$96*$B34&gt;=1,achievement!AH$97,0))</f>
        <v>0</v>
      </c>
      <c r="AL34" s="2">
        <f>IF(AL33=0,IF(achievement!AI$96*$B34&gt;=1,achievement!AI$97,0))</f>
        <v>0</v>
      </c>
      <c r="AM34" s="2">
        <f>IF(AM33=0,IF(achievement!AJ$96*$B34&gt;=1,achievement!AJ$97,0))</f>
        <v>0</v>
      </c>
      <c r="AN34" s="2">
        <f>IF(AN33=0,IF(achievement!AK$96*$B34&gt;=1,achievement!AK$97,0))</f>
        <v>0</v>
      </c>
      <c r="AO34" s="2">
        <f>IF(AO33=0,IF(achievement!AL$96*$B34&gt;=1,achievement!AL$97,0))</f>
        <v>0</v>
      </c>
      <c r="AP34" s="2">
        <f>IF(AP33=0,IF(achievement!AM$96*$B34&gt;=1,achievement!AM$97,0))</f>
        <v>0</v>
      </c>
      <c r="AQ34" s="2">
        <f>IF(AQ33=0,IF(achievement!AN$96*$B34&gt;=1,achievement!AN$97,0))</f>
        <v>0</v>
      </c>
      <c r="AR34" s="2">
        <f>IF(AR33=0,IF(achievement!AO$96*$B34&gt;=1,achievement!AO$97,0))</f>
        <v>0</v>
      </c>
      <c r="AS34" s="2">
        <f>IF(AS33=0,IF(achievement!AP$96*$B34&gt;=1,achievement!AP$97,0))</f>
        <v>0</v>
      </c>
      <c r="AT34" s="2">
        <f>IF(AT33=0,IF(achievement!AQ$96*$B34&gt;=1,achievement!AQ$97,0))</f>
        <v>0</v>
      </c>
      <c r="AU34" s="2">
        <f>IF(AU33=0,IF(achievement!AR$96*$B34&gt;=1,achievement!AR$97,0))</f>
        <v>0</v>
      </c>
      <c r="AV34" s="2">
        <f>IF(AV33=0,IF(achievement!AS$96*$B34&gt;=1,achievement!AS$97,0))</f>
        <v>0</v>
      </c>
    </row>
    <row r="35" s="2" customFormat="1" ht="18" customHeight="1" spans="2:48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88</v>
      </c>
      <c r="G35" s="2">
        <f t="shared" si="2"/>
        <v>20</v>
      </c>
      <c r="H35" s="2">
        <f t="shared" si="3"/>
        <v>1165</v>
      </c>
      <c r="I35" s="2" t="b">
        <f>IF(I34=0,IF($B35&gt;=achievement!F$96,achievement!F$97,0))</f>
        <v>0</v>
      </c>
      <c r="J35" s="2" t="b">
        <f>IF(J34=0,IF($B35&gt;=achievement!G$96,achievement!G$97,0))</f>
        <v>0</v>
      </c>
      <c r="K35" s="2" t="b">
        <f>IF(K34=0,IF($B35&gt;=achievement!H$96,achievement!H$97,0))</f>
        <v>0</v>
      </c>
      <c r="L35" s="2">
        <f>IF(L34=0,IF($B35&gt;=achievement!I$96,achievement!I$97,0))</f>
        <v>0</v>
      </c>
      <c r="M35" s="2">
        <f>IF(M34=0,IF($B35&gt;=achievement!J$96,achievement!J$97,0))</f>
        <v>0</v>
      </c>
      <c r="N35" s="2">
        <f>IF(N34=0,IF($B35&gt;=achievement!K$96,achievement!K$97,0))</f>
        <v>0</v>
      </c>
      <c r="O35" s="2">
        <f>IF(O34=0,IF($B35&gt;=achievement!L$96,achievement!L$97,0))</f>
        <v>0</v>
      </c>
      <c r="P35" s="2" t="b">
        <f>IF(P34=0,IF(achievement!M$96*$B35&gt;=1,achievement!M$97,0))</f>
        <v>0</v>
      </c>
      <c r="Q35" s="2" t="b">
        <f>IF(Q34=0,IF(achievement!N$96*$B35&gt;=1,achievement!N$97,0))</f>
        <v>0</v>
      </c>
      <c r="R35" s="2" t="b">
        <f>IF(R34=0,IF(achievement!O$96*$B35&gt;=1,achievement!O$97,0))</f>
        <v>0</v>
      </c>
      <c r="S35" s="2" t="b">
        <f>IF(S34=0,IF(achievement!P$96*$B35&gt;=1,achievement!P$97,0))</f>
        <v>0</v>
      </c>
      <c r="T35" s="2" t="b">
        <f>IF(T34=0,IF(achievement!Q$96*$B35&gt;=1,achievement!Q$97,0))</f>
        <v>0</v>
      </c>
      <c r="U35" s="2" t="b">
        <f>IF(U34=0,IF(achievement!R$96*$B35&gt;=1,achievement!R$97,0))</f>
        <v>0</v>
      </c>
      <c r="V35" s="2" t="b">
        <f>IF(V34=0,IF(achievement!S$96*$B35&gt;=1,achievement!S$97,0))</f>
        <v>0</v>
      </c>
      <c r="W35" s="2" t="b">
        <f>IF(W34=0,IF(achievement!T$96*$B35&gt;=1,achievement!T$97,0))</f>
        <v>0</v>
      </c>
      <c r="X35" s="2" t="b">
        <f>IF(X34=0,IF(achievement!U$96*$B35&gt;=1,achievement!U$97,0))</f>
        <v>0</v>
      </c>
      <c r="Y35" s="2">
        <f>IF(Y34=0,IF(achievement!V$96*$B35&gt;=1,achievement!V$97,0))</f>
        <v>20</v>
      </c>
      <c r="Z35" s="2">
        <f>IF(Z34=0,IF(achievement!W$96*$B35&gt;=1,achievement!W$97,0))</f>
        <v>0</v>
      </c>
      <c r="AA35" s="2">
        <f>IF(AA34=0,IF(achievement!X$96*$B35&gt;=1,achievement!X$97,0))</f>
        <v>0</v>
      </c>
      <c r="AB35" s="2">
        <f>IF(AB34=0,IF(achievement!Y$96*$B35&gt;=1,achievement!Y$97,0))</f>
        <v>0</v>
      </c>
      <c r="AC35" s="2">
        <f>IF(AC34=0,IF(achievement!Z$96*$B35&gt;=1,achievement!Z$97,0))</f>
        <v>0</v>
      </c>
      <c r="AD35" s="2">
        <f>IF(AD34=0,IF(achievement!AA$96*$B35&gt;=1,achievement!AA$97,0))</f>
        <v>0</v>
      </c>
      <c r="AE35" s="2">
        <f>IF(AE34=0,IF(achievement!AB$96*$B35&gt;=1,achievement!AB$97,0))</f>
        <v>0</v>
      </c>
      <c r="AF35" s="2">
        <f>IF(AF34=0,IF(achievement!AC$96*$B35&gt;=1,achievement!AC$97,0))</f>
        <v>0</v>
      </c>
      <c r="AG35" s="2">
        <f>IF(AG34=0,IF(achievement!AD$96*$B35&gt;=1,achievement!AD$97,0))</f>
        <v>0</v>
      </c>
      <c r="AH35" s="2">
        <f>IF(AH34=0,IF(achievement!AE$96*$B35&gt;=1,achievement!AE$97,0))</f>
        <v>0</v>
      </c>
      <c r="AI35" s="2">
        <f>IF(AI34=0,IF(achievement!AF$96*$B35&gt;=1,achievement!AF$97,0))</f>
        <v>0</v>
      </c>
      <c r="AJ35" s="2">
        <f>IF(AJ34=0,IF(achievement!AG$96*$B35&gt;=1,achievement!AG$97,0))</f>
        <v>0</v>
      </c>
      <c r="AK35" s="2">
        <f>IF(AK34=0,IF(achievement!AH$96*$B35&gt;=1,achievement!AH$97,0))</f>
        <v>0</v>
      </c>
      <c r="AL35" s="2">
        <f>IF(AL34=0,IF(achievement!AI$96*$B35&gt;=1,achievement!AI$97,0))</f>
        <v>0</v>
      </c>
      <c r="AM35" s="2">
        <f>IF(AM34=0,IF(achievement!AJ$96*$B35&gt;=1,achievement!AJ$97,0))</f>
        <v>0</v>
      </c>
      <c r="AN35" s="2">
        <f>IF(AN34=0,IF(achievement!AK$96*$B35&gt;=1,achievement!AK$97,0))</f>
        <v>0</v>
      </c>
      <c r="AO35" s="2">
        <f>IF(AO34=0,IF(achievement!AL$96*$B35&gt;=1,achievement!AL$97,0))</f>
        <v>0</v>
      </c>
      <c r="AP35" s="2">
        <f>IF(AP34=0,IF(achievement!AM$96*$B35&gt;=1,achievement!AM$97,0))</f>
        <v>0</v>
      </c>
      <c r="AQ35" s="2">
        <f>IF(AQ34=0,IF(achievement!AN$96*$B35&gt;=1,achievement!AN$97,0))</f>
        <v>0</v>
      </c>
      <c r="AR35" s="2">
        <f>IF(AR34=0,IF(achievement!AO$96*$B35&gt;=1,achievement!AO$97,0))</f>
        <v>0</v>
      </c>
      <c r="AS35" s="2">
        <f>IF(AS34=0,IF(achievement!AP$96*$B35&gt;=1,achievement!AP$97,0))</f>
        <v>0</v>
      </c>
      <c r="AT35" s="2">
        <f>IF(AT34=0,IF(achievement!AQ$96*$B35&gt;=1,achievement!AQ$97,0))</f>
        <v>0</v>
      </c>
      <c r="AU35" s="2">
        <f>IF(AU34=0,IF(achievement!AR$96*$B35&gt;=1,achievement!AR$97,0))</f>
        <v>0</v>
      </c>
      <c r="AV35" s="2">
        <f>IF(AV34=0,IF(achievement!AS$96*$B35&gt;=1,achievement!AS$97,0))</f>
        <v>0</v>
      </c>
    </row>
    <row r="36" s="2" customFormat="1" ht="18" customHeight="1" spans="2:48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97</v>
      </c>
      <c r="G36" s="2">
        <f t="shared" si="2"/>
        <v>22</v>
      </c>
      <c r="H36" s="2">
        <f t="shared" si="3"/>
        <v>1187</v>
      </c>
      <c r="I36" s="2" t="b">
        <f>IF(I35=0,IF($B36&gt;=achievement!F$96,achievement!F$97,0))</f>
        <v>0</v>
      </c>
      <c r="J36" s="2" t="b">
        <f>IF(J35=0,IF($B36&gt;=achievement!G$96,achievement!G$97,0))</f>
        <v>0</v>
      </c>
      <c r="K36" s="2" t="b">
        <f>IF(K35=0,IF($B36&gt;=achievement!H$96,achievement!H$97,0))</f>
        <v>0</v>
      </c>
      <c r="L36" s="2">
        <f>IF(L35=0,IF($B36&gt;=achievement!I$96,achievement!I$97,0))</f>
        <v>0</v>
      </c>
      <c r="M36" s="2">
        <f>IF(M35=0,IF($B36&gt;=achievement!J$96,achievement!J$97,0))</f>
        <v>0</v>
      </c>
      <c r="N36" s="2">
        <f>IF(N35=0,IF($B36&gt;=achievement!K$96,achievement!K$97,0))</f>
        <v>0</v>
      </c>
      <c r="O36" s="2">
        <f>IF(O35=0,IF($B36&gt;=achievement!L$96,achievement!L$97,0))</f>
        <v>0</v>
      </c>
      <c r="P36" s="2" t="b">
        <f>IF(P35=0,IF(achievement!M$96*$B36&gt;=1,achievement!M$97,0))</f>
        <v>0</v>
      </c>
      <c r="Q36" s="2" t="b">
        <f>IF(Q35=0,IF(achievement!N$96*$B36&gt;=1,achievement!N$97,0))</f>
        <v>0</v>
      </c>
      <c r="R36" s="2" t="b">
        <f>IF(R35=0,IF(achievement!O$96*$B36&gt;=1,achievement!O$97,0))</f>
        <v>0</v>
      </c>
      <c r="S36" s="2" t="b">
        <f>IF(S35=0,IF(achievement!P$96*$B36&gt;=1,achievement!P$97,0))</f>
        <v>0</v>
      </c>
      <c r="T36" s="2" t="b">
        <f>IF(T35=0,IF(achievement!Q$96*$B36&gt;=1,achievement!Q$97,0))</f>
        <v>0</v>
      </c>
      <c r="U36" s="2" t="b">
        <f>IF(U35=0,IF(achievement!R$96*$B36&gt;=1,achievement!R$97,0))</f>
        <v>0</v>
      </c>
      <c r="V36" s="2" t="b">
        <f>IF(V35=0,IF(achievement!S$96*$B36&gt;=1,achievement!S$97,0))</f>
        <v>0</v>
      </c>
      <c r="W36" s="2" t="b">
        <f>IF(W35=0,IF(achievement!T$96*$B36&gt;=1,achievement!T$97,0))</f>
        <v>0</v>
      </c>
      <c r="X36" s="2" t="b">
        <f>IF(X35=0,IF(achievement!U$96*$B36&gt;=1,achievement!U$97,0))</f>
        <v>0</v>
      </c>
      <c r="Y36" s="2" t="b">
        <f>IF(Y35=0,IF(achievement!V$96*$B36&gt;=1,achievement!V$97,0))</f>
        <v>0</v>
      </c>
      <c r="Z36" s="2">
        <f>IF(Z35=0,IF(achievement!W$96*$B36&gt;=1,achievement!W$97,0))</f>
        <v>22</v>
      </c>
      <c r="AA36" s="2">
        <f>IF(AA35=0,IF(achievement!X$96*$B36&gt;=1,achievement!X$97,0))</f>
        <v>0</v>
      </c>
      <c r="AB36" s="2">
        <f>IF(AB35=0,IF(achievement!Y$96*$B36&gt;=1,achievement!Y$97,0))</f>
        <v>0</v>
      </c>
      <c r="AC36" s="2">
        <f>IF(AC35=0,IF(achievement!Z$96*$B36&gt;=1,achievement!Z$97,0))</f>
        <v>0</v>
      </c>
      <c r="AD36" s="2">
        <f>IF(AD35=0,IF(achievement!AA$96*$B36&gt;=1,achievement!AA$97,0))</f>
        <v>0</v>
      </c>
      <c r="AE36" s="2">
        <f>IF(AE35=0,IF(achievement!AB$96*$B36&gt;=1,achievement!AB$97,0))</f>
        <v>0</v>
      </c>
      <c r="AF36" s="2">
        <f>IF(AF35=0,IF(achievement!AC$96*$B36&gt;=1,achievement!AC$97,0))</f>
        <v>0</v>
      </c>
      <c r="AG36" s="2">
        <f>IF(AG35=0,IF(achievement!AD$96*$B36&gt;=1,achievement!AD$97,0))</f>
        <v>0</v>
      </c>
      <c r="AH36" s="2">
        <f>IF(AH35=0,IF(achievement!AE$96*$B36&gt;=1,achievement!AE$97,0))</f>
        <v>0</v>
      </c>
      <c r="AI36" s="2">
        <f>IF(AI35=0,IF(achievement!AF$96*$B36&gt;=1,achievement!AF$97,0))</f>
        <v>0</v>
      </c>
      <c r="AJ36" s="2">
        <f>IF(AJ35=0,IF(achievement!AG$96*$B36&gt;=1,achievement!AG$97,0))</f>
        <v>0</v>
      </c>
      <c r="AK36" s="2">
        <f>IF(AK35=0,IF(achievement!AH$96*$B36&gt;=1,achievement!AH$97,0))</f>
        <v>0</v>
      </c>
      <c r="AL36" s="2">
        <f>IF(AL35=0,IF(achievement!AI$96*$B36&gt;=1,achievement!AI$97,0))</f>
        <v>0</v>
      </c>
      <c r="AM36" s="2">
        <f>IF(AM35=0,IF(achievement!AJ$96*$B36&gt;=1,achievement!AJ$97,0))</f>
        <v>0</v>
      </c>
      <c r="AN36" s="2">
        <f>IF(AN35=0,IF(achievement!AK$96*$B36&gt;=1,achievement!AK$97,0))</f>
        <v>0</v>
      </c>
      <c r="AO36" s="2">
        <f>IF(AO35=0,IF(achievement!AL$96*$B36&gt;=1,achievement!AL$97,0))</f>
        <v>0</v>
      </c>
      <c r="AP36" s="2">
        <f>IF(AP35=0,IF(achievement!AM$96*$B36&gt;=1,achievement!AM$97,0))</f>
        <v>0</v>
      </c>
      <c r="AQ36" s="2">
        <f>IF(AQ35=0,IF(achievement!AN$96*$B36&gt;=1,achievement!AN$97,0))</f>
        <v>0</v>
      </c>
      <c r="AR36" s="2">
        <f>IF(AR35=0,IF(achievement!AO$96*$B36&gt;=1,achievement!AO$97,0))</f>
        <v>0</v>
      </c>
      <c r="AS36" s="2">
        <f>IF(AS35=0,IF(achievement!AP$96*$B36&gt;=1,achievement!AP$97,0))</f>
        <v>0</v>
      </c>
      <c r="AT36" s="2">
        <f>IF(AT35=0,IF(achievement!AQ$96*$B36&gt;=1,achievement!AQ$97,0))</f>
        <v>0</v>
      </c>
      <c r="AU36" s="2">
        <f>IF(AU35=0,IF(achievement!AR$96*$B36&gt;=1,achievement!AR$97,0))</f>
        <v>0</v>
      </c>
      <c r="AV36" s="2">
        <f>IF(AV35=0,IF(achievement!AS$96*$B36&gt;=1,achievement!AS$97,0))</f>
        <v>0</v>
      </c>
    </row>
    <row r="37" s="2" customFormat="1" ht="18" customHeight="1" spans="2:48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106</v>
      </c>
      <c r="G37" s="2">
        <f t="shared" si="2"/>
        <v>24</v>
      </c>
      <c r="H37" s="2">
        <f t="shared" si="3"/>
        <v>1211</v>
      </c>
      <c r="I37" s="2" t="b">
        <f>IF(I36=0,IF($B37&gt;=achievement!F$96,achievement!F$97,0))</f>
        <v>0</v>
      </c>
      <c r="J37" s="2" t="b">
        <f>IF(J36=0,IF($B37&gt;=achievement!G$96,achievement!G$97,0))</f>
        <v>0</v>
      </c>
      <c r="K37" s="2" t="b">
        <f>IF(K36=0,IF($B37&gt;=achievement!H$96,achievement!H$97,0))</f>
        <v>0</v>
      </c>
      <c r="L37" s="2">
        <f>IF(L36=0,IF($B37&gt;=achievement!I$96,achievement!I$97,0))</f>
        <v>0</v>
      </c>
      <c r="M37" s="2">
        <f>IF(M36=0,IF($B37&gt;=achievement!J$96,achievement!J$97,0))</f>
        <v>0</v>
      </c>
      <c r="N37" s="2">
        <f>IF(N36=0,IF($B37&gt;=achievement!K$96,achievement!K$97,0))</f>
        <v>0</v>
      </c>
      <c r="O37" s="2">
        <f>IF(O36=0,IF($B37&gt;=achievement!L$96,achievement!L$97,0))</f>
        <v>0</v>
      </c>
      <c r="P37" s="2" t="b">
        <f>IF(P36=0,IF(achievement!M$96*$B37&gt;=1,achievement!M$97,0))</f>
        <v>0</v>
      </c>
      <c r="Q37" s="2" t="b">
        <f>IF(Q36=0,IF(achievement!N$96*$B37&gt;=1,achievement!N$97,0))</f>
        <v>0</v>
      </c>
      <c r="R37" s="2" t="b">
        <f>IF(R36=0,IF(achievement!O$96*$B37&gt;=1,achievement!O$97,0))</f>
        <v>0</v>
      </c>
      <c r="S37" s="2" t="b">
        <f>IF(S36=0,IF(achievement!P$96*$B37&gt;=1,achievement!P$97,0))</f>
        <v>0</v>
      </c>
      <c r="T37" s="2" t="b">
        <f>IF(T36=0,IF(achievement!Q$96*$B37&gt;=1,achievement!Q$97,0))</f>
        <v>0</v>
      </c>
      <c r="U37" s="2" t="b">
        <f>IF(U36=0,IF(achievement!R$96*$B37&gt;=1,achievement!R$97,0))</f>
        <v>0</v>
      </c>
      <c r="V37" s="2" t="b">
        <f>IF(V36=0,IF(achievement!S$96*$B37&gt;=1,achievement!S$97,0))</f>
        <v>0</v>
      </c>
      <c r="W37" s="2" t="b">
        <f>IF(W36=0,IF(achievement!T$96*$B37&gt;=1,achievement!T$97,0))</f>
        <v>0</v>
      </c>
      <c r="X37" s="2" t="b">
        <f>IF(X36=0,IF(achievement!U$96*$B37&gt;=1,achievement!U$97,0))</f>
        <v>0</v>
      </c>
      <c r="Y37" s="2" t="b">
        <f>IF(Y36=0,IF(achievement!V$96*$B37&gt;=1,achievement!V$97,0))</f>
        <v>0</v>
      </c>
      <c r="Z37" s="2" t="b">
        <f>IF(Z36=0,IF(achievement!W$96*$B37&gt;=1,achievement!W$97,0))</f>
        <v>0</v>
      </c>
      <c r="AA37" s="2">
        <f>IF(AA36=0,IF(achievement!X$96*$B37&gt;=1,achievement!X$97,0))</f>
        <v>24</v>
      </c>
      <c r="AB37" s="2">
        <f>IF(AB36=0,IF(achievement!Y$96*$B37&gt;=1,achievement!Y$97,0))</f>
        <v>0</v>
      </c>
      <c r="AC37" s="2">
        <f>IF(AC36=0,IF(achievement!Z$96*$B37&gt;=1,achievement!Z$97,0))</f>
        <v>0</v>
      </c>
      <c r="AD37" s="2">
        <f>IF(AD36=0,IF(achievement!AA$96*$B37&gt;=1,achievement!AA$97,0))</f>
        <v>0</v>
      </c>
      <c r="AE37" s="2">
        <f>IF(AE36=0,IF(achievement!AB$96*$B37&gt;=1,achievement!AB$97,0))</f>
        <v>0</v>
      </c>
      <c r="AF37" s="2">
        <f>IF(AF36=0,IF(achievement!AC$96*$B37&gt;=1,achievement!AC$97,0))</f>
        <v>0</v>
      </c>
      <c r="AG37" s="2">
        <f>IF(AG36=0,IF(achievement!AD$96*$B37&gt;=1,achievement!AD$97,0))</f>
        <v>0</v>
      </c>
      <c r="AH37" s="2">
        <f>IF(AH36=0,IF(achievement!AE$96*$B37&gt;=1,achievement!AE$97,0))</f>
        <v>0</v>
      </c>
      <c r="AI37" s="2">
        <f>IF(AI36=0,IF(achievement!AF$96*$B37&gt;=1,achievement!AF$97,0))</f>
        <v>0</v>
      </c>
      <c r="AJ37" s="2">
        <f>IF(AJ36=0,IF(achievement!AG$96*$B37&gt;=1,achievement!AG$97,0))</f>
        <v>0</v>
      </c>
      <c r="AK37" s="2">
        <f>IF(AK36=0,IF(achievement!AH$96*$B37&gt;=1,achievement!AH$97,0))</f>
        <v>0</v>
      </c>
      <c r="AL37" s="2">
        <f>IF(AL36=0,IF(achievement!AI$96*$B37&gt;=1,achievement!AI$97,0))</f>
        <v>0</v>
      </c>
      <c r="AM37" s="2">
        <f>IF(AM36=0,IF(achievement!AJ$96*$B37&gt;=1,achievement!AJ$97,0))</f>
        <v>0</v>
      </c>
      <c r="AN37" s="2">
        <f>IF(AN36=0,IF(achievement!AK$96*$B37&gt;=1,achievement!AK$97,0))</f>
        <v>0</v>
      </c>
      <c r="AO37" s="2">
        <f>IF(AO36=0,IF(achievement!AL$96*$B37&gt;=1,achievement!AL$97,0))</f>
        <v>0</v>
      </c>
      <c r="AP37" s="2">
        <f>IF(AP36=0,IF(achievement!AM$96*$B37&gt;=1,achievement!AM$97,0))</f>
        <v>0</v>
      </c>
      <c r="AQ37" s="2">
        <f>IF(AQ36=0,IF(achievement!AN$96*$B37&gt;=1,achievement!AN$97,0))</f>
        <v>0</v>
      </c>
      <c r="AR37" s="2">
        <f>IF(AR36=0,IF(achievement!AO$96*$B37&gt;=1,achievement!AO$97,0))</f>
        <v>0</v>
      </c>
      <c r="AS37" s="2">
        <f>IF(AS36=0,IF(achievement!AP$96*$B37&gt;=1,achievement!AP$97,0))</f>
        <v>0</v>
      </c>
      <c r="AT37" s="2">
        <f>IF(AT36=0,IF(achievement!AQ$96*$B37&gt;=1,achievement!AQ$97,0))</f>
        <v>0</v>
      </c>
      <c r="AU37" s="2">
        <f>IF(AU36=0,IF(achievement!AR$96*$B37&gt;=1,achievement!AR$97,0))</f>
        <v>0</v>
      </c>
      <c r="AV37" s="2">
        <f>IF(AV36=0,IF(achievement!AS$96*$B37&gt;=1,achievement!AS$97,0))</f>
        <v>0</v>
      </c>
    </row>
    <row r="38" s="2" customFormat="1" ht="18" customHeight="1" spans="2:48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114</v>
      </c>
      <c r="G38" s="2">
        <f t="shared" si="2"/>
        <v>26</v>
      </c>
      <c r="H38" s="2">
        <f t="shared" si="3"/>
        <v>1237</v>
      </c>
      <c r="I38" s="2" t="b">
        <f>IF(I37=0,IF($B38&gt;=achievement!F$96,achievement!F$97,0))</f>
        <v>0</v>
      </c>
      <c r="J38" s="2" t="b">
        <f>IF(J37=0,IF($B38&gt;=achievement!G$96,achievement!G$97,0))</f>
        <v>0</v>
      </c>
      <c r="K38" s="2" t="b">
        <f>IF(K37=0,IF($B38&gt;=achievement!H$96,achievement!H$97,0))</f>
        <v>0</v>
      </c>
      <c r="L38" s="2">
        <f>IF(L37=0,IF($B38&gt;=achievement!I$96,achievement!I$97,0))</f>
        <v>0</v>
      </c>
      <c r="M38" s="2">
        <f>IF(M37=0,IF($B38&gt;=achievement!J$96,achievement!J$97,0))</f>
        <v>0</v>
      </c>
      <c r="N38" s="2">
        <f>IF(N37=0,IF($B38&gt;=achievement!K$96,achievement!K$97,0))</f>
        <v>0</v>
      </c>
      <c r="O38" s="2">
        <f>IF(O37=0,IF($B38&gt;=achievement!L$96,achievement!L$97,0))</f>
        <v>0</v>
      </c>
      <c r="P38" s="2" t="b">
        <f>IF(P37=0,IF(achievement!M$96*$B38&gt;=1,achievement!M$97,0))</f>
        <v>0</v>
      </c>
      <c r="Q38" s="2" t="b">
        <f>IF(Q37=0,IF(achievement!N$96*$B38&gt;=1,achievement!N$97,0))</f>
        <v>0</v>
      </c>
      <c r="R38" s="2" t="b">
        <f>IF(R37=0,IF(achievement!O$96*$B38&gt;=1,achievement!O$97,0))</f>
        <v>0</v>
      </c>
      <c r="S38" s="2" t="b">
        <f>IF(S37=0,IF(achievement!P$96*$B38&gt;=1,achievement!P$97,0))</f>
        <v>0</v>
      </c>
      <c r="T38" s="2" t="b">
        <f>IF(T37=0,IF(achievement!Q$96*$B38&gt;=1,achievement!Q$97,0))</f>
        <v>0</v>
      </c>
      <c r="U38" s="2" t="b">
        <f>IF(U37=0,IF(achievement!R$96*$B38&gt;=1,achievement!R$97,0))</f>
        <v>0</v>
      </c>
      <c r="V38" s="2" t="b">
        <f>IF(V37=0,IF(achievement!S$96*$B38&gt;=1,achievement!S$97,0))</f>
        <v>0</v>
      </c>
      <c r="W38" s="2" t="b">
        <f>IF(W37=0,IF(achievement!T$96*$B38&gt;=1,achievement!T$97,0))</f>
        <v>0</v>
      </c>
      <c r="X38" s="2" t="b">
        <f>IF(X37=0,IF(achievement!U$96*$B38&gt;=1,achievement!U$97,0))</f>
        <v>0</v>
      </c>
      <c r="Y38" s="2" t="b">
        <f>IF(Y37=0,IF(achievement!V$96*$B38&gt;=1,achievement!V$97,0))</f>
        <v>0</v>
      </c>
      <c r="Z38" s="2" t="b">
        <f>IF(Z37=0,IF(achievement!W$96*$B38&gt;=1,achievement!W$97,0))</f>
        <v>0</v>
      </c>
      <c r="AA38" s="2" t="b">
        <f>IF(AA37=0,IF(achievement!X$96*$B38&gt;=1,achievement!X$97,0))</f>
        <v>0</v>
      </c>
      <c r="AB38" s="2">
        <f>IF(AB37=0,IF(achievement!Y$96*$B38&gt;=1,achievement!Y$97,0))</f>
        <v>26</v>
      </c>
      <c r="AC38" s="2">
        <f>IF(AC37=0,IF(achievement!Z$96*$B38&gt;=1,achievement!Z$97,0))</f>
        <v>0</v>
      </c>
      <c r="AD38" s="2">
        <f>IF(AD37=0,IF(achievement!AA$96*$B38&gt;=1,achievement!AA$97,0))</f>
        <v>0</v>
      </c>
      <c r="AE38" s="2">
        <f>IF(AE37=0,IF(achievement!AB$96*$B38&gt;=1,achievement!AB$97,0))</f>
        <v>0</v>
      </c>
      <c r="AF38" s="2">
        <f>IF(AF37=0,IF(achievement!AC$96*$B38&gt;=1,achievement!AC$97,0))</f>
        <v>0</v>
      </c>
      <c r="AG38" s="2">
        <f>IF(AG37=0,IF(achievement!AD$96*$B38&gt;=1,achievement!AD$97,0))</f>
        <v>0</v>
      </c>
      <c r="AH38" s="2">
        <f>IF(AH37=0,IF(achievement!AE$96*$B38&gt;=1,achievement!AE$97,0))</f>
        <v>0</v>
      </c>
      <c r="AI38" s="2">
        <f>IF(AI37=0,IF(achievement!AF$96*$B38&gt;=1,achievement!AF$97,0))</f>
        <v>0</v>
      </c>
      <c r="AJ38" s="2">
        <f>IF(AJ37=0,IF(achievement!AG$96*$B38&gt;=1,achievement!AG$97,0))</f>
        <v>0</v>
      </c>
      <c r="AK38" s="2">
        <f>IF(AK37=0,IF(achievement!AH$96*$B38&gt;=1,achievement!AH$97,0))</f>
        <v>0</v>
      </c>
      <c r="AL38" s="2">
        <f>IF(AL37=0,IF(achievement!AI$96*$B38&gt;=1,achievement!AI$97,0))</f>
        <v>0</v>
      </c>
      <c r="AM38" s="2">
        <f>IF(AM37=0,IF(achievement!AJ$96*$B38&gt;=1,achievement!AJ$97,0))</f>
        <v>0</v>
      </c>
      <c r="AN38" s="2">
        <f>IF(AN37=0,IF(achievement!AK$96*$B38&gt;=1,achievement!AK$97,0))</f>
        <v>0</v>
      </c>
      <c r="AO38" s="2">
        <f>IF(AO37=0,IF(achievement!AL$96*$B38&gt;=1,achievement!AL$97,0))</f>
        <v>0</v>
      </c>
      <c r="AP38" s="2">
        <f>IF(AP37=0,IF(achievement!AM$96*$B38&gt;=1,achievement!AM$97,0))</f>
        <v>0</v>
      </c>
      <c r="AQ38" s="2">
        <f>IF(AQ37=0,IF(achievement!AN$96*$B38&gt;=1,achievement!AN$97,0))</f>
        <v>0</v>
      </c>
      <c r="AR38" s="2">
        <f>IF(AR37=0,IF(achievement!AO$96*$B38&gt;=1,achievement!AO$97,0))</f>
        <v>0</v>
      </c>
      <c r="AS38" s="2">
        <f>IF(AS37=0,IF(achievement!AP$96*$B38&gt;=1,achievement!AP$97,0))</f>
        <v>0</v>
      </c>
      <c r="AT38" s="2">
        <f>IF(AT37=0,IF(achievement!AQ$96*$B38&gt;=1,achievement!AQ$97,0))</f>
        <v>0</v>
      </c>
      <c r="AU38" s="2">
        <f>IF(AU37=0,IF(achievement!AR$96*$B38&gt;=1,achievement!AR$97,0))</f>
        <v>0</v>
      </c>
      <c r="AV38" s="2">
        <f>IF(AV37=0,IF(achievement!AS$96*$B38&gt;=1,achievement!AS$97,0))</f>
        <v>0</v>
      </c>
    </row>
    <row r="39" s="2" customFormat="1" ht="18" customHeight="1" spans="2:48">
      <c r="B39" s="2">
        <v>14</v>
      </c>
      <c r="C39" s="2">
        <f t="shared" si="0"/>
        <v>14000</v>
      </c>
      <c r="D39" s="2">
        <f>ROUND($C$8*$C$5+$C$8*$C$4*(1-$L$5),0)</f>
        <v>88</v>
      </c>
      <c r="E39" s="2">
        <f t="shared" si="1"/>
        <v>1232</v>
      </c>
      <c r="F39" s="2">
        <f>ROUND(E39*VLOOKUP($B$10,总产出!$T$4:$U$14,2,FALSE),0)</f>
        <v>123</v>
      </c>
      <c r="G39" s="2">
        <f t="shared" si="2"/>
        <v>28</v>
      </c>
      <c r="H39" s="2">
        <f t="shared" si="3"/>
        <v>1265</v>
      </c>
      <c r="I39" s="2" t="b">
        <f>IF(I38=0,IF($B39&gt;=achievement!F$96,achievement!F$97,0))</f>
        <v>0</v>
      </c>
      <c r="J39" s="2" t="b">
        <f>IF(J38=0,IF($B39&gt;=achievement!G$96,achievement!G$97,0))</f>
        <v>0</v>
      </c>
      <c r="K39" s="2" t="b">
        <f>IF(K38=0,IF($B39&gt;=achievement!H$96,achievement!H$97,0))</f>
        <v>0</v>
      </c>
      <c r="L39" s="2">
        <f>IF(L38=0,IF($B39&gt;=achievement!I$96,achievement!I$97,0))</f>
        <v>0</v>
      </c>
      <c r="M39" s="2">
        <f>IF(M38=0,IF($B39&gt;=achievement!J$96,achievement!J$97,0))</f>
        <v>0</v>
      </c>
      <c r="N39" s="2">
        <f>IF(N38=0,IF($B39&gt;=achievement!K$96,achievement!K$97,0))</f>
        <v>0</v>
      </c>
      <c r="O39" s="2">
        <f>IF(O38=0,IF($B39&gt;=achievement!L$96,achievement!L$97,0))</f>
        <v>0</v>
      </c>
      <c r="P39" s="2" t="b">
        <f>IF(P38=0,IF(achievement!M$96*$B39&gt;=1,achievement!M$97,0))</f>
        <v>0</v>
      </c>
      <c r="Q39" s="2" t="b">
        <f>IF(Q38=0,IF(achievement!N$96*$B39&gt;=1,achievement!N$97,0))</f>
        <v>0</v>
      </c>
      <c r="R39" s="2" t="b">
        <f>IF(R38=0,IF(achievement!O$96*$B39&gt;=1,achievement!O$97,0))</f>
        <v>0</v>
      </c>
      <c r="S39" s="2" t="b">
        <f>IF(S38=0,IF(achievement!P$96*$B39&gt;=1,achievement!P$97,0))</f>
        <v>0</v>
      </c>
      <c r="T39" s="2" t="b">
        <f>IF(T38=0,IF(achievement!Q$96*$B39&gt;=1,achievement!Q$97,0))</f>
        <v>0</v>
      </c>
      <c r="U39" s="2" t="b">
        <f>IF(U38=0,IF(achievement!R$96*$B39&gt;=1,achievement!R$97,0))</f>
        <v>0</v>
      </c>
      <c r="V39" s="2" t="b">
        <f>IF(V38=0,IF(achievement!S$96*$B39&gt;=1,achievement!S$97,0))</f>
        <v>0</v>
      </c>
      <c r="W39" s="2" t="b">
        <f>IF(W38=0,IF(achievement!T$96*$B39&gt;=1,achievement!T$97,0))</f>
        <v>0</v>
      </c>
      <c r="X39" s="2" t="b">
        <f>IF(X38=0,IF(achievement!U$96*$B39&gt;=1,achievement!U$97,0))</f>
        <v>0</v>
      </c>
      <c r="Y39" s="2" t="b">
        <f>IF(Y38=0,IF(achievement!V$96*$B39&gt;=1,achievement!V$97,0))</f>
        <v>0</v>
      </c>
      <c r="Z39" s="2" t="b">
        <f>IF(Z38=0,IF(achievement!W$96*$B39&gt;=1,achievement!W$97,0))</f>
        <v>0</v>
      </c>
      <c r="AA39" s="2" t="b">
        <f>IF(AA38=0,IF(achievement!X$96*$B39&gt;=1,achievement!X$97,0))</f>
        <v>0</v>
      </c>
      <c r="AB39" s="2" t="b">
        <f>IF(AB38=0,IF(achievement!Y$96*$B39&gt;=1,achievement!Y$97,0))</f>
        <v>0</v>
      </c>
      <c r="AC39" s="2">
        <f>IF(AC38=0,IF(achievement!Z$96*$B39&gt;=1,achievement!Z$97,0))</f>
        <v>28</v>
      </c>
      <c r="AD39" s="2">
        <f>IF(AD38=0,IF(achievement!AA$96*$B39&gt;=1,achievement!AA$97,0))</f>
        <v>0</v>
      </c>
      <c r="AE39" s="2">
        <f>IF(AE38=0,IF(achievement!AB$96*$B39&gt;=1,achievement!AB$97,0))</f>
        <v>0</v>
      </c>
      <c r="AF39" s="2">
        <f>IF(AF38=0,IF(achievement!AC$96*$B39&gt;=1,achievement!AC$97,0))</f>
        <v>0</v>
      </c>
      <c r="AG39" s="2">
        <f>IF(AG38=0,IF(achievement!AD$96*$B39&gt;=1,achievement!AD$97,0))</f>
        <v>0</v>
      </c>
      <c r="AH39" s="2">
        <f>IF(AH38=0,IF(achievement!AE$96*$B39&gt;=1,achievement!AE$97,0))</f>
        <v>0</v>
      </c>
      <c r="AI39" s="2">
        <f>IF(AI38=0,IF(achievement!AF$96*$B39&gt;=1,achievement!AF$97,0))</f>
        <v>0</v>
      </c>
      <c r="AJ39" s="2">
        <f>IF(AJ38=0,IF(achievement!AG$96*$B39&gt;=1,achievement!AG$97,0))</f>
        <v>0</v>
      </c>
      <c r="AK39" s="2">
        <f>IF(AK38=0,IF(achievement!AH$96*$B39&gt;=1,achievement!AH$97,0))</f>
        <v>0</v>
      </c>
      <c r="AL39" s="2">
        <f>IF(AL38=0,IF(achievement!AI$96*$B39&gt;=1,achievement!AI$97,0))</f>
        <v>0</v>
      </c>
      <c r="AM39" s="2">
        <f>IF(AM38=0,IF(achievement!AJ$96*$B39&gt;=1,achievement!AJ$97,0))</f>
        <v>0</v>
      </c>
      <c r="AN39" s="2">
        <f>IF(AN38=0,IF(achievement!AK$96*$B39&gt;=1,achievement!AK$97,0))</f>
        <v>0</v>
      </c>
      <c r="AO39" s="2">
        <f>IF(AO38=0,IF(achievement!AL$96*$B39&gt;=1,achievement!AL$97,0))</f>
        <v>0</v>
      </c>
      <c r="AP39" s="2">
        <f>IF(AP38=0,IF(achievement!AM$96*$B39&gt;=1,achievement!AM$97,0))</f>
        <v>0</v>
      </c>
      <c r="AQ39" s="2">
        <f>IF(AQ38=0,IF(achievement!AN$96*$B39&gt;=1,achievement!AN$97,0))</f>
        <v>0</v>
      </c>
      <c r="AR39" s="2">
        <f>IF(AR38=0,IF(achievement!AO$96*$B39&gt;=1,achievement!AO$97,0))</f>
        <v>0</v>
      </c>
      <c r="AS39" s="2">
        <f>IF(AS38=0,IF(achievement!AP$96*$B39&gt;=1,achievement!AP$97,0))</f>
        <v>0</v>
      </c>
      <c r="AT39" s="2">
        <f>IF(AT38=0,IF(achievement!AQ$96*$B39&gt;=1,achievement!AQ$97,0))</f>
        <v>0</v>
      </c>
      <c r="AU39" s="2">
        <f>IF(AU38=0,IF(achievement!AR$96*$B39&gt;=1,achievement!AR$97,0))</f>
        <v>0</v>
      </c>
      <c r="AV39" s="2">
        <f>IF(AV38=0,IF(achievement!AS$96*$B39&gt;=1,achievement!AS$97,0))</f>
        <v>0</v>
      </c>
    </row>
    <row r="40" s="2" customFormat="1" ht="18" customHeight="1" spans="2:48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132</v>
      </c>
      <c r="G40" s="2">
        <f t="shared" si="2"/>
        <v>30</v>
      </c>
      <c r="H40" s="2">
        <f t="shared" si="3"/>
        <v>1295</v>
      </c>
      <c r="I40" s="2" t="b">
        <f>IF(I39=0,IF($B40&gt;=achievement!F$96,achievement!F$97,0))</f>
        <v>0</v>
      </c>
      <c r="J40" s="2" t="b">
        <f>IF(J39=0,IF($B40&gt;=achievement!G$96,achievement!G$97,0))</f>
        <v>0</v>
      </c>
      <c r="K40" s="2" t="b">
        <f>IF(K39=0,IF($B40&gt;=achievement!H$96,achievement!H$97,0))</f>
        <v>0</v>
      </c>
      <c r="L40" s="2">
        <f>IF(L39=0,IF($B40&gt;=achievement!I$96,achievement!I$97,0))</f>
        <v>0</v>
      </c>
      <c r="M40" s="2">
        <f>IF(M39=0,IF($B40&gt;=achievement!J$96,achievement!J$97,0))</f>
        <v>0</v>
      </c>
      <c r="N40" s="2">
        <f>IF(N39=0,IF($B40&gt;=achievement!K$96,achievement!K$97,0))</f>
        <v>0</v>
      </c>
      <c r="O40" s="2">
        <f>IF(O39=0,IF($B40&gt;=achievement!L$96,achievement!L$97,0))</f>
        <v>0</v>
      </c>
      <c r="P40" s="2" t="b">
        <f>IF(P39=0,IF(achievement!M$96*$B40&gt;=1,achievement!M$97,0))</f>
        <v>0</v>
      </c>
      <c r="Q40" s="2" t="b">
        <f>IF(Q39=0,IF(achievement!N$96*$B40&gt;=1,achievement!N$97,0))</f>
        <v>0</v>
      </c>
      <c r="R40" s="2" t="b">
        <f>IF(R39=0,IF(achievement!O$96*$B40&gt;=1,achievement!O$97,0))</f>
        <v>0</v>
      </c>
      <c r="S40" s="2" t="b">
        <f>IF(S39=0,IF(achievement!P$96*$B40&gt;=1,achievement!P$97,0))</f>
        <v>0</v>
      </c>
      <c r="T40" s="2" t="b">
        <f>IF(T39=0,IF(achievement!Q$96*$B40&gt;=1,achievement!Q$97,0))</f>
        <v>0</v>
      </c>
      <c r="U40" s="2" t="b">
        <f>IF(U39=0,IF(achievement!R$96*$B40&gt;=1,achievement!R$97,0))</f>
        <v>0</v>
      </c>
      <c r="V40" s="2" t="b">
        <f>IF(V39=0,IF(achievement!S$96*$B40&gt;=1,achievement!S$97,0))</f>
        <v>0</v>
      </c>
      <c r="W40" s="2" t="b">
        <f>IF(W39=0,IF(achievement!T$96*$B40&gt;=1,achievement!T$97,0))</f>
        <v>0</v>
      </c>
      <c r="X40" s="2" t="b">
        <f>IF(X39=0,IF(achievement!U$96*$B40&gt;=1,achievement!U$97,0))</f>
        <v>0</v>
      </c>
      <c r="Y40" s="2" t="b">
        <f>IF(Y39=0,IF(achievement!V$96*$B40&gt;=1,achievement!V$97,0))</f>
        <v>0</v>
      </c>
      <c r="Z40" s="2" t="b">
        <f>IF(Z39=0,IF(achievement!W$96*$B40&gt;=1,achievement!W$97,0))</f>
        <v>0</v>
      </c>
      <c r="AA40" s="2" t="b">
        <f>IF(AA39=0,IF(achievement!X$96*$B40&gt;=1,achievement!X$97,0))</f>
        <v>0</v>
      </c>
      <c r="AB40" s="2" t="b">
        <f>IF(AB39=0,IF(achievement!Y$96*$B40&gt;=1,achievement!Y$97,0))</f>
        <v>0</v>
      </c>
      <c r="AC40" s="2" t="b">
        <f>IF(AC39=0,IF(achievement!Z$96*$B40&gt;=1,achievement!Z$97,0))</f>
        <v>0</v>
      </c>
      <c r="AD40" s="2">
        <f>IF(AD39=0,IF(achievement!AA$96*$B40&gt;=1,achievement!AA$97,0))</f>
        <v>30</v>
      </c>
      <c r="AE40" s="2">
        <f>IF(AE39=0,IF(achievement!AB$96*$B40&gt;=1,achievement!AB$97,0))</f>
        <v>0</v>
      </c>
      <c r="AF40" s="2">
        <f>IF(AF39=0,IF(achievement!AC$96*$B40&gt;=1,achievement!AC$97,0))</f>
        <v>0</v>
      </c>
      <c r="AG40" s="2">
        <f>IF(AG39=0,IF(achievement!AD$96*$B40&gt;=1,achievement!AD$97,0))</f>
        <v>0</v>
      </c>
      <c r="AH40" s="2">
        <f>IF(AH39=0,IF(achievement!AE$96*$B40&gt;=1,achievement!AE$97,0))</f>
        <v>0</v>
      </c>
      <c r="AI40" s="2">
        <f>IF(AI39=0,IF(achievement!AF$96*$B40&gt;=1,achievement!AF$97,0))</f>
        <v>0</v>
      </c>
      <c r="AJ40" s="2">
        <f>IF(AJ39=0,IF(achievement!AG$96*$B40&gt;=1,achievement!AG$97,0))</f>
        <v>0</v>
      </c>
      <c r="AK40" s="2">
        <f>IF(AK39=0,IF(achievement!AH$96*$B40&gt;=1,achievement!AH$97,0))</f>
        <v>0</v>
      </c>
      <c r="AL40" s="2">
        <f>IF(AL39=0,IF(achievement!AI$96*$B40&gt;=1,achievement!AI$97,0))</f>
        <v>0</v>
      </c>
      <c r="AM40" s="2">
        <f>IF(AM39=0,IF(achievement!AJ$96*$B40&gt;=1,achievement!AJ$97,0))</f>
        <v>0</v>
      </c>
      <c r="AN40" s="2">
        <f>IF(AN39=0,IF(achievement!AK$96*$B40&gt;=1,achievement!AK$97,0))</f>
        <v>0</v>
      </c>
      <c r="AO40" s="2">
        <f>IF(AO39=0,IF(achievement!AL$96*$B40&gt;=1,achievement!AL$97,0))</f>
        <v>0</v>
      </c>
      <c r="AP40" s="2">
        <f>IF(AP39=0,IF(achievement!AM$96*$B40&gt;=1,achievement!AM$97,0))</f>
        <v>0</v>
      </c>
      <c r="AQ40" s="2">
        <f>IF(AQ39=0,IF(achievement!AN$96*$B40&gt;=1,achievement!AN$97,0))</f>
        <v>0</v>
      </c>
      <c r="AR40" s="2">
        <f>IF(AR39=0,IF(achievement!AO$96*$B40&gt;=1,achievement!AO$97,0))</f>
        <v>0</v>
      </c>
      <c r="AS40" s="2">
        <f>IF(AS39=0,IF(achievement!AP$96*$B40&gt;=1,achievement!AP$97,0))</f>
        <v>0</v>
      </c>
      <c r="AT40" s="2">
        <f>IF(AT39=0,IF(achievement!AQ$96*$B40&gt;=1,achievement!AQ$97,0))</f>
        <v>0</v>
      </c>
      <c r="AU40" s="2">
        <f>IF(AU39=0,IF(achievement!AR$96*$B40&gt;=1,achievement!AR$97,0))</f>
        <v>0</v>
      </c>
      <c r="AV40" s="2">
        <f>IF(AV39=0,IF(achievement!AS$96*$B40&gt;=1,achievement!AS$97,0))</f>
        <v>0</v>
      </c>
    </row>
    <row r="41" s="2" customFormat="1" ht="18" customHeight="1" spans="2:48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141</v>
      </c>
      <c r="G41" s="2">
        <f t="shared" si="2"/>
        <v>32</v>
      </c>
      <c r="H41" s="2">
        <f t="shared" si="3"/>
        <v>1327</v>
      </c>
      <c r="I41" s="2" t="b">
        <f>IF(I40=0,IF($B41&gt;=achievement!F$96,achievement!F$97,0))</f>
        <v>0</v>
      </c>
      <c r="J41" s="2" t="b">
        <f>IF(J40=0,IF($B41&gt;=achievement!G$96,achievement!G$97,0))</f>
        <v>0</v>
      </c>
      <c r="K41" s="2" t="b">
        <f>IF(K40=0,IF($B41&gt;=achievement!H$96,achievement!H$97,0))</f>
        <v>0</v>
      </c>
      <c r="L41" s="2">
        <f>IF(L40=0,IF($B41&gt;=achievement!I$96,achievement!I$97,0))</f>
        <v>0</v>
      </c>
      <c r="M41" s="2">
        <f>IF(M40=0,IF($B41&gt;=achievement!J$96,achievement!J$97,0))</f>
        <v>0</v>
      </c>
      <c r="N41" s="2">
        <f>IF(N40=0,IF($B41&gt;=achievement!K$96,achievement!K$97,0))</f>
        <v>0</v>
      </c>
      <c r="O41" s="2">
        <f>IF(O40=0,IF($B41&gt;=achievement!L$96,achievement!L$97,0))</f>
        <v>0</v>
      </c>
      <c r="P41" s="2" t="b">
        <f>IF(P40=0,IF(achievement!M$96*$B41&gt;=1,achievement!M$97,0))</f>
        <v>0</v>
      </c>
      <c r="Q41" s="2" t="b">
        <f>IF(Q40=0,IF(achievement!N$96*$B41&gt;=1,achievement!N$97,0))</f>
        <v>0</v>
      </c>
      <c r="R41" s="2" t="b">
        <f>IF(R40=0,IF(achievement!O$96*$B41&gt;=1,achievement!O$97,0))</f>
        <v>0</v>
      </c>
      <c r="S41" s="2" t="b">
        <f>IF(S40=0,IF(achievement!P$96*$B41&gt;=1,achievement!P$97,0))</f>
        <v>0</v>
      </c>
      <c r="T41" s="2" t="b">
        <f>IF(T40=0,IF(achievement!Q$96*$B41&gt;=1,achievement!Q$97,0))</f>
        <v>0</v>
      </c>
      <c r="U41" s="2" t="b">
        <f>IF(U40=0,IF(achievement!R$96*$B41&gt;=1,achievement!R$97,0))</f>
        <v>0</v>
      </c>
      <c r="V41" s="2" t="b">
        <f>IF(V40=0,IF(achievement!S$96*$B41&gt;=1,achievement!S$97,0))</f>
        <v>0</v>
      </c>
      <c r="W41" s="2" t="b">
        <f>IF(W40=0,IF(achievement!T$96*$B41&gt;=1,achievement!T$97,0))</f>
        <v>0</v>
      </c>
      <c r="X41" s="2" t="b">
        <f>IF(X40=0,IF(achievement!U$96*$B41&gt;=1,achievement!U$97,0))</f>
        <v>0</v>
      </c>
      <c r="Y41" s="2" t="b">
        <f>IF(Y40=0,IF(achievement!V$96*$B41&gt;=1,achievement!V$97,0))</f>
        <v>0</v>
      </c>
      <c r="Z41" s="2" t="b">
        <f>IF(Z40=0,IF(achievement!W$96*$B41&gt;=1,achievement!W$97,0))</f>
        <v>0</v>
      </c>
      <c r="AA41" s="2" t="b">
        <f>IF(AA40=0,IF(achievement!X$96*$B41&gt;=1,achievement!X$97,0))</f>
        <v>0</v>
      </c>
      <c r="AB41" s="2" t="b">
        <f>IF(AB40=0,IF(achievement!Y$96*$B41&gt;=1,achievement!Y$97,0))</f>
        <v>0</v>
      </c>
      <c r="AC41" s="2" t="b">
        <f>IF(AC40=0,IF(achievement!Z$96*$B41&gt;=1,achievement!Z$97,0))</f>
        <v>0</v>
      </c>
      <c r="AD41" s="2" t="b">
        <f>IF(AD40=0,IF(achievement!AA$96*$B41&gt;=1,achievement!AA$97,0))</f>
        <v>0</v>
      </c>
      <c r="AE41" s="2">
        <f>IF(AE40=0,IF(achievement!AB$96*$B41&gt;=1,achievement!AB$97,0))</f>
        <v>32</v>
      </c>
      <c r="AF41" s="2">
        <f>IF(AF40=0,IF(achievement!AC$96*$B41&gt;=1,achievement!AC$97,0))</f>
        <v>0</v>
      </c>
      <c r="AG41" s="2">
        <f>IF(AG40=0,IF(achievement!AD$96*$B41&gt;=1,achievement!AD$97,0))</f>
        <v>0</v>
      </c>
      <c r="AH41" s="2">
        <f>IF(AH40=0,IF(achievement!AE$96*$B41&gt;=1,achievement!AE$97,0))</f>
        <v>0</v>
      </c>
      <c r="AI41" s="2">
        <f>IF(AI40=0,IF(achievement!AF$96*$B41&gt;=1,achievement!AF$97,0))</f>
        <v>0</v>
      </c>
      <c r="AJ41" s="2">
        <f>IF(AJ40=0,IF(achievement!AG$96*$B41&gt;=1,achievement!AG$97,0))</f>
        <v>0</v>
      </c>
      <c r="AK41" s="2">
        <f>IF(AK40=0,IF(achievement!AH$96*$B41&gt;=1,achievement!AH$97,0))</f>
        <v>0</v>
      </c>
      <c r="AL41" s="2">
        <f>IF(AL40=0,IF(achievement!AI$96*$B41&gt;=1,achievement!AI$97,0))</f>
        <v>0</v>
      </c>
      <c r="AM41" s="2">
        <f>IF(AM40=0,IF(achievement!AJ$96*$B41&gt;=1,achievement!AJ$97,0))</f>
        <v>0</v>
      </c>
      <c r="AN41" s="2">
        <f>IF(AN40=0,IF(achievement!AK$96*$B41&gt;=1,achievement!AK$97,0))</f>
        <v>0</v>
      </c>
      <c r="AO41" s="2">
        <f>IF(AO40=0,IF(achievement!AL$96*$B41&gt;=1,achievement!AL$97,0))</f>
        <v>0</v>
      </c>
      <c r="AP41" s="2">
        <f>IF(AP40=0,IF(achievement!AM$96*$B41&gt;=1,achievement!AM$97,0))</f>
        <v>0</v>
      </c>
      <c r="AQ41" s="2">
        <f>IF(AQ40=0,IF(achievement!AN$96*$B41&gt;=1,achievement!AN$97,0))</f>
        <v>0</v>
      </c>
      <c r="AR41" s="2">
        <f>IF(AR40=0,IF(achievement!AO$96*$B41&gt;=1,achievement!AO$97,0))</f>
        <v>0</v>
      </c>
      <c r="AS41" s="2">
        <f>IF(AS40=0,IF(achievement!AP$96*$B41&gt;=1,achievement!AP$97,0))</f>
        <v>0</v>
      </c>
      <c r="AT41" s="2">
        <f>IF(AT40=0,IF(achievement!AQ$96*$B41&gt;=1,achievement!AQ$97,0))</f>
        <v>0</v>
      </c>
      <c r="AU41" s="2">
        <f>IF(AU40=0,IF(achievement!AR$96*$B41&gt;=1,achievement!AR$97,0))</f>
        <v>0</v>
      </c>
      <c r="AV41" s="2">
        <f>IF(AV40=0,IF(achievement!AS$96*$B41&gt;=1,achievement!AS$97,0))</f>
        <v>0</v>
      </c>
    </row>
    <row r="42" s="2" customFormat="1" ht="18" customHeight="1" spans="2:48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150</v>
      </c>
      <c r="G42" s="2">
        <f t="shared" si="2"/>
        <v>34</v>
      </c>
      <c r="H42" s="2">
        <f t="shared" si="3"/>
        <v>1361</v>
      </c>
      <c r="I42" s="2" t="b">
        <f>IF(I41=0,IF($B42&gt;=achievement!F$96,achievement!F$97,0))</f>
        <v>0</v>
      </c>
      <c r="J42" s="2" t="b">
        <f>IF(J41=0,IF($B42&gt;=achievement!G$96,achievement!G$97,0))</f>
        <v>0</v>
      </c>
      <c r="K42" s="2" t="b">
        <f>IF(K41=0,IF($B42&gt;=achievement!H$96,achievement!H$97,0))</f>
        <v>0</v>
      </c>
      <c r="L42" s="2">
        <f>IF(L41=0,IF($B42&gt;=achievement!I$96,achievement!I$97,0))</f>
        <v>0</v>
      </c>
      <c r="M42" s="2">
        <f>IF(M41=0,IF($B42&gt;=achievement!J$96,achievement!J$97,0))</f>
        <v>0</v>
      </c>
      <c r="N42" s="2">
        <f>IF(N41=0,IF($B42&gt;=achievement!K$96,achievement!K$97,0))</f>
        <v>0</v>
      </c>
      <c r="O42" s="2">
        <f>IF(O41=0,IF($B42&gt;=achievement!L$96,achievement!L$97,0))</f>
        <v>0</v>
      </c>
      <c r="P42" s="2" t="b">
        <f>IF(P41=0,IF(achievement!M$96*$B42&gt;=1,achievement!M$97,0))</f>
        <v>0</v>
      </c>
      <c r="Q42" s="2" t="b">
        <f>IF(Q41=0,IF(achievement!N$96*$B42&gt;=1,achievement!N$97,0))</f>
        <v>0</v>
      </c>
      <c r="R42" s="2" t="b">
        <f>IF(R41=0,IF(achievement!O$96*$B42&gt;=1,achievement!O$97,0))</f>
        <v>0</v>
      </c>
      <c r="S42" s="2" t="b">
        <f>IF(S41=0,IF(achievement!P$96*$B42&gt;=1,achievement!P$97,0))</f>
        <v>0</v>
      </c>
      <c r="T42" s="2" t="b">
        <f>IF(T41=0,IF(achievement!Q$96*$B42&gt;=1,achievement!Q$97,0))</f>
        <v>0</v>
      </c>
      <c r="U42" s="2" t="b">
        <f>IF(U41=0,IF(achievement!R$96*$B42&gt;=1,achievement!R$97,0))</f>
        <v>0</v>
      </c>
      <c r="V42" s="2" t="b">
        <f>IF(V41=0,IF(achievement!S$96*$B42&gt;=1,achievement!S$97,0))</f>
        <v>0</v>
      </c>
      <c r="W42" s="2" t="b">
        <f>IF(W41=0,IF(achievement!T$96*$B42&gt;=1,achievement!T$97,0))</f>
        <v>0</v>
      </c>
      <c r="X42" s="2" t="b">
        <f>IF(X41=0,IF(achievement!U$96*$B42&gt;=1,achievement!U$97,0))</f>
        <v>0</v>
      </c>
      <c r="Y42" s="2" t="b">
        <f>IF(Y41=0,IF(achievement!V$96*$B42&gt;=1,achievement!V$97,0))</f>
        <v>0</v>
      </c>
      <c r="Z42" s="2" t="b">
        <f>IF(Z41=0,IF(achievement!W$96*$B42&gt;=1,achievement!W$97,0))</f>
        <v>0</v>
      </c>
      <c r="AA42" s="2" t="b">
        <f>IF(AA41=0,IF(achievement!X$96*$B42&gt;=1,achievement!X$97,0))</f>
        <v>0</v>
      </c>
      <c r="AB42" s="2" t="b">
        <f>IF(AB41=0,IF(achievement!Y$96*$B42&gt;=1,achievement!Y$97,0))</f>
        <v>0</v>
      </c>
      <c r="AC42" s="2" t="b">
        <f>IF(AC41=0,IF(achievement!Z$96*$B42&gt;=1,achievement!Z$97,0))</f>
        <v>0</v>
      </c>
      <c r="AD42" s="2" t="b">
        <f>IF(AD41=0,IF(achievement!AA$96*$B42&gt;=1,achievement!AA$97,0))</f>
        <v>0</v>
      </c>
      <c r="AE42" s="2" t="b">
        <f>IF(AE41=0,IF(achievement!AB$96*$B42&gt;=1,achievement!AB$97,0))</f>
        <v>0</v>
      </c>
      <c r="AF42" s="2">
        <f>IF(AF41=0,IF(achievement!AC$96*$B42&gt;=1,achievement!AC$97,0))</f>
        <v>34</v>
      </c>
      <c r="AG42" s="2">
        <f>IF(AG41=0,IF(achievement!AD$96*$B42&gt;=1,achievement!AD$97,0))</f>
        <v>0</v>
      </c>
      <c r="AH42" s="2">
        <f>IF(AH41=0,IF(achievement!AE$96*$B42&gt;=1,achievement!AE$97,0))</f>
        <v>0</v>
      </c>
      <c r="AI42" s="2">
        <f>IF(AI41=0,IF(achievement!AF$96*$B42&gt;=1,achievement!AF$97,0))</f>
        <v>0</v>
      </c>
      <c r="AJ42" s="2">
        <f>IF(AJ41=0,IF(achievement!AG$96*$B42&gt;=1,achievement!AG$97,0))</f>
        <v>0</v>
      </c>
      <c r="AK42" s="2">
        <f>IF(AK41=0,IF(achievement!AH$96*$B42&gt;=1,achievement!AH$97,0))</f>
        <v>0</v>
      </c>
      <c r="AL42" s="2">
        <f>IF(AL41=0,IF(achievement!AI$96*$B42&gt;=1,achievement!AI$97,0))</f>
        <v>0</v>
      </c>
      <c r="AM42" s="2">
        <f>IF(AM41=0,IF(achievement!AJ$96*$B42&gt;=1,achievement!AJ$97,0))</f>
        <v>0</v>
      </c>
      <c r="AN42" s="2">
        <f>IF(AN41=0,IF(achievement!AK$96*$B42&gt;=1,achievement!AK$97,0))</f>
        <v>0</v>
      </c>
      <c r="AO42" s="2">
        <f>IF(AO41=0,IF(achievement!AL$96*$B42&gt;=1,achievement!AL$97,0))</f>
        <v>0</v>
      </c>
      <c r="AP42" s="2">
        <f>IF(AP41=0,IF(achievement!AM$96*$B42&gt;=1,achievement!AM$97,0))</f>
        <v>0</v>
      </c>
      <c r="AQ42" s="2">
        <f>IF(AQ41=0,IF(achievement!AN$96*$B42&gt;=1,achievement!AN$97,0))</f>
        <v>0</v>
      </c>
      <c r="AR42" s="2">
        <f>IF(AR41=0,IF(achievement!AO$96*$B42&gt;=1,achievement!AO$97,0))</f>
        <v>0</v>
      </c>
      <c r="AS42" s="2">
        <f>IF(AS41=0,IF(achievement!AP$96*$B42&gt;=1,achievement!AP$97,0))</f>
        <v>0</v>
      </c>
      <c r="AT42" s="2">
        <f>IF(AT41=0,IF(achievement!AQ$96*$B42&gt;=1,achievement!AQ$97,0))</f>
        <v>0</v>
      </c>
      <c r="AU42" s="2">
        <f>IF(AU41=0,IF(achievement!AR$96*$B42&gt;=1,achievement!AR$97,0))</f>
        <v>0</v>
      </c>
      <c r="AV42" s="2">
        <f>IF(AV41=0,IF(achievement!AS$96*$B42&gt;=1,achievement!AS$97,0))</f>
        <v>0</v>
      </c>
    </row>
    <row r="43" s="2" customFormat="1" ht="18" customHeight="1" spans="2:48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158</v>
      </c>
      <c r="G43" s="2">
        <f t="shared" si="2"/>
        <v>36</v>
      </c>
      <c r="H43" s="2">
        <f t="shared" si="3"/>
        <v>1397</v>
      </c>
      <c r="I43" s="2" t="b">
        <f>IF(I42=0,IF($B43&gt;=achievement!F$96,achievement!F$97,0))</f>
        <v>0</v>
      </c>
      <c r="J43" s="2" t="b">
        <f>IF(J42=0,IF($B43&gt;=achievement!G$96,achievement!G$97,0))</f>
        <v>0</v>
      </c>
      <c r="K43" s="2" t="b">
        <f>IF(K42=0,IF($B43&gt;=achievement!H$96,achievement!H$97,0))</f>
        <v>0</v>
      </c>
      <c r="L43" s="2">
        <f>IF(L42=0,IF($B43&gt;=achievement!I$96,achievement!I$97,0))</f>
        <v>0</v>
      </c>
      <c r="M43" s="2">
        <f>IF(M42=0,IF($B43&gt;=achievement!J$96,achievement!J$97,0))</f>
        <v>0</v>
      </c>
      <c r="N43" s="2">
        <f>IF(N42=0,IF($B43&gt;=achievement!K$96,achievement!K$97,0))</f>
        <v>0</v>
      </c>
      <c r="O43" s="2">
        <f>IF(O42=0,IF($B43&gt;=achievement!L$96,achievement!L$97,0))</f>
        <v>0</v>
      </c>
      <c r="P43" s="2" t="b">
        <f>IF(P42=0,IF(achievement!M$96*$B43&gt;=1,achievement!M$97,0))</f>
        <v>0</v>
      </c>
      <c r="Q43" s="2" t="b">
        <f>IF(Q42=0,IF(achievement!N$96*$B43&gt;=1,achievement!N$97,0))</f>
        <v>0</v>
      </c>
      <c r="R43" s="2" t="b">
        <f>IF(R42=0,IF(achievement!O$96*$B43&gt;=1,achievement!O$97,0))</f>
        <v>0</v>
      </c>
      <c r="S43" s="2" t="b">
        <f>IF(S42=0,IF(achievement!P$96*$B43&gt;=1,achievement!P$97,0))</f>
        <v>0</v>
      </c>
      <c r="T43" s="2" t="b">
        <f>IF(T42=0,IF(achievement!Q$96*$B43&gt;=1,achievement!Q$97,0))</f>
        <v>0</v>
      </c>
      <c r="U43" s="2" t="b">
        <f>IF(U42=0,IF(achievement!R$96*$B43&gt;=1,achievement!R$97,0))</f>
        <v>0</v>
      </c>
      <c r="V43" s="2" t="b">
        <f>IF(V42=0,IF(achievement!S$96*$B43&gt;=1,achievement!S$97,0))</f>
        <v>0</v>
      </c>
      <c r="W43" s="2" t="b">
        <f>IF(W42=0,IF(achievement!T$96*$B43&gt;=1,achievement!T$97,0))</f>
        <v>0</v>
      </c>
      <c r="X43" s="2" t="b">
        <f>IF(X42=0,IF(achievement!U$96*$B43&gt;=1,achievement!U$97,0))</f>
        <v>0</v>
      </c>
      <c r="Y43" s="2" t="b">
        <f>IF(Y42=0,IF(achievement!V$96*$B43&gt;=1,achievement!V$97,0))</f>
        <v>0</v>
      </c>
      <c r="Z43" s="2" t="b">
        <f>IF(Z42=0,IF(achievement!W$96*$B43&gt;=1,achievement!W$97,0))</f>
        <v>0</v>
      </c>
      <c r="AA43" s="2" t="b">
        <f>IF(AA42=0,IF(achievement!X$96*$B43&gt;=1,achievement!X$97,0))</f>
        <v>0</v>
      </c>
      <c r="AB43" s="2" t="b">
        <f>IF(AB42=0,IF(achievement!Y$96*$B43&gt;=1,achievement!Y$97,0))</f>
        <v>0</v>
      </c>
      <c r="AC43" s="2" t="b">
        <f>IF(AC42=0,IF(achievement!Z$96*$B43&gt;=1,achievement!Z$97,0))</f>
        <v>0</v>
      </c>
      <c r="AD43" s="2" t="b">
        <f>IF(AD42=0,IF(achievement!AA$96*$B43&gt;=1,achievement!AA$97,0))</f>
        <v>0</v>
      </c>
      <c r="AE43" s="2" t="b">
        <f>IF(AE42=0,IF(achievement!AB$96*$B43&gt;=1,achievement!AB$97,0))</f>
        <v>0</v>
      </c>
      <c r="AF43" s="2" t="b">
        <f>IF(AF42=0,IF(achievement!AC$96*$B43&gt;=1,achievement!AC$97,0))</f>
        <v>0</v>
      </c>
      <c r="AG43" s="2">
        <f>IF(AG42=0,IF(achievement!AD$96*$B43&gt;=1,achievement!AD$97,0))</f>
        <v>36</v>
      </c>
      <c r="AH43" s="2">
        <f>IF(AH42=0,IF(achievement!AE$96*$B43&gt;=1,achievement!AE$97,0))</f>
        <v>0</v>
      </c>
      <c r="AI43" s="2">
        <f>IF(AI42=0,IF(achievement!AF$96*$B43&gt;=1,achievement!AF$97,0))</f>
        <v>0</v>
      </c>
      <c r="AJ43" s="2">
        <f>IF(AJ42=0,IF(achievement!AG$96*$B43&gt;=1,achievement!AG$97,0))</f>
        <v>0</v>
      </c>
      <c r="AK43" s="2">
        <f>IF(AK42=0,IF(achievement!AH$96*$B43&gt;=1,achievement!AH$97,0))</f>
        <v>0</v>
      </c>
      <c r="AL43" s="2">
        <f>IF(AL42=0,IF(achievement!AI$96*$B43&gt;=1,achievement!AI$97,0))</f>
        <v>0</v>
      </c>
      <c r="AM43" s="2">
        <f>IF(AM42=0,IF(achievement!AJ$96*$B43&gt;=1,achievement!AJ$97,0))</f>
        <v>0</v>
      </c>
      <c r="AN43" s="2">
        <f>IF(AN42=0,IF(achievement!AK$96*$B43&gt;=1,achievement!AK$97,0))</f>
        <v>0</v>
      </c>
      <c r="AO43" s="2">
        <f>IF(AO42=0,IF(achievement!AL$96*$B43&gt;=1,achievement!AL$97,0))</f>
        <v>0</v>
      </c>
      <c r="AP43" s="2">
        <f>IF(AP42=0,IF(achievement!AM$96*$B43&gt;=1,achievement!AM$97,0))</f>
        <v>0</v>
      </c>
      <c r="AQ43" s="2">
        <f>IF(AQ42=0,IF(achievement!AN$96*$B43&gt;=1,achievement!AN$97,0))</f>
        <v>0</v>
      </c>
      <c r="AR43" s="2">
        <f>IF(AR42=0,IF(achievement!AO$96*$B43&gt;=1,achievement!AO$97,0))</f>
        <v>0</v>
      </c>
      <c r="AS43" s="2">
        <f>IF(AS42=0,IF(achievement!AP$96*$B43&gt;=1,achievement!AP$97,0))</f>
        <v>0</v>
      </c>
      <c r="AT43" s="2">
        <f>IF(AT42=0,IF(achievement!AQ$96*$B43&gt;=1,achievement!AQ$97,0))</f>
        <v>0</v>
      </c>
      <c r="AU43" s="2">
        <f>IF(AU42=0,IF(achievement!AR$96*$B43&gt;=1,achievement!AR$97,0))</f>
        <v>0</v>
      </c>
      <c r="AV43" s="2">
        <f>IF(AV42=0,IF(achievement!AS$96*$B43&gt;=1,achievement!AS$97,0))</f>
        <v>0</v>
      </c>
    </row>
    <row r="44" s="2" customFormat="1" ht="18" customHeight="1" spans="2:48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167</v>
      </c>
      <c r="G44" s="2">
        <f t="shared" si="2"/>
        <v>38</v>
      </c>
      <c r="H44" s="2">
        <f t="shared" si="3"/>
        <v>1435</v>
      </c>
      <c r="I44" s="2" t="b">
        <f>IF(I43=0,IF($B44&gt;=achievement!F$96,achievement!F$97,0))</f>
        <v>0</v>
      </c>
      <c r="J44" s="2" t="b">
        <f>IF(J43=0,IF($B44&gt;=achievement!G$96,achievement!G$97,0))</f>
        <v>0</v>
      </c>
      <c r="K44" s="2" t="b">
        <f>IF(K43=0,IF($B44&gt;=achievement!H$96,achievement!H$97,0))</f>
        <v>0</v>
      </c>
      <c r="L44" s="2">
        <f>IF(L43=0,IF($B44&gt;=achievement!I$96,achievement!I$97,0))</f>
        <v>0</v>
      </c>
      <c r="M44" s="2">
        <f>IF(M43=0,IF($B44&gt;=achievement!J$96,achievement!J$97,0))</f>
        <v>0</v>
      </c>
      <c r="N44" s="2">
        <f>IF(N43=0,IF($B44&gt;=achievement!K$96,achievement!K$97,0))</f>
        <v>0</v>
      </c>
      <c r="O44" s="2">
        <f>IF(O43=0,IF($B44&gt;=achievement!L$96,achievement!L$97,0))</f>
        <v>0</v>
      </c>
      <c r="P44" s="2" t="b">
        <f>IF(P43=0,IF(achievement!M$96*$B44&gt;=1,achievement!M$97,0))</f>
        <v>0</v>
      </c>
      <c r="Q44" s="2" t="b">
        <f>IF(Q43=0,IF(achievement!N$96*$B44&gt;=1,achievement!N$97,0))</f>
        <v>0</v>
      </c>
      <c r="R44" s="2" t="b">
        <f>IF(R43=0,IF(achievement!O$96*$B44&gt;=1,achievement!O$97,0))</f>
        <v>0</v>
      </c>
      <c r="S44" s="2" t="b">
        <f>IF(S43=0,IF(achievement!P$96*$B44&gt;=1,achievement!P$97,0))</f>
        <v>0</v>
      </c>
      <c r="T44" s="2" t="b">
        <f>IF(T43=0,IF(achievement!Q$96*$B44&gt;=1,achievement!Q$97,0))</f>
        <v>0</v>
      </c>
      <c r="U44" s="2" t="b">
        <f>IF(U43=0,IF(achievement!R$96*$B44&gt;=1,achievement!R$97,0))</f>
        <v>0</v>
      </c>
      <c r="V44" s="2" t="b">
        <f>IF(V43=0,IF(achievement!S$96*$B44&gt;=1,achievement!S$97,0))</f>
        <v>0</v>
      </c>
      <c r="W44" s="2" t="b">
        <f>IF(W43=0,IF(achievement!T$96*$B44&gt;=1,achievement!T$97,0))</f>
        <v>0</v>
      </c>
      <c r="X44" s="2" t="b">
        <f>IF(X43=0,IF(achievement!U$96*$B44&gt;=1,achievement!U$97,0))</f>
        <v>0</v>
      </c>
      <c r="Y44" s="2" t="b">
        <f>IF(Y43=0,IF(achievement!V$96*$B44&gt;=1,achievement!V$97,0))</f>
        <v>0</v>
      </c>
      <c r="Z44" s="2" t="b">
        <f>IF(Z43=0,IF(achievement!W$96*$B44&gt;=1,achievement!W$97,0))</f>
        <v>0</v>
      </c>
      <c r="AA44" s="2" t="b">
        <f>IF(AA43=0,IF(achievement!X$96*$B44&gt;=1,achievement!X$97,0))</f>
        <v>0</v>
      </c>
      <c r="AB44" s="2" t="b">
        <f>IF(AB43=0,IF(achievement!Y$96*$B44&gt;=1,achievement!Y$97,0))</f>
        <v>0</v>
      </c>
      <c r="AC44" s="2" t="b">
        <f>IF(AC43=0,IF(achievement!Z$96*$B44&gt;=1,achievement!Z$97,0))</f>
        <v>0</v>
      </c>
      <c r="AD44" s="2" t="b">
        <f>IF(AD43=0,IF(achievement!AA$96*$B44&gt;=1,achievement!AA$97,0))</f>
        <v>0</v>
      </c>
      <c r="AE44" s="2" t="b">
        <f>IF(AE43=0,IF(achievement!AB$96*$B44&gt;=1,achievement!AB$97,0))</f>
        <v>0</v>
      </c>
      <c r="AF44" s="2" t="b">
        <f>IF(AF43=0,IF(achievement!AC$96*$B44&gt;=1,achievement!AC$97,0))</f>
        <v>0</v>
      </c>
      <c r="AG44" s="2" t="b">
        <f>IF(AG43=0,IF(achievement!AD$96*$B44&gt;=1,achievement!AD$97,0))</f>
        <v>0</v>
      </c>
      <c r="AH44" s="2">
        <f>IF(AH43=0,IF(achievement!AE$96*$B44&gt;=1,achievement!AE$97,0))</f>
        <v>38</v>
      </c>
      <c r="AI44" s="2">
        <f>IF(AI43=0,IF(achievement!AF$96*$B44&gt;=1,achievement!AF$97,0))</f>
        <v>0</v>
      </c>
      <c r="AJ44" s="2">
        <f>IF(AJ43=0,IF(achievement!AG$96*$B44&gt;=1,achievement!AG$97,0))</f>
        <v>0</v>
      </c>
      <c r="AK44" s="2">
        <f>IF(AK43=0,IF(achievement!AH$96*$B44&gt;=1,achievement!AH$97,0))</f>
        <v>0</v>
      </c>
      <c r="AL44" s="2">
        <f>IF(AL43=0,IF(achievement!AI$96*$B44&gt;=1,achievement!AI$97,0))</f>
        <v>0</v>
      </c>
      <c r="AM44" s="2">
        <f>IF(AM43=0,IF(achievement!AJ$96*$B44&gt;=1,achievement!AJ$97,0))</f>
        <v>0</v>
      </c>
      <c r="AN44" s="2">
        <f>IF(AN43=0,IF(achievement!AK$96*$B44&gt;=1,achievement!AK$97,0))</f>
        <v>0</v>
      </c>
      <c r="AO44" s="2">
        <f>IF(AO43=0,IF(achievement!AL$96*$B44&gt;=1,achievement!AL$97,0))</f>
        <v>0</v>
      </c>
      <c r="AP44" s="2">
        <f>IF(AP43=0,IF(achievement!AM$96*$B44&gt;=1,achievement!AM$97,0))</f>
        <v>0</v>
      </c>
      <c r="AQ44" s="2">
        <f>IF(AQ43=0,IF(achievement!AN$96*$B44&gt;=1,achievement!AN$97,0))</f>
        <v>0</v>
      </c>
      <c r="AR44" s="2">
        <f>IF(AR43=0,IF(achievement!AO$96*$B44&gt;=1,achievement!AO$97,0))</f>
        <v>0</v>
      </c>
      <c r="AS44" s="2">
        <f>IF(AS43=0,IF(achievement!AP$96*$B44&gt;=1,achievement!AP$97,0))</f>
        <v>0</v>
      </c>
      <c r="AT44" s="2">
        <f>IF(AT43=0,IF(achievement!AQ$96*$B44&gt;=1,achievement!AQ$97,0))</f>
        <v>0</v>
      </c>
      <c r="AU44" s="2">
        <f>IF(AU43=0,IF(achievement!AR$96*$B44&gt;=1,achievement!AR$97,0))</f>
        <v>0</v>
      </c>
      <c r="AV44" s="2">
        <f>IF(AV43=0,IF(achievement!AS$96*$B44&gt;=1,achievement!AS$97,0))</f>
        <v>0</v>
      </c>
    </row>
    <row r="45" s="1" customFormat="1" ht="18" customHeight="1" spans="2:51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176</v>
      </c>
      <c r="G45" s="2">
        <f t="shared" si="2"/>
        <v>40</v>
      </c>
      <c r="H45" s="2">
        <f t="shared" si="3"/>
        <v>1475</v>
      </c>
      <c r="I45" s="2" t="b">
        <f>IF(I44=0,IF($B45&gt;=achievement!F$96,achievement!F$97,0))</f>
        <v>0</v>
      </c>
      <c r="J45" s="2" t="b">
        <f>IF(J44=0,IF($B45&gt;=achievement!G$96,achievement!G$97,0))</f>
        <v>0</v>
      </c>
      <c r="K45" s="2" t="b">
        <f>IF(K44=0,IF($B45&gt;=achievement!H$96,achievement!H$97,0))</f>
        <v>0</v>
      </c>
      <c r="L45" s="2">
        <f>IF(L44=0,IF($B45&gt;=achievement!I$96,achievement!I$97,0))</f>
        <v>0</v>
      </c>
      <c r="M45" s="2">
        <f>IF(M44=0,IF($B45&gt;=achievement!J$96,achievement!J$97,0))</f>
        <v>0</v>
      </c>
      <c r="N45" s="2">
        <f>IF(N44=0,IF($B45&gt;=achievement!K$96,achievement!K$97,0))</f>
        <v>0</v>
      </c>
      <c r="O45" s="2">
        <f>IF(O44=0,IF($B45&gt;=achievement!L$96,achievement!L$97,0))</f>
        <v>0</v>
      </c>
      <c r="P45" s="2" t="b">
        <f>IF(P44=0,IF(achievement!M$96*$B45&gt;=1,achievement!M$97,0))</f>
        <v>0</v>
      </c>
      <c r="Q45" s="2" t="b">
        <f>IF(Q44=0,IF(achievement!N$96*$B45&gt;=1,achievement!N$97,0))</f>
        <v>0</v>
      </c>
      <c r="R45" s="2" t="b">
        <f>IF(R44=0,IF(achievement!O$96*$B45&gt;=1,achievement!O$97,0))</f>
        <v>0</v>
      </c>
      <c r="S45" s="2" t="b">
        <f>IF(S44=0,IF(achievement!P$96*$B45&gt;=1,achievement!P$97,0))</f>
        <v>0</v>
      </c>
      <c r="T45" s="2" t="b">
        <f>IF(T44=0,IF(achievement!Q$96*$B45&gt;=1,achievement!Q$97,0))</f>
        <v>0</v>
      </c>
      <c r="U45" s="2" t="b">
        <f>IF(U44=0,IF(achievement!R$96*$B45&gt;=1,achievement!R$97,0))</f>
        <v>0</v>
      </c>
      <c r="V45" s="2" t="b">
        <f>IF(V44=0,IF(achievement!S$96*$B45&gt;=1,achievement!S$97,0))</f>
        <v>0</v>
      </c>
      <c r="W45" s="2" t="b">
        <f>IF(W44=0,IF(achievement!T$96*$B45&gt;=1,achievement!T$97,0))</f>
        <v>0</v>
      </c>
      <c r="X45" s="2" t="b">
        <f>IF(X44=0,IF(achievement!U$96*$B45&gt;=1,achievement!U$97,0))</f>
        <v>0</v>
      </c>
      <c r="Y45" s="2" t="b">
        <f>IF(Y44=0,IF(achievement!V$96*$B45&gt;=1,achievement!V$97,0))</f>
        <v>0</v>
      </c>
      <c r="Z45" s="2" t="b">
        <f>IF(Z44=0,IF(achievement!W$96*$B45&gt;=1,achievement!W$97,0))</f>
        <v>0</v>
      </c>
      <c r="AA45" s="2" t="b">
        <f>IF(AA44=0,IF(achievement!X$96*$B45&gt;=1,achievement!X$97,0))</f>
        <v>0</v>
      </c>
      <c r="AB45" s="2" t="b">
        <f>IF(AB44=0,IF(achievement!Y$96*$B45&gt;=1,achievement!Y$97,0))</f>
        <v>0</v>
      </c>
      <c r="AC45" s="2" t="b">
        <f>IF(AC44=0,IF(achievement!Z$96*$B45&gt;=1,achievement!Z$97,0))</f>
        <v>0</v>
      </c>
      <c r="AD45" s="2" t="b">
        <f>IF(AD44=0,IF(achievement!AA$96*$B45&gt;=1,achievement!AA$97,0))</f>
        <v>0</v>
      </c>
      <c r="AE45" s="2" t="b">
        <f>IF(AE44=0,IF(achievement!AB$96*$B45&gt;=1,achievement!AB$97,0))</f>
        <v>0</v>
      </c>
      <c r="AF45" s="2" t="b">
        <f>IF(AF44=0,IF(achievement!AC$96*$B45&gt;=1,achievement!AC$97,0))</f>
        <v>0</v>
      </c>
      <c r="AG45" s="2" t="b">
        <f>IF(AG44=0,IF(achievement!AD$96*$B45&gt;=1,achievement!AD$97,0))</f>
        <v>0</v>
      </c>
      <c r="AH45" s="2" t="b">
        <f>IF(AH44=0,IF(achievement!AE$96*$B45&gt;=1,achievement!AE$97,0))</f>
        <v>0</v>
      </c>
      <c r="AI45" s="2">
        <f>IF(AI44=0,IF(achievement!AF$96*$B45&gt;=1,achievement!AF$97,0))</f>
        <v>40</v>
      </c>
      <c r="AJ45" s="2">
        <f>IF(AJ44=0,IF(achievement!AG$96*$B45&gt;=1,achievement!AG$97,0))</f>
        <v>0</v>
      </c>
      <c r="AK45" s="2">
        <f>IF(AK44=0,IF(achievement!AH$96*$B45&gt;=1,achievement!AH$97,0))</f>
        <v>0</v>
      </c>
      <c r="AL45" s="2">
        <f>IF(AL44=0,IF(achievement!AI$96*$B45&gt;=1,achievement!AI$97,0))</f>
        <v>0</v>
      </c>
      <c r="AM45" s="2">
        <f>IF(AM44=0,IF(achievement!AJ$96*$B45&gt;=1,achievement!AJ$97,0))</f>
        <v>0</v>
      </c>
      <c r="AN45" s="2">
        <f>IF(AN44=0,IF(achievement!AK$96*$B45&gt;=1,achievement!AK$97,0))</f>
        <v>0</v>
      </c>
      <c r="AO45" s="2">
        <f>IF(AO44=0,IF(achievement!AL$96*$B45&gt;=1,achievement!AL$97,0))</f>
        <v>0</v>
      </c>
      <c r="AP45" s="2">
        <f>IF(AP44=0,IF(achievement!AM$96*$B45&gt;=1,achievement!AM$97,0))</f>
        <v>0</v>
      </c>
      <c r="AQ45" s="2">
        <f>IF(AQ44=0,IF(achievement!AN$96*$B45&gt;=1,achievement!AN$97,0))</f>
        <v>0</v>
      </c>
      <c r="AR45" s="2">
        <f>IF(AR44=0,IF(achievement!AO$96*$B45&gt;=1,achievement!AO$97,0))</f>
        <v>0</v>
      </c>
      <c r="AS45" s="2">
        <f>IF(AS44=0,IF(achievement!AP$96*$B45&gt;=1,achievement!AP$97,0))</f>
        <v>0</v>
      </c>
      <c r="AT45" s="2">
        <f>IF(AT44=0,IF(achievement!AQ$96*$B45&gt;=1,achievement!AQ$97,0))</f>
        <v>0</v>
      </c>
      <c r="AU45" s="2">
        <f>IF(AU44=0,IF(achievement!AR$96*$B45&gt;=1,achievement!AR$97,0))</f>
        <v>0</v>
      </c>
      <c r="AV45" s="2">
        <f>IF(AV44=0,IF(achievement!AS$96*$B45&gt;=1,achievement!AS$97,0))</f>
        <v>0</v>
      </c>
      <c r="AW45" s="2"/>
      <c r="AX45" s="2"/>
      <c r="AY45" s="2"/>
    </row>
    <row r="46" s="1" customFormat="1" ht="18" customHeight="1" spans="2:51">
      <c r="B46" s="2">
        <v>21</v>
      </c>
      <c r="C46" s="2">
        <f t="shared" si="0"/>
        <v>21000</v>
      </c>
      <c r="D46" s="2">
        <f>ROUND($C$8*$C$5+$C$8*$C$4*(1-$L$5),0)</f>
        <v>88</v>
      </c>
      <c r="E46" s="2">
        <f t="shared" si="1"/>
        <v>1848</v>
      </c>
      <c r="F46" s="2">
        <f>ROUND(E46*VLOOKUP($B$10,总产出!$T$4:$U$14,2,FALSE),0)</f>
        <v>185</v>
      </c>
      <c r="G46" s="2">
        <f t="shared" si="2"/>
        <v>42</v>
      </c>
      <c r="H46" s="2">
        <f t="shared" si="3"/>
        <v>1517</v>
      </c>
      <c r="I46" s="2" t="b">
        <f>IF(I45=0,IF($B46&gt;=achievement!F$96,achievement!F$97,0))</f>
        <v>0</v>
      </c>
      <c r="J46" s="2" t="b">
        <f>IF(J45=0,IF($B46&gt;=achievement!G$96,achievement!G$97,0))</f>
        <v>0</v>
      </c>
      <c r="K46" s="2" t="b">
        <f>IF(K45=0,IF($B46&gt;=achievement!H$96,achievement!H$97,0))</f>
        <v>0</v>
      </c>
      <c r="L46" s="2">
        <f>IF(L45=0,IF($B46&gt;=achievement!I$96,achievement!I$97,0))</f>
        <v>0</v>
      </c>
      <c r="M46" s="2">
        <f>IF(M45=0,IF($B46&gt;=achievement!J$96,achievement!J$97,0))</f>
        <v>0</v>
      </c>
      <c r="N46" s="2">
        <f>IF(N45=0,IF($B46&gt;=achievement!K$96,achievement!K$97,0))</f>
        <v>0</v>
      </c>
      <c r="O46" s="2">
        <f>IF(O45=0,IF($B46&gt;=achievement!L$96,achievement!L$97,0))</f>
        <v>0</v>
      </c>
      <c r="P46" s="2" t="b">
        <f>IF(P45=0,IF(achievement!M$96*$B46&gt;=1,achievement!M$97,0))</f>
        <v>0</v>
      </c>
      <c r="Q46" s="2" t="b">
        <f>IF(Q45=0,IF(achievement!N$96*$B46&gt;=1,achievement!N$97,0))</f>
        <v>0</v>
      </c>
      <c r="R46" s="2" t="b">
        <f>IF(R45=0,IF(achievement!O$96*$B46&gt;=1,achievement!O$97,0))</f>
        <v>0</v>
      </c>
      <c r="S46" s="2" t="b">
        <f>IF(S45=0,IF(achievement!P$96*$B46&gt;=1,achievement!P$97,0))</f>
        <v>0</v>
      </c>
      <c r="T46" s="2" t="b">
        <f>IF(T45=0,IF(achievement!Q$96*$B46&gt;=1,achievement!Q$97,0))</f>
        <v>0</v>
      </c>
      <c r="U46" s="2" t="b">
        <f>IF(U45=0,IF(achievement!R$96*$B46&gt;=1,achievement!R$97,0))</f>
        <v>0</v>
      </c>
      <c r="V46" s="2" t="b">
        <f>IF(V45=0,IF(achievement!S$96*$B46&gt;=1,achievement!S$97,0))</f>
        <v>0</v>
      </c>
      <c r="W46" s="2" t="b">
        <f>IF(W45=0,IF(achievement!T$96*$B46&gt;=1,achievement!T$97,0))</f>
        <v>0</v>
      </c>
      <c r="X46" s="2" t="b">
        <f>IF(X45=0,IF(achievement!U$96*$B46&gt;=1,achievement!U$97,0))</f>
        <v>0</v>
      </c>
      <c r="Y46" s="2" t="b">
        <f>IF(Y45=0,IF(achievement!V$96*$B46&gt;=1,achievement!V$97,0))</f>
        <v>0</v>
      </c>
      <c r="Z46" s="2" t="b">
        <f>IF(Z45=0,IF(achievement!W$96*$B46&gt;=1,achievement!W$97,0))</f>
        <v>0</v>
      </c>
      <c r="AA46" s="2" t="b">
        <f>IF(AA45=0,IF(achievement!X$96*$B46&gt;=1,achievement!X$97,0))</f>
        <v>0</v>
      </c>
      <c r="AB46" s="2" t="b">
        <f>IF(AB45=0,IF(achievement!Y$96*$B46&gt;=1,achievement!Y$97,0))</f>
        <v>0</v>
      </c>
      <c r="AC46" s="2" t="b">
        <f>IF(AC45=0,IF(achievement!Z$96*$B46&gt;=1,achievement!Z$97,0))</f>
        <v>0</v>
      </c>
      <c r="AD46" s="2" t="b">
        <f>IF(AD45=0,IF(achievement!AA$96*$B46&gt;=1,achievement!AA$97,0))</f>
        <v>0</v>
      </c>
      <c r="AE46" s="2" t="b">
        <f>IF(AE45=0,IF(achievement!AB$96*$B46&gt;=1,achievement!AB$97,0))</f>
        <v>0</v>
      </c>
      <c r="AF46" s="2" t="b">
        <f>IF(AF45=0,IF(achievement!AC$96*$B46&gt;=1,achievement!AC$97,0))</f>
        <v>0</v>
      </c>
      <c r="AG46" s="2" t="b">
        <f>IF(AG45=0,IF(achievement!AD$96*$B46&gt;=1,achievement!AD$97,0))</f>
        <v>0</v>
      </c>
      <c r="AH46" s="2" t="b">
        <f>IF(AH45=0,IF(achievement!AE$96*$B46&gt;=1,achievement!AE$97,0))</f>
        <v>0</v>
      </c>
      <c r="AI46" s="2" t="b">
        <f>IF(AI45=0,IF(achievement!AF$96*$B46&gt;=1,achievement!AF$97,0))</f>
        <v>0</v>
      </c>
      <c r="AJ46" s="2">
        <f>IF(AJ45=0,IF(achievement!AG$96*$B46&gt;=1,achievement!AG$97,0))</f>
        <v>42</v>
      </c>
      <c r="AK46" s="2">
        <f>IF(AK45=0,IF(achievement!AH$96*$B46&gt;=1,achievement!AH$97,0))</f>
        <v>0</v>
      </c>
      <c r="AL46" s="2">
        <f>IF(AL45=0,IF(achievement!AI$96*$B46&gt;=1,achievement!AI$97,0))</f>
        <v>0</v>
      </c>
      <c r="AM46" s="2">
        <f>IF(AM45=0,IF(achievement!AJ$96*$B46&gt;=1,achievement!AJ$97,0))</f>
        <v>0</v>
      </c>
      <c r="AN46" s="2">
        <f>IF(AN45=0,IF(achievement!AK$96*$B46&gt;=1,achievement!AK$97,0))</f>
        <v>0</v>
      </c>
      <c r="AO46" s="2">
        <f>IF(AO45=0,IF(achievement!AL$96*$B46&gt;=1,achievement!AL$97,0))</f>
        <v>0</v>
      </c>
      <c r="AP46" s="2">
        <f>IF(AP45=0,IF(achievement!AM$96*$B46&gt;=1,achievement!AM$97,0))</f>
        <v>0</v>
      </c>
      <c r="AQ46" s="2">
        <f>IF(AQ45=0,IF(achievement!AN$96*$B46&gt;=1,achievement!AN$97,0))</f>
        <v>0</v>
      </c>
      <c r="AR46" s="2">
        <f>IF(AR45=0,IF(achievement!AO$96*$B46&gt;=1,achievement!AO$97,0))</f>
        <v>0</v>
      </c>
      <c r="AS46" s="2">
        <f>IF(AS45=0,IF(achievement!AP$96*$B46&gt;=1,achievement!AP$97,0))</f>
        <v>0</v>
      </c>
      <c r="AT46" s="2">
        <f>IF(AT45=0,IF(achievement!AQ$96*$B46&gt;=1,achievement!AQ$97,0))</f>
        <v>0</v>
      </c>
      <c r="AU46" s="2">
        <f>IF(AU45=0,IF(achievement!AR$96*$B46&gt;=1,achievement!AR$97,0))</f>
        <v>0</v>
      </c>
      <c r="AV46" s="2">
        <f>IF(AV45=0,IF(achievement!AS$96*$B46&gt;=1,achievement!AS$97,0))</f>
        <v>0</v>
      </c>
      <c r="AW46" s="2"/>
      <c r="AX46" s="2"/>
      <c r="AY46" s="2"/>
    </row>
    <row r="47" s="1" customFormat="1" ht="18" customHeight="1" spans="2:51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194</v>
      </c>
      <c r="G47" s="2">
        <f t="shared" si="2"/>
        <v>44</v>
      </c>
      <c r="H47" s="2">
        <f t="shared" si="3"/>
        <v>1561</v>
      </c>
      <c r="I47" s="2" t="b">
        <f>IF(I46=0,IF($B47&gt;=achievement!F$96,achievement!F$97,0))</f>
        <v>0</v>
      </c>
      <c r="J47" s="2" t="b">
        <f>IF(J46=0,IF($B47&gt;=achievement!G$96,achievement!G$97,0))</f>
        <v>0</v>
      </c>
      <c r="K47" s="2" t="b">
        <f>IF(K46=0,IF($B47&gt;=achievement!H$96,achievement!H$97,0))</f>
        <v>0</v>
      </c>
      <c r="L47" s="2">
        <f>IF(L46=0,IF($B47&gt;=achievement!I$96,achievement!I$97,0))</f>
        <v>0</v>
      </c>
      <c r="M47" s="2">
        <f>IF(M46=0,IF($B47&gt;=achievement!J$96,achievement!J$97,0))</f>
        <v>0</v>
      </c>
      <c r="N47" s="2">
        <f>IF(N46=0,IF($B47&gt;=achievement!K$96,achievement!K$97,0))</f>
        <v>0</v>
      </c>
      <c r="O47" s="2">
        <f>IF(O46=0,IF($B47&gt;=achievement!L$96,achievement!L$97,0))</f>
        <v>0</v>
      </c>
      <c r="P47" s="2" t="b">
        <f>IF(P46=0,IF(achievement!M$96*$B47&gt;=1,achievement!M$97,0))</f>
        <v>0</v>
      </c>
      <c r="Q47" s="2" t="b">
        <f>IF(Q46=0,IF(achievement!N$96*$B47&gt;=1,achievement!N$97,0))</f>
        <v>0</v>
      </c>
      <c r="R47" s="2" t="b">
        <f>IF(R46=0,IF(achievement!O$96*$B47&gt;=1,achievement!O$97,0))</f>
        <v>0</v>
      </c>
      <c r="S47" s="2" t="b">
        <f>IF(S46=0,IF(achievement!P$96*$B47&gt;=1,achievement!P$97,0))</f>
        <v>0</v>
      </c>
      <c r="T47" s="2" t="b">
        <f>IF(T46=0,IF(achievement!Q$96*$B47&gt;=1,achievement!Q$97,0))</f>
        <v>0</v>
      </c>
      <c r="U47" s="2" t="b">
        <f>IF(U46=0,IF(achievement!R$96*$B47&gt;=1,achievement!R$97,0))</f>
        <v>0</v>
      </c>
      <c r="V47" s="2" t="b">
        <f>IF(V46=0,IF(achievement!S$96*$B47&gt;=1,achievement!S$97,0))</f>
        <v>0</v>
      </c>
      <c r="W47" s="2" t="b">
        <f>IF(W46=0,IF(achievement!T$96*$B47&gt;=1,achievement!T$97,0))</f>
        <v>0</v>
      </c>
      <c r="X47" s="2" t="b">
        <f>IF(X46=0,IF(achievement!U$96*$B47&gt;=1,achievement!U$97,0))</f>
        <v>0</v>
      </c>
      <c r="Y47" s="2" t="b">
        <f>IF(Y46=0,IF(achievement!V$96*$B47&gt;=1,achievement!V$97,0))</f>
        <v>0</v>
      </c>
      <c r="Z47" s="2" t="b">
        <f>IF(Z46=0,IF(achievement!W$96*$B47&gt;=1,achievement!W$97,0))</f>
        <v>0</v>
      </c>
      <c r="AA47" s="2" t="b">
        <f>IF(AA46=0,IF(achievement!X$96*$B47&gt;=1,achievement!X$97,0))</f>
        <v>0</v>
      </c>
      <c r="AB47" s="2" t="b">
        <f>IF(AB46=0,IF(achievement!Y$96*$B47&gt;=1,achievement!Y$97,0))</f>
        <v>0</v>
      </c>
      <c r="AC47" s="2" t="b">
        <f>IF(AC46=0,IF(achievement!Z$96*$B47&gt;=1,achievement!Z$97,0))</f>
        <v>0</v>
      </c>
      <c r="AD47" s="2" t="b">
        <f>IF(AD46=0,IF(achievement!AA$96*$B47&gt;=1,achievement!AA$97,0))</f>
        <v>0</v>
      </c>
      <c r="AE47" s="2" t="b">
        <f>IF(AE46=0,IF(achievement!AB$96*$B47&gt;=1,achievement!AB$97,0))</f>
        <v>0</v>
      </c>
      <c r="AF47" s="2" t="b">
        <f>IF(AF46=0,IF(achievement!AC$96*$B47&gt;=1,achievement!AC$97,0))</f>
        <v>0</v>
      </c>
      <c r="AG47" s="2" t="b">
        <f>IF(AG46=0,IF(achievement!AD$96*$B47&gt;=1,achievement!AD$97,0))</f>
        <v>0</v>
      </c>
      <c r="AH47" s="2" t="b">
        <f>IF(AH46=0,IF(achievement!AE$96*$B47&gt;=1,achievement!AE$97,0))</f>
        <v>0</v>
      </c>
      <c r="AI47" s="2" t="b">
        <f>IF(AI46=0,IF(achievement!AF$96*$B47&gt;=1,achievement!AF$97,0))</f>
        <v>0</v>
      </c>
      <c r="AJ47" s="2" t="b">
        <f>IF(AJ46=0,IF(achievement!AG$96*$B47&gt;=1,achievement!AG$97,0))</f>
        <v>0</v>
      </c>
      <c r="AK47" s="2">
        <f>IF(AK46=0,IF(achievement!AH$96*$B47&gt;=1,achievement!AH$97,0))</f>
        <v>44</v>
      </c>
      <c r="AL47" s="2">
        <f>IF(AL46=0,IF(achievement!AI$96*$B47&gt;=1,achievement!AI$97,0))</f>
        <v>0</v>
      </c>
      <c r="AM47" s="2">
        <f>IF(AM46=0,IF(achievement!AJ$96*$B47&gt;=1,achievement!AJ$97,0))</f>
        <v>0</v>
      </c>
      <c r="AN47" s="2">
        <f>IF(AN46=0,IF(achievement!AK$96*$B47&gt;=1,achievement!AK$97,0))</f>
        <v>0</v>
      </c>
      <c r="AO47" s="2">
        <f>IF(AO46=0,IF(achievement!AL$96*$B47&gt;=1,achievement!AL$97,0))</f>
        <v>0</v>
      </c>
      <c r="AP47" s="2">
        <f>IF(AP46=0,IF(achievement!AM$96*$B47&gt;=1,achievement!AM$97,0))</f>
        <v>0</v>
      </c>
      <c r="AQ47" s="2">
        <f>IF(AQ46=0,IF(achievement!AN$96*$B47&gt;=1,achievement!AN$97,0))</f>
        <v>0</v>
      </c>
      <c r="AR47" s="2">
        <f>IF(AR46=0,IF(achievement!AO$96*$B47&gt;=1,achievement!AO$97,0))</f>
        <v>0</v>
      </c>
      <c r="AS47" s="2">
        <f>IF(AS46=0,IF(achievement!AP$96*$B47&gt;=1,achievement!AP$97,0))</f>
        <v>0</v>
      </c>
      <c r="AT47" s="2">
        <f>IF(AT46=0,IF(achievement!AQ$96*$B47&gt;=1,achievement!AQ$97,0))</f>
        <v>0</v>
      </c>
      <c r="AU47" s="2">
        <f>IF(AU46=0,IF(achievement!AR$96*$B47&gt;=1,achievement!AR$97,0))</f>
        <v>0</v>
      </c>
      <c r="AV47" s="2">
        <f>IF(AV46=0,IF(achievement!AS$96*$B47&gt;=1,achievement!AS$97,0))</f>
        <v>0</v>
      </c>
      <c r="AW47" s="2"/>
      <c r="AX47" s="2"/>
      <c r="AY47" s="2"/>
    </row>
    <row r="48" s="1" customFormat="1" ht="18" customHeight="1" spans="2:51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202</v>
      </c>
      <c r="G48" s="2">
        <f t="shared" si="2"/>
        <v>46</v>
      </c>
      <c r="H48" s="2">
        <f t="shared" si="3"/>
        <v>1607</v>
      </c>
      <c r="I48" s="2" t="b">
        <f>IF(I47=0,IF($B48&gt;=achievement!F$96,achievement!F$97,0))</f>
        <v>0</v>
      </c>
      <c r="J48" s="2" t="b">
        <f>IF(J47=0,IF($B48&gt;=achievement!G$96,achievement!G$97,0))</f>
        <v>0</v>
      </c>
      <c r="K48" s="2" t="b">
        <f>IF(K47=0,IF($B48&gt;=achievement!H$96,achievement!H$97,0))</f>
        <v>0</v>
      </c>
      <c r="L48" s="2">
        <f>IF(L47=0,IF($B48&gt;=achievement!I$96,achievement!I$97,0))</f>
        <v>0</v>
      </c>
      <c r="M48" s="2">
        <f>IF(M47=0,IF($B48&gt;=achievement!J$96,achievement!J$97,0))</f>
        <v>0</v>
      </c>
      <c r="N48" s="2">
        <f>IF(N47=0,IF($B48&gt;=achievement!K$96,achievement!K$97,0))</f>
        <v>0</v>
      </c>
      <c r="O48" s="2">
        <f>IF(O47=0,IF($B48&gt;=achievement!L$96,achievement!L$97,0))</f>
        <v>0</v>
      </c>
      <c r="P48" s="2" t="b">
        <f>IF(P47=0,IF(achievement!M$96*$B48&gt;=1,achievement!M$97,0))</f>
        <v>0</v>
      </c>
      <c r="Q48" s="2" t="b">
        <f>IF(Q47=0,IF(achievement!N$96*$B48&gt;=1,achievement!N$97,0))</f>
        <v>0</v>
      </c>
      <c r="R48" s="2" t="b">
        <f>IF(R47=0,IF(achievement!O$96*$B48&gt;=1,achievement!O$97,0))</f>
        <v>0</v>
      </c>
      <c r="S48" s="2" t="b">
        <f>IF(S47=0,IF(achievement!P$96*$B48&gt;=1,achievement!P$97,0))</f>
        <v>0</v>
      </c>
      <c r="T48" s="2" t="b">
        <f>IF(T47=0,IF(achievement!Q$96*$B48&gt;=1,achievement!Q$97,0))</f>
        <v>0</v>
      </c>
      <c r="U48" s="2" t="b">
        <f>IF(U47=0,IF(achievement!R$96*$B48&gt;=1,achievement!R$97,0))</f>
        <v>0</v>
      </c>
      <c r="V48" s="2" t="b">
        <f>IF(V47=0,IF(achievement!S$96*$B48&gt;=1,achievement!S$97,0))</f>
        <v>0</v>
      </c>
      <c r="W48" s="2" t="b">
        <f>IF(W47=0,IF(achievement!T$96*$B48&gt;=1,achievement!T$97,0))</f>
        <v>0</v>
      </c>
      <c r="X48" s="2" t="b">
        <f>IF(X47=0,IF(achievement!U$96*$B48&gt;=1,achievement!U$97,0))</f>
        <v>0</v>
      </c>
      <c r="Y48" s="2" t="b">
        <f>IF(Y47=0,IF(achievement!V$96*$B48&gt;=1,achievement!V$97,0))</f>
        <v>0</v>
      </c>
      <c r="Z48" s="2" t="b">
        <f>IF(Z47=0,IF(achievement!W$96*$B48&gt;=1,achievement!W$97,0))</f>
        <v>0</v>
      </c>
      <c r="AA48" s="2" t="b">
        <f>IF(AA47=0,IF(achievement!X$96*$B48&gt;=1,achievement!X$97,0))</f>
        <v>0</v>
      </c>
      <c r="AB48" s="2" t="b">
        <f>IF(AB47=0,IF(achievement!Y$96*$B48&gt;=1,achievement!Y$97,0))</f>
        <v>0</v>
      </c>
      <c r="AC48" s="2" t="b">
        <f>IF(AC47=0,IF(achievement!Z$96*$B48&gt;=1,achievement!Z$97,0))</f>
        <v>0</v>
      </c>
      <c r="AD48" s="2" t="b">
        <f>IF(AD47=0,IF(achievement!AA$96*$B48&gt;=1,achievement!AA$97,0))</f>
        <v>0</v>
      </c>
      <c r="AE48" s="2" t="b">
        <f>IF(AE47=0,IF(achievement!AB$96*$B48&gt;=1,achievement!AB$97,0))</f>
        <v>0</v>
      </c>
      <c r="AF48" s="2" t="b">
        <f>IF(AF47=0,IF(achievement!AC$96*$B48&gt;=1,achievement!AC$97,0))</f>
        <v>0</v>
      </c>
      <c r="AG48" s="2" t="b">
        <f>IF(AG47=0,IF(achievement!AD$96*$B48&gt;=1,achievement!AD$97,0))</f>
        <v>0</v>
      </c>
      <c r="AH48" s="2" t="b">
        <f>IF(AH47=0,IF(achievement!AE$96*$B48&gt;=1,achievement!AE$97,0))</f>
        <v>0</v>
      </c>
      <c r="AI48" s="2" t="b">
        <f>IF(AI47=0,IF(achievement!AF$96*$B48&gt;=1,achievement!AF$97,0))</f>
        <v>0</v>
      </c>
      <c r="AJ48" s="2" t="b">
        <f>IF(AJ47=0,IF(achievement!AG$96*$B48&gt;=1,achievement!AG$97,0))</f>
        <v>0</v>
      </c>
      <c r="AK48" s="2" t="b">
        <f>IF(AK47=0,IF(achievement!AH$96*$B48&gt;=1,achievement!AH$97,0))</f>
        <v>0</v>
      </c>
      <c r="AL48" s="2">
        <f>IF(AL47=0,IF(achievement!AI$96*$B48&gt;=1,achievement!AI$97,0))</f>
        <v>46</v>
      </c>
      <c r="AM48" s="2">
        <f>IF(AM47=0,IF(achievement!AJ$96*$B48&gt;=1,achievement!AJ$97,0))</f>
        <v>0</v>
      </c>
      <c r="AN48" s="2">
        <f>IF(AN47=0,IF(achievement!AK$96*$B48&gt;=1,achievement!AK$97,0))</f>
        <v>0</v>
      </c>
      <c r="AO48" s="2">
        <f>IF(AO47=0,IF(achievement!AL$96*$B48&gt;=1,achievement!AL$97,0))</f>
        <v>0</v>
      </c>
      <c r="AP48" s="2">
        <f>IF(AP47=0,IF(achievement!AM$96*$B48&gt;=1,achievement!AM$97,0))</f>
        <v>0</v>
      </c>
      <c r="AQ48" s="2">
        <f>IF(AQ47=0,IF(achievement!AN$96*$B48&gt;=1,achievement!AN$97,0))</f>
        <v>0</v>
      </c>
      <c r="AR48" s="2">
        <f>IF(AR47=0,IF(achievement!AO$96*$B48&gt;=1,achievement!AO$97,0))</f>
        <v>0</v>
      </c>
      <c r="AS48" s="2">
        <f>IF(AS47=0,IF(achievement!AP$96*$B48&gt;=1,achievement!AP$97,0))</f>
        <v>0</v>
      </c>
      <c r="AT48" s="2">
        <f>IF(AT47=0,IF(achievement!AQ$96*$B48&gt;=1,achievement!AQ$97,0))</f>
        <v>0</v>
      </c>
      <c r="AU48" s="2">
        <f>IF(AU47=0,IF(achievement!AR$96*$B48&gt;=1,achievement!AR$97,0))</f>
        <v>0</v>
      </c>
      <c r="AV48" s="2">
        <f>IF(AV47=0,IF(achievement!AS$96*$B48&gt;=1,achievement!AS$97,0))</f>
        <v>0</v>
      </c>
      <c r="AW48" s="2"/>
      <c r="AX48" s="2"/>
      <c r="AY48" s="2"/>
    </row>
    <row r="49" s="1" customFormat="1" ht="18" customHeight="1" spans="2:51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211</v>
      </c>
      <c r="G49" s="2">
        <f t="shared" si="2"/>
        <v>48</v>
      </c>
      <c r="H49" s="2">
        <f t="shared" si="3"/>
        <v>1655</v>
      </c>
      <c r="I49" s="2" t="b">
        <f>IF(I48=0,IF($B49&gt;=achievement!F$96,achievement!F$97,0))</f>
        <v>0</v>
      </c>
      <c r="J49" s="2" t="b">
        <f>IF(J48=0,IF($B49&gt;=achievement!G$96,achievement!G$97,0))</f>
        <v>0</v>
      </c>
      <c r="K49" s="2" t="b">
        <f>IF(K48=0,IF($B49&gt;=achievement!H$96,achievement!H$97,0))</f>
        <v>0</v>
      </c>
      <c r="L49" s="2">
        <f>IF(L48=0,IF($B49&gt;=achievement!I$96,achievement!I$97,0))</f>
        <v>0</v>
      </c>
      <c r="M49" s="2">
        <f>IF(M48=0,IF($B49&gt;=achievement!J$96,achievement!J$97,0))</f>
        <v>0</v>
      </c>
      <c r="N49" s="2">
        <f>IF(N48=0,IF($B49&gt;=achievement!K$96,achievement!K$97,0))</f>
        <v>0</v>
      </c>
      <c r="O49" s="2">
        <f>IF(O48=0,IF($B49&gt;=achievement!L$96,achievement!L$97,0))</f>
        <v>0</v>
      </c>
      <c r="P49" s="2" t="b">
        <f>IF(P48=0,IF(achievement!M$96*$B49&gt;=1,achievement!M$97,0))</f>
        <v>0</v>
      </c>
      <c r="Q49" s="2" t="b">
        <f>IF(Q48=0,IF(achievement!N$96*$B49&gt;=1,achievement!N$97,0))</f>
        <v>0</v>
      </c>
      <c r="R49" s="2" t="b">
        <f>IF(R48=0,IF(achievement!O$96*$B49&gt;=1,achievement!O$97,0))</f>
        <v>0</v>
      </c>
      <c r="S49" s="2" t="b">
        <f>IF(S48=0,IF(achievement!P$96*$B49&gt;=1,achievement!P$97,0))</f>
        <v>0</v>
      </c>
      <c r="T49" s="2" t="b">
        <f>IF(T48=0,IF(achievement!Q$96*$B49&gt;=1,achievement!Q$97,0))</f>
        <v>0</v>
      </c>
      <c r="U49" s="2" t="b">
        <f>IF(U48=0,IF(achievement!R$96*$B49&gt;=1,achievement!R$97,0))</f>
        <v>0</v>
      </c>
      <c r="V49" s="2" t="b">
        <f>IF(V48=0,IF(achievement!S$96*$B49&gt;=1,achievement!S$97,0))</f>
        <v>0</v>
      </c>
      <c r="W49" s="2" t="b">
        <f>IF(W48=0,IF(achievement!T$96*$B49&gt;=1,achievement!T$97,0))</f>
        <v>0</v>
      </c>
      <c r="X49" s="2" t="b">
        <f>IF(X48=0,IF(achievement!U$96*$B49&gt;=1,achievement!U$97,0))</f>
        <v>0</v>
      </c>
      <c r="Y49" s="2" t="b">
        <f>IF(Y48=0,IF(achievement!V$96*$B49&gt;=1,achievement!V$97,0))</f>
        <v>0</v>
      </c>
      <c r="Z49" s="2" t="b">
        <f>IF(Z48=0,IF(achievement!W$96*$B49&gt;=1,achievement!W$97,0))</f>
        <v>0</v>
      </c>
      <c r="AA49" s="2" t="b">
        <f>IF(AA48=0,IF(achievement!X$96*$B49&gt;=1,achievement!X$97,0))</f>
        <v>0</v>
      </c>
      <c r="AB49" s="2" t="b">
        <f>IF(AB48=0,IF(achievement!Y$96*$B49&gt;=1,achievement!Y$97,0))</f>
        <v>0</v>
      </c>
      <c r="AC49" s="2" t="b">
        <f>IF(AC48=0,IF(achievement!Z$96*$B49&gt;=1,achievement!Z$97,0))</f>
        <v>0</v>
      </c>
      <c r="AD49" s="2" t="b">
        <f>IF(AD48=0,IF(achievement!AA$96*$B49&gt;=1,achievement!AA$97,0))</f>
        <v>0</v>
      </c>
      <c r="AE49" s="2" t="b">
        <f>IF(AE48=0,IF(achievement!AB$96*$B49&gt;=1,achievement!AB$97,0))</f>
        <v>0</v>
      </c>
      <c r="AF49" s="2" t="b">
        <f>IF(AF48=0,IF(achievement!AC$96*$B49&gt;=1,achievement!AC$97,0))</f>
        <v>0</v>
      </c>
      <c r="AG49" s="2" t="b">
        <f>IF(AG48=0,IF(achievement!AD$96*$B49&gt;=1,achievement!AD$97,0))</f>
        <v>0</v>
      </c>
      <c r="AH49" s="2" t="b">
        <f>IF(AH48=0,IF(achievement!AE$96*$B49&gt;=1,achievement!AE$97,0))</f>
        <v>0</v>
      </c>
      <c r="AI49" s="2" t="b">
        <f>IF(AI48=0,IF(achievement!AF$96*$B49&gt;=1,achievement!AF$97,0))</f>
        <v>0</v>
      </c>
      <c r="AJ49" s="2" t="b">
        <f>IF(AJ48=0,IF(achievement!AG$96*$B49&gt;=1,achievement!AG$97,0))</f>
        <v>0</v>
      </c>
      <c r="AK49" s="2" t="b">
        <f>IF(AK48=0,IF(achievement!AH$96*$B49&gt;=1,achievement!AH$97,0))</f>
        <v>0</v>
      </c>
      <c r="AL49" s="2" t="b">
        <f>IF(AL48=0,IF(achievement!AI$96*$B49&gt;=1,achievement!AI$97,0))</f>
        <v>0</v>
      </c>
      <c r="AM49" s="2">
        <f>IF(AM48=0,IF(achievement!AJ$96*$B49&gt;=1,achievement!AJ$97,0))</f>
        <v>48</v>
      </c>
      <c r="AN49" s="2">
        <f>IF(AN48=0,IF(achievement!AK$96*$B49&gt;=1,achievement!AK$97,0))</f>
        <v>0</v>
      </c>
      <c r="AO49" s="2">
        <f>IF(AO48=0,IF(achievement!AL$96*$B49&gt;=1,achievement!AL$97,0))</f>
        <v>0</v>
      </c>
      <c r="AP49" s="2">
        <f>IF(AP48=0,IF(achievement!AM$96*$B49&gt;=1,achievement!AM$97,0))</f>
        <v>0</v>
      </c>
      <c r="AQ49" s="2">
        <f>IF(AQ48=0,IF(achievement!AN$96*$B49&gt;=1,achievement!AN$97,0))</f>
        <v>0</v>
      </c>
      <c r="AR49" s="2">
        <f>IF(AR48=0,IF(achievement!AO$96*$B49&gt;=1,achievement!AO$97,0))</f>
        <v>0</v>
      </c>
      <c r="AS49" s="2">
        <f>IF(AS48=0,IF(achievement!AP$96*$B49&gt;=1,achievement!AP$97,0))</f>
        <v>0</v>
      </c>
      <c r="AT49" s="2">
        <f>IF(AT48=0,IF(achievement!AQ$96*$B49&gt;=1,achievement!AQ$97,0))</f>
        <v>0</v>
      </c>
      <c r="AU49" s="2">
        <f>IF(AU48=0,IF(achievement!AR$96*$B49&gt;=1,achievement!AR$97,0))</f>
        <v>0</v>
      </c>
      <c r="AV49" s="2">
        <f>IF(AV48=0,IF(achievement!AS$96*$B49&gt;=1,achievement!AS$97,0))</f>
        <v>0</v>
      </c>
      <c r="AW49" s="2"/>
      <c r="AX49" s="2"/>
      <c r="AY49" s="2"/>
    </row>
    <row r="50" s="1" customFormat="1" ht="18" customHeight="1" spans="2:51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220</v>
      </c>
      <c r="G50" s="2">
        <f t="shared" si="2"/>
        <v>50</v>
      </c>
      <c r="H50" s="2">
        <f t="shared" si="3"/>
        <v>1705</v>
      </c>
      <c r="I50" s="2" t="b">
        <f>IF(I49=0,IF($B50&gt;=achievement!F$96,achievement!F$97,0))</f>
        <v>0</v>
      </c>
      <c r="J50" s="2" t="b">
        <f>IF(J49=0,IF($B50&gt;=achievement!G$96,achievement!G$97,0))</f>
        <v>0</v>
      </c>
      <c r="K50" s="2" t="b">
        <f>IF(K49=0,IF($B50&gt;=achievement!H$96,achievement!H$97,0))</f>
        <v>0</v>
      </c>
      <c r="L50" s="2">
        <f>IF(L49=0,IF($B50&gt;=achievement!I$96,achievement!I$97,0))</f>
        <v>0</v>
      </c>
      <c r="M50" s="2">
        <f>IF(M49=0,IF($B50&gt;=achievement!J$96,achievement!J$97,0))</f>
        <v>0</v>
      </c>
      <c r="N50" s="2">
        <f>IF(N49=0,IF($B50&gt;=achievement!K$96,achievement!K$97,0))</f>
        <v>0</v>
      </c>
      <c r="O50" s="2">
        <f>IF(O49=0,IF($B50&gt;=achievement!L$96,achievement!L$97,0))</f>
        <v>0</v>
      </c>
      <c r="P50" s="2" t="b">
        <f>IF(P49=0,IF(achievement!M$96*$B50&gt;=1,achievement!M$97,0))</f>
        <v>0</v>
      </c>
      <c r="Q50" s="2" t="b">
        <f>IF(Q49=0,IF(achievement!N$96*$B50&gt;=1,achievement!N$97,0))</f>
        <v>0</v>
      </c>
      <c r="R50" s="2" t="b">
        <f>IF(R49=0,IF(achievement!O$96*$B50&gt;=1,achievement!O$97,0))</f>
        <v>0</v>
      </c>
      <c r="S50" s="2" t="b">
        <f>IF(S49=0,IF(achievement!P$96*$B50&gt;=1,achievement!P$97,0))</f>
        <v>0</v>
      </c>
      <c r="T50" s="2" t="b">
        <f>IF(T49=0,IF(achievement!Q$96*$B50&gt;=1,achievement!Q$97,0))</f>
        <v>0</v>
      </c>
      <c r="U50" s="2" t="b">
        <f>IF(U49=0,IF(achievement!R$96*$B50&gt;=1,achievement!R$97,0))</f>
        <v>0</v>
      </c>
      <c r="V50" s="2" t="b">
        <f>IF(V49=0,IF(achievement!S$96*$B50&gt;=1,achievement!S$97,0))</f>
        <v>0</v>
      </c>
      <c r="W50" s="2" t="b">
        <f>IF(W49=0,IF(achievement!T$96*$B50&gt;=1,achievement!T$97,0))</f>
        <v>0</v>
      </c>
      <c r="X50" s="2" t="b">
        <f>IF(X49=0,IF(achievement!U$96*$B50&gt;=1,achievement!U$97,0))</f>
        <v>0</v>
      </c>
      <c r="Y50" s="2" t="b">
        <f>IF(Y49=0,IF(achievement!V$96*$B50&gt;=1,achievement!V$97,0))</f>
        <v>0</v>
      </c>
      <c r="Z50" s="2" t="b">
        <f>IF(Z49=0,IF(achievement!W$96*$B50&gt;=1,achievement!W$97,0))</f>
        <v>0</v>
      </c>
      <c r="AA50" s="2" t="b">
        <f>IF(AA49=0,IF(achievement!X$96*$B50&gt;=1,achievement!X$97,0))</f>
        <v>0</v>
      </c>
      <c r="AB50" s="2" t="b">
        <f>IF(AB49=0,IF(achievement!Y$96*$B50&gt;=1,achievement!Y$97,0))</f>
        <v>0</v>
      </c>
      <c r="AC50" s="2" t="b">
        <f>IF(AC49=0,IF(achievement!Z$96*$B50&gt;=1,achievement!Z$97,0))</f>
        <v>0</v>
      </c>
      <c r="AD50" s="2" t="b">
        <f>IF(AD49=0,IF(achievement!AA$96*$B50&gt;=1,achievement!AA$97,0))</f>
        <v>0</v>
      </c>
      <c r="AE50" s="2" t="b">
        <f>IF(AE49=0,IF(achievement!AB$96*$B50&gt;=1,achievement!AB$97,0))</f>
        <v>0</v>
      </c>
      <c r="AF50" s="2" t="b">
        <f>IF(AF49=0,IF(achievement!AC$96*$B50&gt;=1,achievement!AC$97,0))</f>
        <v>0</v>
      </c>
      <c r="AG50" s="2" t="b">
        <f>IF(AG49=0,IF(achievement!AD$96*$B50&gt;=1,achievement!AD$97,0))</f>
        <v>0</v>
      </c>
      <c r="AH50" s="2" t="b">
        <f>IF(AH49=0,IF(achievement!AE$96*$B50&gt;=1,achievement!AE$97,0))</f>
        <v>0</v>
      </c>
      <c r="AI50" s="2" t="b">
        <f>IF(AI49=0,IF(achievement!AF$96*$B50&gt;=1,achievement!AF$97,0))</f>
        <v>0</v>
      </c>
      <c r="AJ50" s="2" t="b">
        <f>IF(AJ49=0,IF(achievement!AG$96*$B50&gt;=1,achievement!AG$97,0))</f>
        <v>0</v>
      </c>
      <c r="AK50" s="2" t="b">
        <f>IF(AK49=0,IF(achievement!AH$96*$B50&gt;=1,achievement!AH$97,0))</f>
        <v>0</v>
      </c>
      <c r="AL50" s="2" t="b">
        <f>IF(AL49=0,IF(achievement!AI$96*$B50&gt;=1,achievement!AI$97,0))</f>
        <v>0</v>
      </c>
      <c r="AM50" s="2" t="b">
        <f>IF(AM49=0,IF(achievement!AJ$96*$B50&gt;=1,achievement!AJ$97,0))</f>
        <v>0</v>
      </c>
      <c r="AN50" s="2">
        <f>IF(AN49=0,IF(achievement!AK$96*$B50&gt;=1,achievement!AK$97,0))</f>
        <v>50</v>
      </c>
      <c r="AO50" s="2">
        <f>IF(AO49=0,IF(achievement!AL$96*$B50&gt;=1,achievement!AL$97,0))</f>
        <v>0</v>
      </c>
      <c r="AP50" s="2">
        <f>IF(AP49=0,IF(achievement!AM$96*$B50&gt;=1,achievement!AM$97,0))</f>
        <v>0</v>
      </c>
      <c r="AQ50" s="2">
        <f>IF(AQ49=0,IF(achievement!AN$96*$B50&gt;=1,achievement!AN$97,0))</f>
        <v>0</v>
      </c>
      <c r="AR50" s="2">
        <f>IF(AR49=0,IF(achievement!AO$96*$B50&gt;=1,achievement!AO$97,0))</f>
        <v>0</v>
      </c>
      <c r="AS50" s="2">
        <f>IF(AS49=0,IF(achievement!AP$96*$B50&gt;=1,achievement!AP$97,0))</f>
        <v>0</v>
      </c>
      <c r="AT50" s="2">
        <f>IF(AT49=0,IF(achievement!AQ$96*$B50&gt;=1,achievement!AQ$97,0))</f>
        <v>0</v>
      </c>
      <c r="AU50" s="2">
        <f>IF(AU49=0,IF(achievement!AR$96*$B50&gt;=1,achievement!AR$97,0))</f>
        <v>0</v>
      </c>
      <c r="AV50" s="2">
        <f>IF(AV49=0,IF(achievement!AS$96*$B50&gt;=1,achievement!AS$97,0))</f>
        <v>0</v>
      </c>
      <c r="AW50" s="2"/>
      <c r="AX50" s="2"/>
      <c r="AY50" s="2"/>
    </row>
    <row r="51" s="1" customFormat="1" ht="18" customHeight="1" spans="2:51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229</v>
      </c>
      <c r="G51" s="2">
        <f t="shared" si="2"/>
        <v>52</v>
      </c>
      <c r="H51" s="2">
        <f t="shared" si="3"/>
        <v>1757</v>
      </c>
      <c r="I51" s="2" t="b">
        <f>IF(I50=0,IF($B51&gt;=achievement!F$96,achievement!F$97,0))</f>
        <v>0</v>
      </c>
      <c r="J51" s="2" t="b">
        <f>IF(J50=0,IF($B51&gt;=achievement!G$96,achievement!G$97,0))</f>
        <v>0</v>
      </c>
      <c r="K51" s="2" t="b">
        <f>IF(K50=0,IF($B51&gt;=achievement!H$96,achievement!H$97,0))</f>
        <v>0</v>
      </c>
      <c r="L51" s="2">
        <f>IF(L50=0,IF($B51&gt;=achievement!I$96,achievement!I$97,0))</f>
        <v>0</v>
      </c>
      <c r="M51" s="2">
        <f>IF(M50=0,IF($B51&gt;=achievement!J$96,achievement!J$97,0))</f>
        <v>0</v>
      </c>
      <c r="N51" s="2">
        <f>IF(N50=0,IF($B51&gt;=achievement!K$96,achievement!K$97,0))</f>
        <v>0</v>
      </c>
      <c r="O51" s="2">
        <f>IF(O50=0,IF($B51&gt;=achievement!L$96,achievement!L$97,0))</f>
        <v>0</v>
      </c>
      <c r="P51" s="2" t="b">
        <f>IF(P50=0,IF(achievement!M$96*$B51&gt;=1,achievement!M$97,0))</f>
        <v>0</v>
      </c>
      <c r="Q51" s="2" t="b">
        <f>IF(Q50=0,IF(achievement!N$96*$B51&gt;=1,achievement!N$97,0))</f>
        <v>0</v>
      </c>
      <c r="R51" s="2" t="b">
        <f>IF(R50=0,IF(achievement!O$96*$B51&gt;=1,achievement!O$97,0))</f>
        <v>0</v>
      </c>
      <c r="S51" s="2" t="b">
        <f>IF(S50=0,IF(achievement!P$96*$B51&gt;=1,achievement!P$97,0))</f>
        <v>0</v>
      </c>
      <c r="T51" s="2" t="b">
        <f>IF(T50=0,IF(achievement!Q$96*$B51&gt;=1,achievement!Q$97,0))</f>
        <v>0</v>
      </c>
      <c r="U51" s="2" t="b">
        <f>IF(U50=0,IF(achievement!R$96*$B51&gt;=1,achievement!R$97,0))</f>
        <v>0</v>
      </c>
      <c r="V51" s="2" t="b">
        <f>IF(V50=0,IF(achievement!S$96*$B51&gt;=1,achievement!S$97,0))</f>
        <v>0</v>
      </c>
      <c r="W51" s="2" t="b">
        <f>IF(W50=0,IF(achievement!T$96*$B51&gt;=1,achievement!T$97,0))</f>
        <v>0</v>
      </c>
      <c r="X51" s="2" t="b">
        <f>IF(X50=0,IF(achievement!U$96*$B51&gt;=1,achievement!U$97,0))</f>
        <v>0</v>
      </c>
      <c r="Y51" s="2" t="b">
        <f>IF(Y50=0,IF(achievement!V$96*$B51&gt;=1,achievement!V$97,0))</f>
        <v>0</v>
      </c>
      <c r="Z51" s="2" t="b">
        <f>IF(Z50=0,IF(achievement!W$96*$B51&gt;=1,achievement!W$97,0))</f>
        <v>0</v>
      </c>
      <c r="AA51" s="2" t="b">
        <f>IF(AA50=0,IF(achievement!X$96*$B51&gt;=1,achievement!X$97,0))</f>
        <v>0</v>
      </c>
      <c r="AB51" s="2" t="b">
        <f>IF(AB50=0,IF(achievement!Y$96*$B51&gt;=1,achievement!Y$97,0))</f>
        <v>0</v>
      </c>
      <c r="AC51" s="2" t="b">
        <f>IF(AC50=0,IF(achievement!Z$96*$B51&gt;=1,achievement!Z$97,0))</f>
        <v>0</v>
      </c>
      <c r="AD51" s="2" t="b">
        <f>IF(AD50=0,IF(achievement!AA$96*$B51&gt;=1,achievement!AA$97,0))</f>
        <v>0</v>
      </c>
      <c r="AE51" s="2" t="b">
        <f>IF(AE50=0,IF(achievement!AB$96*$B51&gt;=1,achievement!AB$97,0))</f>
        <v>0</v>
      </c>
      <c r="AF51" s="2" t="b">
        <f>IF(AF50=0,IF(achievement!AC$96*$B51&gt;=1,achievement!AC$97,0))</f>
        <v>0</v>
      </c>
      <c r="AG51" s="2" t="b">
        <f>IF(AG50=0,IF(achievement!AD$96*$B51&gt;=1,achievement!AD$97,0))</f>
        <v>0</v>
      </c>
      <c r="AH51" s="2" t="b">
        <f>IF(AH50=0,IF(achievement!AE$96*$B51&gt;=1,achievement!AE$97,0))</f>
        <v>0</v>
      </c>
      <c r="AI51" s="2" t="b">
        <f>IF(AI50=0,IF(achievement!AF$96*$B51&gt;=1,achievement!AF$97,0))</f>
        <v>0</v>
      </c>
      <c r="AJ51" s="2" t="b">
        <f>IF(AJ50=0,IF(achievement!AG$96*$B51&gt;=1,achievement!AG$97,0))</f>
        <v>0</v>
      </c>
      <c r="AK51" s="2" t="b">
        <f>IF(AK50=0,IF(achievement!AH$96*$B51&gt;=1,achievement!AH$97,0))</f>
        <v>0</v>
      </c>
      <c r="AL51" s="2" t="b">
        <f>IF(AL50=0,IF(achievement!AI$96*$B51&gt;=1,achievement!AI$97,0))</f>
        <v>0</v>
      </c>
      <c r="AM51" s="2" t="b">
        <f>IF(AM50=0,IF(achievement!AJ$96*$B51&gt;=1,achievement!AJ$97,0))</f>
        <v>0</v>
      </c>
      <c r="AN51" s="2" t="b">
        <f>IF(AN50=0,IF(achievement!AK$96*$B51&gt;=1,achievement!AK$97,0))</f>
        <v>0</v>
      </c>
      <c r="AO51" s="2">
        <f>IF(AO50=0,IF(achievement!AL$96*$B51&gt;=1,achievement!AL$97,0))</f>
        <v>52</v>
      </c>
      <c r="AP51" s="2">
        <f>IF(AP50=0,IF(achievement!AM$96*$B51&gt;=1,achievement!AM$97,0))</f>
        <v>0</v>
      </c>
      <c r="AQ51" s="2">
        <f>IF(AQ50=0,IF(achievement!AN$96*$B51&gt;=1,achievement!AN$97,0))</f>
        <v>0</v>
      </c>
      <c r="AR51" s="2">
        <f>IF(AR50=0,IF(achievement!AO$96*$B51&gt;=1,achievement!AO$97,0))</f>
        <v>0</v>
      </c>
      <c r="AS51" s="2">
        <f>IF(AS50=0,IF(achievement!AP$96*$B51&gt;=1,achievement!AP$97,0))</f>
        <v>0</v>
      </c>
      <c r="AT51" s="2">
        <f>IF(AT50=0,IF(achievement!AQ$96*$B51&gt;=1,achievement!AQ$97,0))</f>
        <v>0</v>
      </c>
      <c r="AU51" s="2">
        <f>IF(AU50=0,IF(achievement!AR$96*$B51&gt;=1,achievement!AR$97,0))</f>
        <v>0</v>
      </c>
      <c r="AV51" s="2">
        <f>IF(AV50=0,IF(achievement!AS$96*$B51&gt;=1,achievement!AS$97,0))</f>
        <v>0</v>
      </c>
      <c r="AW51" s="2"/>
      <c r="AX51" s="2"/>
      <c r="AY51" s="2"/>
    </row>
    <row r="52" s="1" customFormat="1" ht="18" customHeight="1" spans="2:51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238</v>
      </c>
      <c r="G52" s="2">
        <f t="shared" si="2"/>
        <v>54</v>
      </c>
      <c r="H52" s="2">
        <f t="shared" si="3"/>
        <v>1811</v>
      </c>
      <c r="I52" s="2" t="b">
        <f>IF(I51=0,IF($B52&gt;=achievement!F$96,achievement!F$97,0))</f>
        <v>0</v>
      </c>
      <c r="J52" s="2" t="b">
        <f>IF(J51=0,IF($B52&gt;=achievement!G$96,achievement!G$97,0))</f>
        <v>0</v>
      </c>
      <c r="K52" s="2" t="b">
        <f>IF(K51=0,IF($B52&gt;=achievement!H$96,achievement!H$97,0))</f>
        <v>0</v>
      </c>
      <c r="L52" s="2">
        <f>IF(L51=0,IF($B52&gt;=achievement!I$96,achievement!I$97,0))</f>
        <v>0</v>
      </c>
      <c r="M52" s="2">
        <f>IF(M51=0,IF($B52&gt;=achievement!J$96,achievement!J$97,0))</f>
        <v>0</v>
      </c>
      <c r="N52" s="2">
        <f>IF(N51=0,IF($B52&gt;=achievement!K$96,achievement!K$97,0))</f>
        <v>0</v>
      </c>
      <c r="O52" s="2">
        <f>IF(O51=0,IF($B52&gt;=achievement!L$96,achievement!L$97,0))</f>
        <v>0</v>
      </c>
      <c r="P52" s="2" t="b">
        <f>IF(P51=0,IF(achievement!M$96*$B52&gt;=1,achievement!M$97,0))</f>
        <v>0</v>
      </c>
      <c r="Q52" s="2" t="b">
        <f>IF(Q51=0,IF(achievement!N$96*$B52&gt;=1,achievement!N$97,0))</f>
        <v>0</v>
      </c>
      <c r="R52" s="2" t="b">
        <f>IF(R51=0,IF(achievement!O$96*$B52&gt;=1,achievement!O$97,0))</f>
        <v>0</v>
      </c>
      <c r="S52" s="2" t="b">
        <f>IF(S51=0,IF(achievement!P$96*$B52&gt;=1,achievement!P$97,0))</f>
        <v>0</v>
      </c>
      <c r="T52" s="2" t="b">
        <f>IF(T51=0,IF(achievement!Q$96*$B52&gt;=1,achievement!Q$97,0))</f>
        <v>0</v>
      </c>
      <c r="U52" s="2" t="b">
        <f>IF(U51=0,IF(achievement!R$96*$B52&gt;=1,achievement!R$97,0))</f>
        <v>0</v>
      </c>
      <c r="V52" s="2" t="b">
        <f>IF(V51=0,IF(achievement!S$96*$B52&gt;=1,achievement!S$97,0))</f>
        <v>0</v>
      </c>
      <c r="W52" s="2" t="b">
        <f>IF(W51=0,IF(achievement!T$96*$B52&gt;=1,achievement!T$97,0))</f>
        <v>0</v>
      </c>
      <c r="X52" s="2" t="b">
        <f>IF(X51=0,IF(achievement!U$96*$B52&gt;=1,achievement!U$97,0))</f>
        <v>0</v>
      </c>
      <c r="Y52" s="2" t="b">
        <f>IF(Y51=0,IF(achievement!V$96*$B52&gt;=1,achievement!V$97,0))</f>
        <v>0</v>
      </c>
      <c r="Z52" s="2" t="b">
        <f>IF(Z51=0,IF(achievement!W$96*$B52&gt;=1,achievement!W$97,0))</f>
        <v>0</v>
      </c>
      <c r="AA52" s="2" t="b">
        <f>IF(AA51=0,IF(achievement!X$96*$B52&gt;=1,achievement!X$97,0))</f>
        <v>0</v>
      </c>
      <c r="AB52" s="2" t="b">
        <f>IF(AB51=0,IF(achievement!Y$96*$B52&gt;=1,achievement!Y$97,0))</f>
        <v>0</v>
      </c>
      <c r="AC52" s="2" t="b">
        <f>IF(AC51=0,IF(achievement!Z$96*$B52&gt;=1,achievement!Z$97,0))</f>
        <v>0</v>
      </c>
      <c r="AD52" s="2" t="b">
        <f>IF(AD51=0,IF(achievement!AA$96*$B52&gt;=1,achievement!AA$97,0))</f>
        <v>0</v>
      </c>
      <c r="AE52" s="2" t="b">
        <f>IF(AE51=0,IF(achievement!AB$96*$B52&gt;=1,achievement!AB$97,0))</f>
        <v>0</v>
      </c>
      <c r="AF52" s="2" t="b">
        <f>IF(AF51=0,IF(achievement!AC$96*$B52&gt;=1,achievement!AC$97,0))</f>
        <v>0</v>
      </c>
      <c r="AG52" s="2" t="b">
        <f>IF(AG51=0,IF(achievement!AD$96*$B52&gt;=1,achievement!AD$97,0))</f>
        <v>0</v>
      </c>
      <c r="AH52" s="2" t="b">
        <f>IF(AH51=0,IF(achievement!AE$96*$B52&gt;=1,achievement!AE$97,0))</f>
        <v>0</v>
      </c>
      <c r="AI52" s="2" t="b">
        <f>IF(AI51=0,IF(achievement!AF$96*$B52&gt;=1,achievement!AF$97,0))</f>
        <v>0</v>
      </c>
      <c r="AJ52" s="2" t="b">
        <f>IF(AJ51=0,IF(achievement!AG$96*$B52&gt;=1,achievement!AG$97,0))</f>
        <v>0</v>
      </c>
      <c r="AK52" s="2" t="b">
        <f>IF(AK51=0,IF(achievement!AH$96*$B52&gt;=1,achievement!AH$97,0))</f>
        <v>0</v>
      </c>
      <c r="AL52" s="2" t="b">
        <f>IF(AL51=0,IF(achievement!AI$96*$B52&gt;=1,achievement!AI$97,0))</f>
        <v>0</v>
      </c>
      <c r="AM52" s="2" t="b">
        <f>IF(AM51=0,IF(achievement!AJ$96*$B52&gt;=1,achievement!AJ$97,0))</f>
        <v>0</v>
      </c>
      <c r="AN52" s="2" t="b">
        <f>IF(AN51=0,IF(achievement!AK$96*$B52&gt;=1,achievement!AK$97,0))</f>
        <v>0</v>
      </c>
      <c r="AO52" s="2" t="b">
        <f>IF(AO51=0,IF(achievement!AL$96*$B52&gt;=1,achievement!AL$97,0))</f>
        <v>0</v>
      </c>
      <c r="AP52" s="2">
        <f>IF(AP51=0,IF(achievement!AM$96*$B52&gt;=1,achievement!AM$97,0))</f>
        <v>54</v>
      </c>
      <c r="AQ52" s="2">
        <f>IF(AQ51=0,IF(achievement!AN$96*$B52&gt;=1,achievement!AN$97,0))</f>
        <v>0</v>
      </c>
      <c r="AR52" s="2">
        <f>IF(AR51=0,IF(achievement!AO$96*$B52&gt;=1,achievement!AO$97,0))</f>
        <v>0</v>
      </c>
      <c r="AS52" s="2">
        <f>IF(AS51=0,IF(achievement!AP$96*$B52&gt;=1,achievement!AP$97,0))</f>
        <v>0</v>
      </c>
      <c r="AT52" s="2">
        <f>IF(AT51=0,IF(achievement!AQ$96*$B52&gt;=1,achievement!AQ$97,0))</f>
        <v>0</v>
      </c>
      <c r="AU52" s="2">
        <f>IF(AU51=0,IF(achievement!AR$96*$B52&gt;=1,achievement!AR$97,0))</f>
        <v>0</v>
      </c>
      <c r="AV52" s="2">
        <f>IF(AV51=0,IF(achievement!AS$96*$B52&gt;=1,achievement!AS$97,0))</f>
        <v>0</v>
      </c>
      <c r="AW52" s="2"/>
      <c r="AX52" s="2"/>
      <c r="AY52" s="2"/>
    </row>
    <row r="53" s="1" customFormat="1" ht="18" customHeight="1" spans="2:51">
      <c r="B53" s="2">
        <v>28</v>
      </c>
      <c r="C53" s="2">
        <f t="shared" si="0"/>
        <v>28000</v>
      </c>
      <c r="D53" s="2">
        <f>ROUND($C$8*$C$5+$C$8*$C$4*(1-$L$5),0)</f>
        <v>88</v>
      </c>
      <c r="E53" s="2">
        <f t="shared" si="1"/>
        <v>2464</v>
      </c>
      <c r="F53" s="2">
        <f>ROUND(E53*VLOOKUP($B$10,总产出!$T$4:$U$14,2,FALSE),0)</f>
        <v>246</v>
      </c>
      <c r="G53" s="2">
        <f t="shared" si="2"/>
        <v>56</v>
      </c>
      <c r="H53" s="2">
        <f t="shared" si="3"/>
        <v>1867</v>
      </c>
      <c r="I53" s="2" t="b">
        <f>IF(I52=0,IF($B53&gt;=achievement!F$96,achievement!F$97,0))</f>
        <v>0</v>
      </c>
      <c r="J53" s="2" t="b">
        <f>IF(J52=0,IF($B53&gt;=achievement!G$96,achievement!G$97,0))</f>
        <v>0</v>
      </c>
      <c r="K53" s="2" t="b">
        <f>IF(K52=0,IF($B53&gt;=achievement!H$96,achievement!H$97,0))</f>
        <v>0</v>
      </c>
      <c r="L53" s="2">
        <f>IF(L52=0,IF($B53&gt;=achievement!I$96,achievement!I$97,0))</f>
        <v>0</v>
      </c>
      <c r="M53" s="2">
        <f>IF(M52=0,IF($B53&gt;=achievement!J$96,achievement!J$97,0))</f>
        <v>0</v>
      </c>
      <c r="N53" s="2">
        <f>IF(N52=0,IF($B53&gt;=achievement!K$96,achievement!K$97,0))</f>
        <v>0</v>
      </c>
      <c r="O53" s="2">
        <f>IF(O52=0,IF($B53&gt;=achievement!L$96,achievement!L$97,0))</f>
        <v>0</v>
      </c>
      <c r="P53" s="2" t="b">
        <f>IF(P52=0,IF(achievement!M$96*$B53&gt;=1,achievement!M$97,0))</f>
        <v>0</v>
      </c>
      <c r="Q53" s="2" t="b">
        <f>IF(Q52=0,IF(achievement!N$96*$B53&gt;=1,achievement!N$97,0))</f>
        <v>0</v>
      </c>
      <c r="R53" s="2" t="b">
        <f>IF(R52=0,IF(achievement!O$96*$B53&gt;=1,achievement!O$97,0))</f>
        <v>0</v>
      </c>
      <c r="S53" s="2" t="b">
        <f>IF(S52=0,IF(achievement!P$96*$B53&gt;=1,achievement!P$97,0))</f>
        <v>0</v>
      </c>
      <c r="T53" s="2" t="b">
        <f>IF(T52=0,IF(achievement!Q$96*$B53&gt;=1,achievement!Q$97,0))</f>
        <v>0</v>
      </c>
      <c r="U53" s="2" t="b">
        <f>IF(U52=0,IF(achievement!R$96*$B53&gt;=1,achievement!R$97,0))</f>
        <v>0</v>
      </c>
      <c r="V53" s="2" t="b">
        <f>IF(V52=0,IF(achievement!S$96*$B53&gt;=1,achievement!S$97,0))</f>
        <v>0</v>
      </c>
      <c r="W53" s="2" t="b">
        <f>IF(W52=0,IF(achievement!T$96*$B53&gt;=1,achievement!T$97,0))</f>
        <v>0</v>
      </c>
      <c r="X53" s="2" t="b">
        <f>IF(X52=0,IF(achievement!U$96*$B53&gt;=1,achievement!U$97,0))</f>
        <v>0</v>
      </c>
      <c r="Y53" s="2" t="b">
        <f>IF(Y52=0,IF(achievement!V$96*$B53&gt;=1,achievement!V$97,0))</f>
        <v>0</v>
      </c>
      <c r="Z53" s="2" t="b">
        <f>IF(Z52=0,IF(achievement!W$96*$B53&gt;=1,achievement!W$97,0))</f>
        <v>0</v>
      </c>
      <c r="AA53" s="2" t="b">
        <f>IF(AA52=0,IF(achievement!X$96*$B53&gt;=1,achievement!X$97,0))</f>
        <v>0</v>
      </c>
      <c r="AB53" s="2" t="b">
        <f>IF(AB52=0,IF(achievement!Y$96*$B53&gt;=1,achievement!Y$97,0))</f>
        <v>0</v>
      </c>
      <c r="AC53" s="2" t="b">
        <f>IF(AC52=0,IF(achievement!Z$96*$B53&gt;=1,achievement!Z$97,0))</f>
        <v>0</v>
      </c>
      <c r="AD53" s="2" t="b">
        <f>IF(AD52=0,IF(achievement!AA$96*$B53&gt;=1,achievement!AA$97,0))</f>
        <v>0</v>
      </c>
      <c r="AE53" s="2" t="b">
        <f>IF(AE52=0,IF(achievement!AB$96*$B53&gt;=1,achievement!AB$97,0))</f>
        <v>0</v>
      </c>
      <c r="AF53" s="2" t="b">
        <f>IF(AF52=0,IF(achievement!AC$96*$B53&gt;=1,achievement!AC$97,0))</f>
        <v>0</v>
      </c>
      <c r="AG53" s="2" t="b">
        <f>IF(AG52=0,IF(achievement!AD$96*$B53&gt;=1,achievement!AD$97,0))</f>
        <v>0</v>
      </c>
      <c r="AH53" s="2" t="b">
        <f>IF(AH52=0,IF(achievement!AE$96*$B53&gt;=1,achievement!AE$97,0))</f>
        <v>0</v>
      </c>
      <c r="AI53" s="2" t="b">
        <f>IF(AI52=0,IF(achievement!AF$96*$B53&gt;=1,achievement!AF$97,0))</f>
        <v>0</v>
      </c>
      <c r="AJ53" s="2" t="b">
        <f>IF(AJ52=0,IF(achievement!AG$96*$B53&gt;=1,achievement!AG$97,0))</f>
        <v>0</v>
      </c>
      <c r="AK53" s="2" t="b">
        <f>IF(AK52=0,IF(achievement!AH$96*$B53&gt;=1,achievement!AH$97,0))</f>
        <v>0</v>
      </c>
      <c r="AL53" s="2" t="b">
        <f>IF(AL52=0,IF(achievement!AI$96*$B53&gt;=1,achievement!AI$97,0))</f>
        <v>0</v>
      </c>
      <c r="AM53" s="2" t="b">
        <f>IF(AM52=0,IF(achievement!AJ$96*$B53&gt;=1,achievement!AJ$97,0))</f>
        <v>0</v>
      </c>
      <c r="AN53" s="2" t="b">
        <f>IF(AN52=0,IF(achievement!AK$96*$B53&gt;=1,achievement!AK$97,0))</f>
        <v>0</v>
      </c>
      <c r="AO53" s="2" t="b">
        <f>IF(AO52=0,IF(achievement!AL$96*$B53&gt;=1,achievement!AL$97,0))</f>
        <v>0</v>
      </c>
      <c r="AP53" s="2" t="b">
        <f>IF(AP52=0,IF(achievement!AM$96*$B53&gt;=1,achievement!AM$97,0))</f>
        <v>0</v>
      </c>
      <c r="AQ53" s="2">
        <f>IF(AQ52=0,IF(achievement!AN$96*$B53&gt;=1,achievement!AN$97,0))</f>
        <v>56</v>
      </c>
      <c r="AR53" s="2">
        <f>IF(AR52=0,IF(achievement!AO$96*$B53&gt;=1,achievement!AO$97,0))</f>
        <v>0</v>
      </c>
      <c r="AS53" s="2">
        <f>IF(AS52=0,IF(achievement!AP$96*$B53&gt;=1,achievement!AP$97,0))</f>
        <v>0</v>
      </c>
      <c r="AT53" s="2">
        <f>IF(AT52=0,IF(achievement!AQ$96*$B53&gt;=1,achievement!AQ$97,0))</f>
        <v>0</v>
      </c>
      <c r="AU53" s="2">
        <f>IF(AU52=0,IF(achievement!AR$96*$B53&gt;=1,achievement!AR$97,0))</f>
        <v>0</v>
      </c>
      <c r="AV53" s="2">
        <f>IF(AV52=0,IF(achievement!AS$96*$B53&gt;=1,achievement!AS$97,0))</f>
        <v>0</v>
      </c>
      <c r="AW53" s="2"/>
      <c r="AX53" s="2"/>
      <c r="AY53" s="2"/>
    </row>
    <row r="54" s="1" customFormat="1" ht="18" customHeight="1" spans="2:51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255</v>
      </c>
      <c r="G54" s="2">
        <f t="shared" si="2"/>
        <v>58</v>
      </c>
      <c r="H54" s="2">
        <f t="shared" si="3"/>
        <v>1925</v>
      </c>
      <c r="I54" s="2" t="b">
        <f>IF(I53=0,IF($B54&gt;=achievement!F$96,achievement!F$97,0))</f>
        <v>0</v>
      </c>
      <c r="J54" s="2" t="b">
        <f>IF(J53=0,IF($B54&gt;=achievement!G$96,achievement!G$97,0))</f>
        <v>0</v>
      </c>
      <c r="K54" s="2" t="b">
        <f>IF(K53=0,IF($B54&gt;=achievement!H$96,achievement!H$97,0))</f>
        <v>0</v>
      </c>
      <c r="L54" s="2">
        <f>IF(L53=0,IF($B54&gt;=achievement!I$96,achievement!I$97,0))</f>
        <v>0</v>
      </c>
      <c r="M54" s="2">
        <f>IF(M53=0,IF($B54&gt;=achievement!J$96,achievement!J$97,0))</f>
        <v>0</v>
      </c>
      <c r="N54" s="2">
        <f>IF(N53=0,IF($B54&gt;=achievement!K$96,achievement!K$97,0))</f>
        <v>0</v>
      </c>
      <c r="O54" s="2">
        <f>IF(O53=0,IF($B54&gt;=achievement!L$96,achievement!L$97,0))</f>
        <v>0</v>
      </c>
      <c r="P54" s="2" t="b">
        <f>IF(P53=0,IF(achievement!M$96*$B54&gt;=1,achievement!M$97,0))</f>
        <v>0</v>
      </c>
      <c r="Q54" s="2" t="b">
        <f>IF(Q53=0,IF(achievement!N$96*$B54&gt;=1,achievement!N$97,0))</f>
        <v>0</v>
      </c>
      <c r="R54" s="2" t="b">
        <f>IF(R53=0,IF(achievement!O$96*$B54&gt;=1,achievement!O$97,0))</f>
        <v>0</v>
      </c>
      <c r="S54" s="2" t="b">
        <f>IF(S53=0,IF(achievement!P$96*$B54&gt;=1,achievement!P$97,0))</f>
        <v>0</v>
      </c>
      <c r="T54" s="2" t="b">
        <f>IF(T53=0,IF(achievement!Q$96*$B54&gt;=1,achievement!Q$97,0))</f>
        <v>0</v>
      </c>
      <c r="U54" s="2" t="b">
        <f>IF(U53=0,IF(achievement!R$96*$B54&gt;=1,achievement!R$97,0))</f>
        <v>0</v>
      </c>
      <c r="V54" s="2" t="b">
        <f>IF(V53=0,IF(achievement!S$96*$B54&gt;=1,achievement!S$97,0))</f>
        <v>0</v>
      </c>
      <c r="W54" s="2" t="b">
        <f>IF(W53=0,IF(achievement!T$96*$B54&gt;=1,achievement!T$97,0))</f>
        <v>0</v>
      </c>
      <c r="X54" s="2" t="b">
        <f>IF(X53=0,IF(achievement!U$96*$B54&gt;=1,achievement!U$97,0))</f>
        <v>0</v>
      </c>
      <c r="Y54" s="2" t="b">
        <f>IF(Y53=0,IF(achievement!V$96*$B54&gt;=1,achievement!V$97,0))</f>
        <v>0</v>
      </c>
      <c r="Z54" s="2" t="b">
        <f>IF(Z53=0,IF(achievement!W$96*$B54&gt;=1,achievement!W$97,0))</f>
        <v>0</v>
      </c>
      <c r="AA54" s="2" t="b">
        <f>IF(AA53=0,IF(achievement!X$96*$B54&gt;=1,achievement!X$97,0))</f>
        <v>0</v>
      </c>
      <c r="AB54" s="2" t="b">
        <f>IF(AB53=0,IF(achievement!Y$96*$B54&gt;=1,achievement!Y$97,0))</f>
        <v>0</v>
      </c>
      <c r="AC54" s="2" t="b">
        <f>IF(AC53=0,IF(achievement!Z$96*$B54&gt;=1,achievement!Z$97,0))</f>
        <v>0</v>
      </c>
      <c r="AD54" s="2" t="b">
        <f>IF(AD53=0,IF(achievement!AA$96*$B54&gt;=1,achievement!AA$97,0))</f>
        <v>0</v>
      </c>
      <c r="AE54" s="2" t="b">
        <f>IF(AE53=0,IF(achievement!AB$96*$B54&gt;=1,achievement!AB$97,0))</f>
        <v>0</v>
      </c>
      <c r="AF54" s="2" t="b">
        <f>IF(AF53=0,IF(achievement!AC$96*$B54&gt;=1,achievement!AC$97,0))</f>
        <v>0</v>
      </c>
      <c r="AG54" s="2" t="b">
        <f>IF(AG53=0,IF(achievement!AD$96*$B54&gt;=1,achievement!AD$97,0))</f>
        <v>0</v>
      </c>
      <c r="AH54" s="2" t="b">
        <f>IF(AH53=0,IF(achievement!AE$96*$B54&gt;=1,achievement!AE$97,0))</f>
        <v>0</v>
      </c>
      <c r="AI54" s="2" t="b">
        <f>IF(AI53=0,IF(achievement!AF$96*$B54&gt;=1,achievement!AF$97,0))</f>
        <v>0</v>
      </c>
      <c r="AJ54" s="2" t="b">
        <f>IF(AJ53=0,IF(achievement!AG$96*$B54&gt;=1,achievement!AG$97,0))</f>
        <v>0</v>
      </c>
      <c r="AK54" s="2" t="b">
        <f>IF(AK53=0,IF(achievement!AH$96*$B54&gt;=1,achievement!AH$97,0))</f>
        <v>0</v>
      </c>
      <c r="AL54" s="2" t="b">
        <f>IF(AL53=0,IF(achievement!AI$96*$B54&gt;=1,achievement!AI$97,0))</f>
        <v>0</v>
      </c>
      <c r="AM54" s="2" t="b">
        <f>IF(AM53=0,IF(achievement!AJ$96*$B54&gt;=1,achievement!AJ$97,0))</f>
        <v>0</v>
      </c>
      <c r="AN54" s="2" t="b">
        <f>IF(AN53=0,IF(achievement!AK$96*$B54&gt;=1,achievement!AK$97,0))</f>
        <v>0</v>
      </c>
      <c r="AO54" s="2" t="b">
        <f>IF(AO53=0,IF(achievement!AL$96*$B54&gt;=1,achievement!AL$97,0))</f>
        <v>0</v>
      </c>
      <c r="AP54" s="2" t="b">
        <f>IF(AP53=0,IF(achievement!AM$96*$B54&gt;=1,achievement!AM$97,0))</f>
        <v>0</v>
      </c>
      <c r="AQ54" s="2" t="b">
        <f>IF(AQ53=0,IF(achievement!AN$96*$B54&gt;=1,achievement!AN$97,0))</f>
        <v>0</v>
      </c>
      <c r="AR54" s="2">
        <f>IF(AR53=0,IF(achievement!AO$96*$B54&gt;=1,achievement!AO$97,0))</f>
        <v>58</v>
      </c>
      <c r="AS54" s="2">
        <f>IF(AS53=0,IF(achievement!AP$96*$B54&gt;=1,achievement!AP$97,0))</f>
        <v>0</v>
      </c>
      <c r="AT54" s="2">
        <f>IF(AT53=0,IF(achievement!AQ$96*$B54&gt;=1,achievement!AQ$97,0))</f>
        <v>0</v>
      </c>
      <c r="AU54" s="2">
        <f>IF(AU53=0,IF(achievement!AR$96*$B54&gt;=1,achievement!AR$97,0))</f>
        <v>0</v>
      </c>
      <c r="AV54" s="2">
        <f>IF(AV53=0,IF(achievement!AS$96*$B54&gt;=1,achievement!AS$97,0))</f>
        <v>0</v>
      </c>
      <c r="AW54" s="2"/>
      <c r="AX54" s="2"/>
      <c r="AY54" s="2"/>
    </row>
    <row r="55" s="1" customFormat="1" ht="18" customHeight="1" spans="2:51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264</v>
      </c>
      <c r="G55" s="2">
        <f t="shared" si="2"/>
        <v>210</v>
      </c>
      <c r="H55" s="2">
        <f t="shared" si="3"/>
        <v>2135</v>
      </c>
      <c r="I55" s="2" t="b">
        <f>IF(I54=0,IF($B55&gt;=achievement!F$96,achievement!F$97,0))</f>
        <v>0</v>
      </c>
      <c r="J55" s="2" t="b">
        <f>IF(J54=0,IF($B55&gt;=achievement!G$96,achievement!G$97,0))</f>
        <v>0</v>
      </c>
      <c r="K55" s="2" t="b">
        <f>IF(K54=0,IF($B55&gt;=achievement!H$96,achievement!H$97,0))</f>
        <v>0</v>
      </c>
      <c r="L55" s="2">
        <f>IF(L54=0,IF($B55&gt;=achievement!I$96,achievement!I$97,0))</f>
        <v>150</v>
      </c>
      <c r="M55" s="2">
        <f>IF(M54=0,IF($B55&gt;=achievement!J$96,achievement!J$97,0))</f>
        <v>0</v>
      </c>
      <c r="N55" s="2">
        <f>IF(N54=0,IF($B55&gt;=achievement!K$96,achievement!K$97,0))</f>
        <v>0</v>
      </c>
      <c r="O55" s="2">
        <f>IF(O54=0,IF($B55&gt;=achievement!L$96,achievement!L$97,0))</f>
        <v>0</v>
      </c>
      <c r="P55" s="2" t="b">
        <f>IF(P54=0,IF(achievement!M$96*$B55&gt;=1,achievement!M$97,0))</f>
        <v>0</v>
      </c>
      <c r="Q55" s="2" t="b">
        <f>IF(Q54=0,IF(achievement!N$96*$B55&gt;=1,achievement!N$97,0))</f>
        <v>0</v>
      </c>
      <c r="R55" s="2" t="b">
        <f>IF(R54=0,IF(achievement!O$96*$B55&gt;=1,achievement!O$97,0))</f>
        <v>0</v>
      </c>
      <c r="S55" s="2" t="b">
        <f>IF(S54=0,IF(achievement!P$96*$B55&gt;=1,achievement!P$97,0))</f>
        <v>0</v>
      </c>
      <c r="T55" s="2" t="b">
        <f>IF(T54=0,IF(achievement!Q$96*$B55&gt;=1,achievement!Q$97,0))</f>
        <v>0</v>
      </c>
      <c r="U55" s="2" t="b">
        <f>IF(U54=0,IF(achievement!R$96*$B55&gt;=1,achievement!R$97,0))</f>
        <v>0</v>
      </c>
      <c r="V55" s="2" t="b">
        <f>IF(V54=0,IF(achievement!S$96*$B55&gt;=1,achievement!S$97,0))</f>
        <v>0</v>
      </c>
      <c r="W55" s="2" t="b">
        <f>IF(W54=0,IF(achievement!T$96*$B55&gt;=1,achievement!T$97,0))</f>
        <v>0</v>
      </c>
      <c r="X55" s="2" t="b">
        <f>IF(X54=0,IF(achievement!U$96*$B55&gt;=1,achievement!U$97,0))</f>
        <v>0</v>
      </c>
      <c r="Y55" s="2" t="b">
        <f>IF(Y54=0,IF(achievement!V$96*$B55&gt;=1,achievement!V$97,0))</f>
        <v>0</v>
      </c>
      <c r="Z55" s="2" t="b">
        <f>IF(Z54=0,IF(achievement!W$96*$B55&gt;=1,achievement!W$97,0))</f>
        <v>0</v>
      </c>
      <c r="AA55" s="2" t="b">
        <f>IF(AA54=0,IF(achievement!X$96*$B55&gt;=1,achievement!X$97,0))</f>
        <v>0</v>
      </c>
      <c r="AB55" s="2" t="b">
        <f>IF(AB54=0,IF(achievement!Y$96*$B55&gt;=1,achievement!Y$97,0))</f>
        <v>0</v>
      </c>
      <c r="AC55" s="2" t="b">
        <f>IF(AC54=0,IF(achievement!Z$96*$B55&gt;=1,achievement!Z$97,0))</f>
        <v>0</v>
      </c>
      <c r="AD55" s="2" t="b">
        <f>IF(AD54=0,IF(achievement!AA$96*$B55&gt;=1,achievement!AA$97,0))</f>
        <v>0</v>
      </c>
      <c r="AE55" s="2" t="b">
        <f>IF(AE54=0,IF(achievement!AB$96*$B55&gt;=1,achievement!AB$97,0))</f>
        <v>0</v>
      </c>
      <c r="AF55" s="2" t="b">
        <f>IF(AF54=0,IF(achievement!AC$96*$B55&gt;=1,achievement!AC$97,0))</f>
        <v>0</v>
      </c>
      <c r="AG55" s="2" t="b">
        <f>IF(AG54=0,IF(achievement!AD$96*$B55&gt;=1,achievement!AD$97,0))</f>
        <v>0</v>
      </c>
      <c r="AH55" s="2" t="b">
        <f>IF(AH54=0,IF(achievement!AE$96*$B55&gt;=1,achievement!AE$97,0))</f>
        <v>0</v>
      </c>
      <c r="AI55" s="2" t="b">
        <f>IF(AI54=0,IF(achievement!AF$96*$B55&gt;=1,achievement!AF$97,0))</f>
        <v>0</v>
      </c>
      <c r="AJ55" s="2" t="b">
        <f>IF(AJ54=0,IF(achievement!AG$96*$B55&gt;=1,achievement!AG$97,0))</f>
        <v>0</v>
      </c>
      <c r="AK55" s="2" t="b">
        <f>IF(AK54=0,IF(achievement!AH$96*$B55&gt;=1,achievement!AH$97,0))</f>
        <v>0</v>
      </c>
      <c r="AL55" s="2" t="b">
        <f>IF(AL54=0,IF(achievement!AI$96*$B55&gt;=1,achievement!AI$97,0))</f>
        <v>0</v>
      </c>
      <c r="AM55" s="2" t="b">
        <f>IF(AM54=0,IF(achievement!AJ$96*$B55&gt;=1,achievement!AJ$97,0))</f>
        <v>0</v>
      </c>
      <c r="AN55" s="2" t="b">
        <f>IF(AN54=0,IF(achievement!AK$96*$B55&gt;=1,achievement!AK$97,0))</f>
        <v>0</v>
      </c>
      <c r="AO55" s="2" t="b">
        <f>IF(AO54=0,IF(achievement!AL$96*$B55&gt;=1,achievement!AL$97,0))</f>
        <v>0</v>
      </c>
      <c r="AP55" s="2" t="b">
        <f>IF(AP54=0,IF(achievement!AM$96*$B55&gt;=1,achievement!AM$97,0))</f>
        <v>0</v>
      </c>
      <c r="AQ55" s="2" t="b">
        <f>IF(AQ54=0,IF(achievement!AN$96*$B55&gt;=1,achievement!AN$97,0))</f>
        <v>0</v>
      </c>
      <c r="AR55" s="2" t="b">
        <f>IF(AR54=0,IF(achievement!AO$96*$B55&gt;=1,achievement!AO$97,0))</f>
        <v>0</v>
      </c>
      <c r="AS55" s="2">
        <f>IF(AS54=0,IF(achievement!AP$96*$B55&gt;=1,achievement!AP$97,0))</f>
        <v>60</v>
      </c>
      <c r="AT55" s="2">
        <f>IF(AT54=0,IF(achievement!AQ$96*$B55&gt;=1,achievement!AQ$97,0))</f>
        <v>0</v>
      </c>
      <c r="AU55" s="2">
        <f>IF(AU54=0,IF(achievement!AR$96*$B55&gt;=1,achievement!AR$97,0))</f>
        <v>0</v>
      </c>
      <c r="AV55" s="2">
        <f>IF(AV54=0,IF(achievement!AS$96*$B55&gt;=1,achievement!AS$97,0))</f>
        <v>0</v>
      </c>
      <c r="AW55" s="2"/>
      <c r="AX55" s="2"/>
      <c r="AY55" s="2"/>
    </row>
    <row r="56" s="1" customFormat="1" ht="18" customHeight="1" spans="2:51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273</v>
      </c>
      <c r="G56" s="2">
        <f t="shared" si="2"/>
        <v>62</v>
      </c>
      <c r="H56" s="2">
        <f t="shared" si="3"/>
        <v>2197</v>
      </c>
      <c r="I56" s="2" t="b">
        <f>IF(I55=0,IF($B56&gt;=achievement!F$96,achievement!F$97,0))</f>
        <v>0</v>
      </c>
      <c r="J56" s="2" t="b">
        <f>IF(J55=0,IF($B56&gt;=achievement!G$96,achievement!G$97,0))</f>
        <v>0</v>
      </c>
      <c r="K56" s="2" t="b">
        <f>IF(K55=0,IF($B56&gt;=achievement!H$96,achievement!H$97,0))</f>
        <v>0</v>
      </c>
      <c r="L56" s="2" t="b">
        <f>IF(L55=0,IF($B56&gt;=achievement!I$96,achievement!I$97,0))</f>
        <v>0</v>
      </c>
      <c r="M56" s="2">
        <f>IF(M55=0,IF($B56&gt;=achievement!J$96,achievement!J$97,0))</f>
        <v>0</v>
      </c>
      <c r="N56" s="2">
        <f>IF(N55=0,IF($B56&gt;=achievement!K$96,achievement!K$97,0))</f>
        <v>0</v>
      </c>
      <c r="O56" s="2">
        <f>IF(O55=0,IF($B56&gt;=achievement!L$96,achievement!L$97,0))</f>
        <v>0</v>
      </c>
      <c r="P56" s="2" t="b">
        <f>IF(P55=0,IF(achievement!M$96*$B56&gt;=1,achievement!M$97,0))</f>
        <v>0</v>
      </c>
      <c r="Q56" s="2" t="b">
        <f>IF(Q55=0,IF(achievement!N$96*$B56&gt;=1,achievement!N$97,0))</f>
        <v>0</v>
      </c>
      <c r="R56" s="2" t="b">
        <f>IF(R55=0,IF(achievement!O$96*$B56&gt;=1,achievement!O$97,0))</f>
        <v>0</v>
      </c>
      <c r="S56" s="2" t="b">
        <f>IF(S55=0,IF(achievement!P$96*$B56&gt;=1,achievement!P$97,0))</f>
        <v>0</v>
      </c>
      <c r="T56" s="2" t="b">
        <f>IF(T55=0,IF(achievement!Q$96*$B56&gt;=1,achievement!Q$97,0))</f>
        <v>0</v>
      </c>
      <c r="U56" s="2" t="b">
        <f>IF(U55=0,IF(achievement!R$96*$B56&gt;=1,achievement!R$97,0))</f>
        <v>0</v>
      </c>
      <c r="V56" s="2" t="b">
        <f>IF(V55=0,IF(achievement!S$96*$B56&gt;=1,achievement!S$97,0))</f>
        <v>0</v>
      </c>
      <c r="W56" s="2" t="b">
        <f>IF(W55=0,IF(achievement!T$96*$B56&gt;=1,achievement!T$97,0))</f>
        <v>0</v>
      </c>
      <c r="X56" s="2" t="b">
        <f>IF(X55=0,IF(achievement!U$96*$B56&gt;=1,achievement!U$97,0))</f>
        <v>0</v>
      </c>
      <c r="Y56" s="2" t="b">
        <f>IF(Y55=0,IF(achievement!V$96*$B56&gt;=1,achievement!V$97,0))</f>
        <v>0</v>
      </c>
      <c r="Z56" s="2" t="b">
        <f>IF(Z55=0,IF(achievement!W$96*$B56&gt;=1,achievement!W$97,0))</f>
        <v>0</v>
      </c>
      <c r="AA56" s="2" t="b">
        <f>IF(AA55=0,IF(achievement!X$96*$B56&gt;=1,achievement!X$97,0))</f>
        <v>0</v>
      </c>
      <c r="AB56" s="2" t="b">
        <f>IF(AB55=0,IF(achievement!Y$96*$B56&gt;=1,achievement!Y$97,0))</f>
        <v>0</v>
      </c>
      <c r="AC56" s="2" t="b">
        <f>IF(AC55=0,IF(achievement!Z$96*$B56&gt;=1,achievement!Z$97,0))</f>
        <v>0</v>
      </c>
      <c r="AD56" s="2" t="b">
        <f>IF(AD55=0,IF(achievement!AA$96*$B56&gt;=1,achievement!AA$97,0))</f>
        <v>0</v>
      </c>
      <c r="AE56" s="2" t="b">
        <f>IF(AE55=0,IF(achievement!AB$96*$B56&gt;=1,achievement!AB$97,0))</f>
        <v>0</v>
      </c>
      <c r="AF56" s="2" t="b">
        <f>IF(AF55=0,IF(achievement!AC$96*$B56&gt;=1,achievement!AC$97,0))</f>
        <v>0</v>
      </c>
      <c r="AG56" s="2" t="b">
        <f>IF(AG55=0,IF(achievement!AD$96*$B56&gt;=1,achievement!AD$97,0))</f>
        <v>0</v>
      </c>
      <c r="AH56" s="2" t="b">
        <f>IF(AH55=0,IF(achievement!AE$96*$B56&gt;=1,achievement!AE$97,0))</f>
        <v>0</v>
      </c>
      <c r="AI56" s="2" t="b">
        <f>IF(AI55=0,IF(achievement!AF$96*$B56&gt;=1,achievement!AF$97,0))</f>
        <v>0</v>
      </c>
      <c r="AJ56" s="2" t="b">
        <f>IF(AJ55=0,IF(achievement!AG$96*$B56&gt;=1,achievement!AG$97,0))</f>
        <v>0</v>
      </c>
      <c r="AK56" s="2" t="b">
        <f>IF(AK55=0,IF(achievement!AH$96*$B56&gt;=1,achievement!AH$97,0))</f>
        <v>0</v>
      </c>
      <c r="AL56" s="2" t="b">
        <f>IF(AL55=0,IF(achievement!AI$96*$B56&gt;=1,achievement!AI$97,0))</f>
        <v>0</v>
      </c>
      <c r="AM56" s="2" t="b">
        <f>IF(AM55=0,IF(achievement!AJ$96*$B56&gt;=1,achievement!AJ$97,0))</f>
        <v>0</v>
      </c>
      <c r="AN56" s="2" t="b">
        <f>IF(AN55=0,IF(achievement!AK$96*$B56&gt;=1,achievement!AK$97,0))</f>
        <v>0</v>
      </c>
      <c r="AO56" s="2" t="b">
        <f>IF(AO55=0,IF(achievement!AL$96*$B56&gt;=1,achievement!AL$97,0))</f>
        <v>0</v>
      </c>
      <c r="AP56" s="2" t="b">
        <f>IF(AP55=0,IF(achievement!AM$96*$B56&gt;=1,achievement!AM$97,0))</f>
        <v>0</v>
      </c>
      <c r="AQ56" s="2" t="b">
        <f>IF(AQ55=0,IF(achievement!AN$96*$B56&gt;=1,achievement!AN$97,0))</f>
        <v>0</v>
      </c>
      <c r="AR56" s="2" t="b">
        <f>IF(AR55=0,IF(achievement!AO$96*$B56&gt;=1,achievement!AO$97,0))</f>
        <v>0</v>
      </c>
      <c r="AS56" s="2" t="b">
        <f>IF(AS55=0,IF(achievement!AP$96*$B56&gt;=1,achievement!AP$97,0))</f>
        <v>0</v>
      </c>
      <c r="AT56" s="2">
        <f>IF(AT55=0,IF(achievement!AQ$96*$B56&gt;=1,achievement!AQ$97,0))</f>
        <v>62</v>
      </c>
      <c r="AU56" s="2">
        <f>IF(AU55=0,IF(achievement!AR$96*$B56&gt;=1,achievement!AR$97,0))</f>
        <v>0</v>
      </c>
      <c r="AV56" s="2">
        <f>IF(AV55=0,IF(achievement!AS$96*$B56&gt;=1,achievement!AS$97,0))</f>
        <v>0</v>
      </c>
      <c r="AW56" s="2"/>
      <c r="AX56" s="2"/>
      <c r="AY56" s="2"/>
    </row>
    <row r="57" s="1" customFormat="1" ht="18" customHeight="1" spans="2:51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282</v>
      </c>
      <c r="G57" s="2">
        <f t="shared" si="2"/>
        <v>64</v>
      </c>
      <c r="H57" s="2">
        <f t="shared" si="3"/>
        <v>2261</v>
      </c>
      <c r="I57" s="2" t="b">
        <f>IF(I56=0,IF($B57&gt;=achievement!F$96,achievement!F$97,0))</f>
        <v>0</v>
      </c>
      <c r="J57" s="2" t="b">
        <f>IF(J56=0,IF($B57&gt;=achievement!G$96,achievement!G$97,0))</f>
        <v>0</v>
      </c>
      <c r="K57" s="2" t="b">
        <f>IF(K56=0,IF($B57&gt;=achievement!H$96,achievement!H$97,0))</f>
        <v>0</v>
      </c>
      <c r="L57" s="2" t="b">
        <f>IF(L56=0,IF($B57&gt;=achievement!I$96,achievement!I$97,0))</f>
        <v>0</v>
      </c>
      <c r="M57" s="2">
        <f>IF(M56=0,IF($B57&gt;=achievement!J$96,achievement!J$97,0))</f>
        <v>0</v>
      </c>
      <c r="N57" s="2">
        <f>IF(N56=0,IF($B57&gt;=achievement!K$96,achievement!K$97,0))</f>
        <v>0</v>
      </c>
      <c r="O57" s="2">
        <f>IF(O56=0,IF($B57&gt;=achievement!L$96,achievement!L$97,0))</f>
        <v>0</v>
      </c>
      <c r="P57" s="2" t="b">
        <f>IF(P56=0,IF(achievement!M$96*$B57&gt;=1,achievement!M$97,0))</f>
        <v>0</v>
      </c>
      <c r="Q57" s="2" t="b">
        <f>IF(Q56=0,IF(achievement!N$96*$B57&gt;=1,achievement!N$97,0))</f>
        <v>0</v>
      </c>
      <c r="R57" s="2" t="b">
        <f>IF(R56=0,IF(achievement!O$96*$B57&gt;=1,achievement!O$97,0))</f>
        <v>0</v>
      </c>
      <c r="S57" s="2" t="b">
        <f>IF(S56=0,IF(achievement!P$96*$B57&gt;=1,achievement!P$97,0))</f>
        <v>0</v>
      </c>
      <c r="T57" s="2" t="b">
        <f>IF(T56=0,IF(achievement!Q$96*$B57&gt;=1,achievement!Q$97,0))</f>
        <v>0</v>
      </c>
      <c r="U57" s="2" t="b">
        <f>IF(U56=0,IF(achievement!R$96*$B57&gt;=1,achievement!R$97,0))</f>
        <v>0</v>
      </c>
      <c r="V57" s="2" t="b">
        <f>IF(V56=0,IF(achievement!S$96*$B57&gt;=1,achievement!S$97,0))</f>
        <v>0</v>
      </c>
      <c r="W57" s="2" t="b">
        <f>IF(W56=0,IF(achievement!T$96*$B57&gt;=1,achievement!T$97,0))</f>
        <v>0</v>
      </c>
      <c r="X57" s="2" t="b">
        <f>IF(X56=0,IF(achievement!U$96*$B57&gt;=1,achievement!U$97,0))</f>
        <v>0</v>
      </c>
      <c r="Y57" s="2" t="b">
        <f>IF(Y56=0,IF(achievement!V$96*$B57&gt;=1,achievement!V$97,0))</f>
        <v>0</v>
      </c>
      <c r="Z57" s="2" t="b">
        <f>IF(Z56=0,IF(achievement!W$96*$B57&gt;=1,achievement!W$97,0))</f>
        <v>0</v>
      </c>
      <c r="AA57" s="2" t="b">
        <f>IF(AA56=0,IF(achievement!X$96*$B57&gt;=1,achievement!X$97,0))</f>
        <v>0</v>
      </c>
      <c r="AB57" s="2" t="b">
        <f>IF(AB56=0,IF(achievement!Y$96*$B57&gt;=1,achievement!Y$97,0))</f>
        <v>0</v>
      </c>
      <c r="AC57" s="2" t="b">
        <f>IF(AC56=0,IF(achievement!Z$96*$B57&gt;=1,achievement!Z$97,0))</f>
        <v>0</v>
      </c>
      <c r="AD57" s="2" t="b">
        <f>IF(AD56=0,IF(achievement!AA$96*$B57&gt;=1,achievement!AA$97,0))</f>
        <v>0</v>
      </c>
      <c r="AE57" s="2" t="b">
        <f>IF(AE56=0,IF(achievement!AB$96*$B57&gt;=1,achievement!AB$97,0))</f>
        <v>0</v>
      </c>
      <c r="AF57" s="2" t="b">
        <f>IF(AF56=0,IF(achievement!AC$96*$B57&gt;=1,achievement!AC$97,0))</f>
        <v>0</v>
      </c>
      <c r="AG57" s="2" t="b">
        <f>IF(AG56=0,IF(achievement!AD$96*$B57&gt;=1,achievement!AD$97,0))</f>
        <v>0</v>
      </c>
      <c r="AH57" s="2" t="b">
        <f>IF(AH56=0,IF(achievement!AE$96*$B57&gt;=1,achievement!AE$97,0))</f>
        <v>0</v>
      </c>
      <c r="AI57" s="2" t="b">
        <f>IF(AI56=0,IF(achievement!AF$96*$B57&gt;=1,achievement!AF$97,0))</f>
        <v>0</v>
      </c>
      <c r="AJ57" s="2" t="b">
        <f>IF(AJ56=0,IF(achievement!AG$96*$B57&gt;=1,achievement!AG$97,0))</f>
        <v>0</v>
      </c>
      <c r="AK57" s="2" t="b">
        <f>IF(AK56=0,IF(achievement!AH$96*$B57&gt;=1,achievement!AH$97,0))</f>
        <v>0</v>
      </c>
      <c r="AL57" s="2" t="b">
        <f>IF(AL56=0,IF(achievement!AI$96*$B57&gt;=1,achievement!AI$97,0))</f>
        <v>0</v>
      </c>
      <c r="AM57" s="2" t="b">
        <f>IF(AM56=0,IF(achievement!AJ$96*$B57&gt;=1,achievement!AJ$97,0))</f>
        <v>0</v>
      </c>
      <c r="AN57" s="2" t="b">
        <f>IF(AN56=0,IF(achievement!AK$96*$B57&gt;=1,achievement!AK$97,0))</f>
        <v>0</v>
      </c>
      <c r="AO57" s="2" t="b">
        <f>IF(AO56=0,IF(achievement!AL$96*$B57&gt;=1,achievement!AL$97,0))</f>
        <v>0</v>
      </c>
      <c r="AP57" s="2" t="b">
        <f>IF(AP56=0,IF(achievement!AM$96*$B57&gt;=1,achievement!AM$97,0))</f>
        <v>0</v>
      </c>
      <c r="AQ57" s="2" t="b">
        <f>IF(AQ56=0,IF(achievement!AN$96*$B57&gt;=1,achievement!AN$97,0))</f>
        <v>0</v>
      </c>
      <c r="AR57" s="2" t="b">
        <f>IF(AR56=0,IF(achievement!AO$96*$B57&gt;=1,achievement!AO$97,0))</f>
        <v>0</v>
      </c>
      <c r="AS57" s="2" t="b">
        <f>IF(AS56=0,IF(achievement!AP$96*$B57&gt;=1,achievement!AP$97,0))</f>
        <v>0</v>
      </c>
      <c r="AT57" s="2" t="b">
        <f>IF(AT56=0,IF(achievement!AQ$96*$B57&gt;=1,achievement!AQ$97,0))</f>
        <v>0</v>
      </c>
      <c r="AU57" s="2">
        <f>IF(AU56=0,IF(achievement!AR$96*$B57&gt;=1,achievement!AR$97,0))</f>
        <v>64</v>
      </c>
      <c r="AV57" s="2">
        <f>IF(AV56=0,IF(achievement!AS$96*$B57&gt;=1,achievement!AS$97,0))</f>
        <v>0</v>
      </c>
      <c r="AW57" s="2"/>
      <c r="AX57" s="2"/>
      <c r="AY57" s="2"/>
    </row>
    <row r="58" s="1" customFormat="1" ht="18" customHeight="1" spans="2:51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290</v>
      </c>
      <c r="G58" s="2">
        <f t="shared" si="2"/>
        <v>66</v>
      </c>
      <c r="H58" s="2">
        <f t="shared" si="3"/>
        <v>2327</v>
      </c>
      <c r="I58" s="2" t="b">
        <f>IF(I57=0,IF($B58&gt;=achievement!F$96,achievement!F$97,0))</f>
        <v>0</v>
      </c>
      <c r="J58" s="2" t="b">
        <f>IF(J57=0,IF($B58&gt;=achievement!G$96,achievement!G$97,0))</f>
        <v>0</v>
      </c>
      <c r="K58" s="2" t="b">
        <f>IF(K57=0,IF($B58&gt;=achievement!H$96,achievement!H$97,0))</f>
        <v>0</v>
      </c>
      <c r="L58" s="2" t="b">
        <f>IF(L57=0,IF($B58&gt;=achievement!I$96,achievement!I$97,0))</f>
        <v>0</v>
      </c>
      <c r="M58" s="2">
        <f>IF(M57=0,IF($B58&gt;=achievement!J$96,achievement!J$97,0))</f>
        <v>0</v>
      </c>
      <c r="N58" s="2">
        <f>IF(N57=0,IF($B58&gt;=achievement!K$96,achievement!K$97,0))</f>
        <v>0</v>
      </c>
      <c r="O58" s="2">
        <f>IF(O57=0,IF($B58&gt;=achievement!L$96,achievement!L$97,0))</f>
        <v>0</v>
      </c>
      <c r="P58" s="2" t="b">
        <f>IF(P57=0,IF(achievement!M$96*$B58&gt;=1,achievement!M$97,0))</f>
        <v>0</v>
      </c>
      <c r="Q58" s="2" t="b">
        <f>IF(Q57=0,IF(achievement!N$96*$B58&gt;=1,achievement!N$97,0))</f>
        <v>0</v>
      </c>
      <c r="R58" s="2" t="b">
        <f>IF(R57=0,IF(achievement!O$96*$B58&gt;=1,achievement!O$97,0))</f>
        <v>0</v>
      </c>
      <c r="S58" s="2" t="b">
        <f>IF(S57=0,IF(achievement!P$96*$B58&gt;=1,achievement!P$97,0))</f>
        <v>0</v>
      </c>
      <c r="T58" s="2" t="b">
        <f>IF(T57=0,IF(achievement!Q$96*$B58&gt;=1,achievement!Q$97,0))</f>
        <v>0</v>
      </c>
      <c r="U58" s="2" t="b">
        <f>IF(U57=0,IF(achievement!R$96*$B58&gt;=1,achievement!R$97,0))</f>
        <v>0</v>
      </c>
      <c r="V58" s="2" t="b">
        <f>IF(V57=0,IF(achievement!S$96*$B58&gt;=1,achievement!S$97,0))</f>
        <v>0</v>
      </c>
      <c r="W58" s="2" t="b">
        <f>IF(W57=0,IF(achievement!T$96*$B58&gt;=1,achievement!T$97,0))</f>
        <v>0</v>
      </c>
      <c r="X58" s="2" t="b">
        <f>IF(X57=0,IF(achievement!U$96*$B58&gt;=1,achievement!U$97,0))</f>
        <v>0</v>
      </c>
      <c r="Y58" s="2" t="b">
        <f>IF(Y57=0,IF(achievement!V$96*$B58&gt;=1,achievement!V$97,0))</f>
        <v>0</v>
      </c>
      <c r="Z58" s="2" t="b">
        <f>IF(Z57=0,IF(achievement!W$96*$B58&gt;=1,achievement!W$97,0))</f>
        <v>0</v>
      </c>
      <c r="AA58" s="2" t="b">
        <f>IF(AA57=0,IF(achievement!X$96*$B58&gt;=1,achievement!X$97,0))</f>
        <v>0</v>
      </c>
      <c r="AB58" s="2" t="b">
        <f>IF(AB57=0,IF(achievement!Y$96*$B58&gt;=1,achievement!Y$97,0))</f>
        <v>0</v>
      </c>
      <c r="AC58" s="2" t="b">
        <f>IF(AC57=0,IF(achievement!Z$96*$B58&gt;=1,achievement!Z$97,0))</f>
        <v>0</v>
      </c>
      <c r="AD58" s="2" t="b">
        <f>IF(AD57=0,IF(achievement!AA$96*$B58&gt;=1,achievement!AA$97,0))</f>
        <v>0</v>
      </c>
      <c r="AE58" s="2" t="b">
        <f>IF(AE57=0,IF(achievement!AB$96*$B58&gt;=1,achievement!AB$97,0))</f>
        <v>0</v>
      </c>
      <c r="AF58" s="2" t="b">
        <f>IF(AF57=0,IF(achievement!AC$96*$B58&gt;=1,achievement!AC$97,0))</f>
        <v>0</v>
      </c>
      <c r="AG58" s="2" t="b">
        <f>IF(AG57=0,IF(achievement!AD$96*$B58&gt;=1,achievement!AD$97,0))</f>
        <v>0</v>
      </c>
      <c r="AH58" s="2" t="b">
        <f>IF(AH57=0,IF(achievement!AE$96*$B58&gt;=1,achievement!AE$97,0))</f>
        <v>0</v>
      </c>
      <c r="AI58" s="2" t="b">
        <f>IF(AI57=0,IF(achievement!AF$96*$B58&gt;=1,achievement!AF$97,0))</f>
        <v>0</v>
      </c>
      <c r="AJ58" s="2" t="b">
        <f>IF(AJ57=0,IF(achievement!AG$96*$B58&gt;=1,achievement!AG$97,0))</f>
        <v>0</v>
      </c>
      <c r="AK58" s="2" t="b">
        <f>IF(AK57=0,IF(achievement!AH$96*$B58&gt;=1,achievement!AH$97,0))</f>
        <v>0</v>
      </c>
      <c r="AL58" s="2" t="b">
        <f>IF(AL57=0,IF(achievement!AI$96*$B58&gt;=1,achievement!AI$97,0))</f>
        <v>0</v>
      </c>
      <c r="AM58" s="2" t="b">
        <f>IF(AM57=0,IF(achievement!AJ$96*$B58&gt;=1,achievement!AJ$97,0))</f>
        <v>0</v>
      </c>
      <c r="AN58" s="2" t="b">
        <f>IF(AN57=0,IF(achievement!AK$96*$B58&gt;=1,achievement!AK$97,0))</f>
        <v>0</v>
      </c>
      <c r="AO58" s="2" t="b">
        <f>IF(AO57=0,IF(achievement!AL$96*$B58&gt;=1,achievement!AL$97,0))</f>
        <v>0</v>
      </c>
      <c r="AP58" s="2" t="b">
        <f>IF(AP57=0,IF(achievement!AM$96*$B58&gt;=1,achievement!AM$97,0))</f>
        <v>0</v>
      </c>
      <c r="AQ58" s="2" t="b">
        <f>IF(AQ57=0,IF(achievement!AN$96*$B58&gt;=1,achievement!AN$97,0))</f>
        <v>0</v>
      </c>
      <c r="AR58" s="2" t="b">
        <f>IF(AR57=0,IF(achievement!AO$96*$B58&gt;=1,achievement!AO$97,0))</f>
        <v>0</v>
      </c>
      <c r="AS58" s="2" t="b">
        <f>IF(AS57=0,IF(achievement!AP$96*$B58&gt;=1,achievement!AP$97,0))</f>
        <v>0</v>
      </c>
      <c r="AT58" s="2" t="b">
        <f>IF(AT57=0,IF(achievement!AQ$96*$B58&gt;=1,achievement!AQ$97,0))</f>
        <v>0</v>
      </c>
      <c r="AU58" s="2" t="b">
        <f>IF(AU57=0,IF(achievement!AR$96*$B58&gt;=1,achievement!AR$97,0))</f>
        <v>0</v>
      </c>
      <c r="AV58" s="2">
        <f>IF(AV57=0,IF(achievement!AS$96*$B58&gt;=1,achievement!AS$97,0))</f>
        <v>66</v>
      </c>
      <c r="AW58" s="2"/>
      <c r="AX58" s="2"/>
      <c r="AY58" s="2"/>
    </row>
    <row r="59" s="1" customFormat="1" ht="18" customHeight="1" spans="2:51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299</v>
      </c>
      <c r="G59" s="2">
        <f t="shared" ref="G59:G90" si="4">SUM(I59:BK59)</f>
        <v>0</v>
      </c>
      <c r="H59" s="2">
        <f t="shared" si="3"/>
        <v>2327</v>
      </c>
      <c r="I59" s="2" t="b">
        <f>IF(I58=0,IF($B59&gt;=achievement!F$96,achievement!F$97,0))</f>
        <v>0</v>
      </c>
      <c r="J59" s="2" t="b">
        <f>IF(J58=0,IF($B59&gt;=achievement!G$96,achievement!G$97,0))</f>
        <v>0</v>
      </c>
      <c r="K59" s="2" t="b">
        <f>IF(K58=0,IF($B59&gt;=achievement!H$96,achievement!H$97,0))</f>
        <v>0</v>
      </c>
      <c r="L59" s="2" t="b">
        <f>IF(L58=0,IF($B59&gt;=achievement!I$96,achievement!I$97,0))</f>
        <v>0</v>
      </c>
      <c r="M59" s="2">
        <f>IF(M58=0,IF($B59&gt;=achievement!J$96,achievement!J$97,0))</f>
        <v>0</v>
      </c>
      <c r="N59" s="2">
        <f>IF(N58=0,IF($B59&gt;=achievement!K$96,achievement!K$97,0))</f>
        <v>0</v>
      </c>
      <c r="O59" s="2">
        <f>IF(O58=0,IF($B59&gt;=achievement!L$96,achievement!L$97,0))</f>
        <v>0</v>
      </c>
      <c r="P59" s="2" t="b">
        <f>IF(P58=0,IF(achievement!M$96*$B59&gt;=1,achievement!M$97,0))</f>
        <v>0</v>
      </c>
      <c r="Q59" s="2" t="b">
        <f>IF(Q58=0,IF(achievement!N$96*$B59&gt;=1,achievement!N$97,0))</f>
        <v>0</v>
      </c>
      <c r="R59" s="2" t="b">
        <f>IF(R58=0,IF(achievement!O$96*$B59&gt;=1,achievement!O$97,0))</f>
        <v>0</v>
      </c>
      <c r="S59" s="2" t="b">
        <f>IF(S58=0,IF(achievement!P$96*$B59&gt;=1,achievement!P$97,0))</f>
        <v>0</v>
      </c>
      <c r="T59" s="2" t="b">
        <f>IF(T58=0,IF(achievement!Q$96*$B59&gt;=1,achievement!Q$97,0))</f>
        <v>0</v>
      </c>
      <c r="U59" s="2" t="b">
        <f>IF(U58=0,IF(achievement!R$96*$B59&gt;=1,achievement!R$97,0))</f>
        <v>0</v>
      </c>
      <c r="V59" s="2" t="b">
        <f>IF(V58=0,IF(achievement!S$96*$B59&gt;=1,achievement!S$97,0))</f>
        <v>0</v>
      </c>
      <c r="W59" s="2" t="b">
        <f>IF(W58=0,IF(achievement!T$96*$B59&gt;=1,achievement!T$97,0))</f>
        <v>0</v>
      </c>
      <c r="X59" s="2" t="b">
        <f>IF(X58=0,IF(achievement!U$96*$B59&gt;=1,achievement!U$97,0))</f>
        <v>0</v>
      </c>
      <c r="Y59" s="2" t="b">
        <f>IF(Y58=0,IF(achievement!V$96*$B59&gt;=1,achievement!V$97,0))</f>
        <v>0</v>
      </c>
      <c r="Z59" s="2" t="b">
        <f>IF(Z58=0,IF(achievement!W$96*$B59&gt;=1,achievement!W$97,0))</f>
        <v>0</v>
      </c>
      <c r="AA59" s="2" t="b">
        <f>IF(AA58=0,IF(achievement!X$96*$B59&gt;=1,achievement!X$97,0))</f>
        <v>0</v>
      </c>
      <c r="AB59" s="2" t="b">
        <f>IF(AB58=0,IF(achievement!Y$96*$B59&gt;=1,achievement!Y$97,0))</f>
        <v>0</v>
      </c>
      <c r="AC59" s="2" t="b">
        <f>IF(AC58=0,IF(achievement!Z$96*$B59&gt;=1,achievement!Z$97,0))</f>
        <v>0</v>
      </c>
      <c r="AD59" s="2" t="b">
        <f>IF(AD58=0,IF(achievement!AA$96*$B59&gt;=1,achievement!AA$97,0))</f>
        <v>0</v>
      </c>
      <c r="AE59" s="2" t="b">
        <f>IF(AE58=0,IF(achievement!AB$96*$B59&gt;=1,achievement!AB$97,0))</f>
        <v>0</v>
      </c>
      <c r="AF59" s="2" t="b">
        <f>IF(AF58=0,IF(achievement!AC$96*$B59&gt;=1,achievement!AC$97,0))</f>
        <v>0</v>
      </c>
      <c r="AG59" s="2" t="b">
        <f>IF(AG58=0,IF(achievement!AD$96*$B59&gt;=1,achievement!AD$97,0))</f>
        <v>0</v>
      </c>
      <c r="AH59" s="2" t="b">
        <f>IF(AH58=0,IF(achievement!AE$96*$B59&gt;=1,achievement!AE$97,0))</f>
        <v>0</v>
      </c>
      <c r="AI59" s="2" t="b">
        <f>IF(AI58=0,IF(achievement!AF$96*$B59&gt;=1,achievement!AF$97,0))</f>
        <v>0</v>
      </c>
      <c r="AJ59" s="2" t="b">
        <f>IF(AJ58=0,IF(achievement!AG$96*$B59&gt;=1,achievement!AG$97,0))</f>
        <v>0</v>
      </c>
      <c r="AK59" s="2" t="b">
        <f>IF(AK58=0,IF(achievement!AH$96*$B59&gt;=1,achievement!AH$97,0))</f>
        <v>0</v>
      </c>
      <c r="AL59" s="2" t="b">
        <f>IF(AL58=0,IF(achievement!AI$96*$B59&gt;=1,achievement!AI$97,0))</f>
        <v>0</v>
      </c>
      <c r="AM59" s="2" t="b">
        <f>IF(AM58=0,IF(achievement!AJ$96*$B59&gt;=1,achievement!AJ$97,0))</f>
        <v>0</v>
      </c>
      <c r="AN59" s="2" t="b">
        <f>IF(AN58=0,IF(achievement!AK$96*$B59&gt;=1,achievement!AK$97,0))</f>
        <v>0</v>
      </c>
      <c r="AO59" s="2" t="b">
        <f>IF(AO58=0,IF(achievement!AL$96*$B59&gt;=1,achievement!AL$97,0))</f>
        <v>0</v>
      </c>
      <c r="AP59" s="2" t="b">
        <f>IF(AP58=0,IF(achievement!AM$96*$B59&gt;=1,achievement!AM$97,0))</f>
        <v>0</v>
      </c>
      <c r="AQ59" s="2" t="b">
        <f>IF(AQ58=0,IF(achievement!AN$96*$B59&gt;=1,achievement!AN$97,0))</f>
        <v>0</v>
      </c>
      <c r="AR59" s="2" t="b">
        <f>IF(AR58=0,IF(achievement!AO$96*$B59&gt;=1,achievement!AO$97,0))</f>
        <v>0</v>
      </c>
      <c r="AS59" s="2" t="b">
        <f>IF(AS58=0,IF(achievement!AP$96*$B59&gt;=1,achievement!AP$97,0))</f>
        <v>0</v>
      </c>
      <c r="AT59" s="2" t="b">
        <f>IF(AT58=0,IF(achievement!AQ$96*$B59&gt;=1,achievement!AQ$97,0))</f>
        <v>0</v>
      </c>
      <c r="AU59" s="2" t="b">
        <f>IF(AU58=0,IF(achievement!AR$96*$B59&gt;=1,achievement!AR$97,0))</f>
        <v>0</v>
      </c>
      <c r="AV59" s="2" t="b">
        <f>IF(AV58=0,IF(achievement!AS$96*$B59&gt;=1,achievement!AS$97,0))</f>
        <v>0</v>
      </c>
      <c r="AW59" s="2"/>
      <c r="AX59" s="2"/>
      <c r="AY59" s="2"/>
    </row>
    <row r="60" s="1" customFormat="1" ht="18" customHeight="1" spans="2:51">
      <c r="B60" s="2">
        <v>35</v>
      </c>
      <c r="C60" s="2">
        <f t="shared" si="0"/>
        <v>35000</v>
      </c>
      <c r="D60" s="2">
        <f>ROUND($C$8*$C$5+$C$8*$C$4*(1-$L$5),0)</f>
        <v>88</v>
      </c>
      <c r="E60" s="2">
        <f t="shared" si="1"/>
        <v>3080</v>
      </c>
      <c r="F60" s="2">
        <f>ROUND(E60*VLOOKUP($B$10,总产出!$T$4:$U$14,2,FALSE),0)</f>
        <v>308</v>
      </c>
      <c r="G60" s="2">
        <f t="shared" si="4"/>
        <v>0</v>
      </c>
      <c r="H60" s="2">
        <f t="shared" si="3"/>
        <v>2327</v>
      </c>
      <c r="I60" s="2" t="b">
        <f>IF(I59=0,IF($B60&gt;=achievement!F$96,achievement!F$97,0))</f>
        <v>0</v>
      </c>
      <c r="J60" s="2" t="b">
        <f>IF(J59=0,IF($B60&gt;=achievement!G$96,achievement!G$97,0))</f>
        <v>0</v>
      </c>
      <c r="K60" s="2" t="b">
        <f>IF(K59=0,IF($B60&gt;=achievement!H$96,achievement!H$97,0))</f>
        <v>0</v>
      </c>
      <c r="L60" s="2" t="b">
        <f>IF(L59=0,IF($B60&gt;=achievement!I$96,achievement!I$97,0))</f>
        <v>0</v>
      </c>
      <c r="M60" s="2">
        <f>IF(M59=0,IF($B60&gt;=achievement!J$96,achievement!J$97,0))</f>
        <v>0</v>
      </c>
      <c r="N60" s="2">
        <f>IF(N59=0,IF($B60&gt;=achievement!K$96,achievement!K$97,0))</f>
        <v>0</v>
      </c>
      <c r="O60" s="2">
        <f>IF(O59=0,IF($B60&gt;=achievement!L$96,achievement!L$97,0))</f>
        <v>0</v>
      </c>
      <c r="P60" s="2" t="b">
        <f>IF(P59=0,IF(achievement!M$96*$B60&gt;=1,achievement!M$97,0))</f>
        <v>0</v>
      </c>
      <c r="Q60" s="2" t="b">
        <f>IF(Q59=0,IF(achievement!N$96*$B60&gt;=1,achievement!N$97,0))</f>
        <v>0</v>
      </c>
      <c r="R60" s="2" t="b">
        <f>IF(R59=0,IF(achievement!O$96*$B60&gt;=1,achievement!O$97,0))</f>
        <v>0</v>
      </c>
      <c r="S60" s="2" t="b">
        <f>IF(S59=0,IF(achievement!P$96*$B60&gt;=1,achievement!P$97,0))</f>
        <v>0</v>
      </c>
      <c r="T60" s="2" t="b">
        <f>IF(T59=0,IF(achievement!Q$96*$B60&gt;=1,achievement!Q$97,0))</f>
        <v>0</v>
      </c>
      <c r="U60" s="2" t="b">
        <f>IF(U59=0,IF(achievement!R$96*$B60&gt;=1,achievement!R$97,0))</f>
        <v>0</v>
      </c>
      <c r="V60" s="2" t="b">
        <f>IF(V59=0,IF(achievement!S$96*$B60&gt;=1,achievement!S$97,0))</f>
        <v>0</v>
      </c>
      <c r="W60" s="2" t="b">
        <f>IF(W59=0,IF(achievement!T$96*$B60&gt;=1,achievement!T$97,0))</f>
        <v>0</v>
      </c>
      <c r="X60" s="2" t="b">
        <f>IF(X59=0,IF(achievement!U$96*$B60&gt;=1,achievement!U$97,0))</f>
        <v>0</v>
      </c>
      <c r="Y60" s="2" t="b">
        <f>IF(Y59=0,IF(achievement!V$96*$B60&gt;=1,achievement!V$97,0))</f>
        <v>0</v>
      </c>
      <c r="Z60" s="2" t="b">
        <f>IF(Z59=0,IF(achievement!W$96*$B60&gt;=1,achievement!W$97,0))</f>
        <v>0</v>
      </c>
      <c r="AA60" s="2" t="b">
        <f>IF(AA59=0,IF(achievement!X$96*$B60&gt;=1,achievement!X$97,0))</f>
        <v>0</v>
      </c>
      <c r="AB60" s="2" t="b">
        <f>IF(AB59=0,IF(achievement!Y$96*$B60&gt;=1,achievement!Y$97,0))</f>
        <v>0</v>
      </c>
      <c r="AC60" s="2" t="b">
        <f>IF(AC59=0,IF(achievement!Z$96*$B60&gt;=1,achievement!Z$97,0))</f>
        <v>0</v>
      </c>
      <c r="AD60" s="2" t="b">
        <f>IF(AD59=0,IF(achievement!AA$96*$B60&gt;=1,achievement!AA$97,0))</f>
        <v>0</v>
      </c>
      <c r="AE60" s="2" t="b">
        <f>IF(AE59=0,IF(achievement!AB$96*$B60&gt;=1,achievement!AB$97,0))</f>
        <v>0</v>
      </c>
      <c r="AF60" s="2" t="b">
        <f>IF(AF59=0,IF(achievement!AC$96*$B60&gt;=1,achievement!AC$97,0))</f>
        <v>0</v>
      </c>
      <c r="AG60" s="2" t="b">
        <f>IF(AG59=0,IF(achievement!AD$96*$B60&gt;=1,achievement!AD$97,0))</f>
        <v>0</v>
      </c>
      <c r="AH60" s="2" t="b">
        <f>IF(AH59=0,IF(achievement!AE$96*$B60&gt;=1,achievement!AE$97,0))</f>
        <v>0</v>
      </c>
      <c r="AI60" s="2" t="b">
        <f>IF(AI59=0,IF(achievement!AF$96*$B60&gt;=1,achievement!AF$97,0))</f>
        <v>0</v>
      </c>
      <c r="AJ60" s="2" t="b">
        <f>IF(AJ59=0,IF(achievement!AG$96*$B60&gt;=1,achievement!AG$97,0))</f>
        <v>0</v>
      </c>
      <c r="AK60" s="2" t="b">
        <f>IF(AK59=0,IF(achievement!AH$96*$B60&gt;=1,achievement!AH$97,0))</f>
        <v>0</v>
      </c>
      <c r="AL60" s="2" t="b">
        <f>IF(AL59=0,IF(achievement!AI$96*$B60&gt;=1,achievement!AI$97,0))</f>
        <v>0</v>
      </c>
      <c r="AM60" s="2" t="b">
        <f>IF(AM59=0,IF(achievement!AJ$96*$B60&gt;=1,achievement!AJ$97,0))</f>
        <v>0</v>
      </c>
      <c r="AN60" s="2" t="b">
        <f>IF(AN59=0,IF(achievement!AK$96*$B60&gt;=1,achievement!AK$97,0))</f>
        <v>0</v>
      </c>
      <c r="AO60" s="2" t="b">
        <f>IF(AO59=0,IF(achievement!AL$96*$B60&gt;=1,achievement!AL$97,0))</f>
        <v>0</v>
      </c>
      <c r="AP60" s="2" t="b">
        <f>IF(AP59=0,IF(achievement!AM$96*$B60&gt;=1,achievement!AM$97,0))</f>
        <v>0</v>
      </c>
      <c r="AQ60" s="2" t="b">
        <f>IF(AQ59=0,IF(achievement!AN$96*$B60&gt;=1,achievement!AN$97,0))</f>
        <v>0</v>
      </c>
      <c r="AR60" s="2" t="b">
        <f>IF(AR59=0,IF(achievement!AO$96*$B60&gt;=1,achievement!AO$97,0))</f>
        <v>0</v>
      </c>
      <c r="AS60" s="2" t="b">
        <f>IF(AS59=0,IF(achievement!AP$96*$B60&gt;=1,achievement!AP$97,0))</f>
        <v>0</v>
      </c>
      <c r="AT60" s="2" t="b">
        <f>IF(AT59=0,IF(achievement!AQ$96*$B60&gt;=1,achievement!AQ$97,0))</f>
        <v>0</v>
      </c>
      <c r="AU60" s="2" t="b">
        <f>IF(AU59=0,IF(achievement!AR$96*$B60&gt;=1,achievement!AR$97,0))</f>
        <v>0</v>
      </c>
      <c r="AV60" s="2" t="b">
        <f>IF(AV59=0,IF(achievement!AS$96*$B60&gt;=1,achievement!AS$97,0))</f>
        <v>0</v>
      </c>
      <c r="AW60" s="2"/>
      <c r="AX60" s="2"/>
      <c r="AY60" s="2"/>
    </row>
    <row r="61" s="1" customFormat="1" ht="18" customHeight="1" spans="2:51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317</v>
      </c>
      <c r="G61" s="2">
        <f t="shared" si="4"/>
        <v>0</v>
      </c>
      <c r="H61" s="2">
        <f t="shared" si="3"/>
        <v>2327</v>
      </c>
      <c r="I61" s="2" t="b">
        <f>IF(I60=0,IF($B61&gt;=achievement!F$96,achievement!F$97,0))</f>
        <v>0</v>
      </c>
      <c r="J61" s="2" t="b">
        <f>IF(J60=0,IF($B61&gt;=achievement!G$96,achievement!G$97,0))</f>
        <v>0</v>
      </c>
      <c r="K61" s="2" t="b">
        <f>IF(K60=0,IF($B61&gt;=achievement!H$96,achievement!H$97,0))</f>
        <v>0</v>
      </c>
      <c r="L61" s="2" t="b">
        <f>IF(L60=0,IF($B61&gt;=achievement!I$96,achievement!I$97,0))</f>
        <v>0</v>
      </c>
      <c r="M61" s="2">
        <f>IF(M60=0,IF($B61&gt;=achievement!J$96,achievement!J$97,0))</f>
        <v>0</v>
      </c>
      <c r="N61" s="2">
        <f>IF(N60=0,IF($B61&gt;=achievement!K$96,achievement!K$97,0))</f>
        <v>0</v>
      </c>
      <c r="O61" s="2">
        <f>IF(O60=0,IF($B61&gt;=achievement!L$96,achievement!L$97,0))</f>
        <v>0</v>
      </c>
      <c r="P61" s="2" t="b">
        <f>IF(P60=0,IF(achievement!M$96*$B61&gt;=1,achievement!M$97,0))</f>
        <v>0</v>
      </c>
      <c r="Q61" s="2" t="b">
        <f>IF(Q60=0,IF(achievement!N$96*$B61&gt;=1,achievement!N$97,0))</f>
        <v>0</v>
      </c>
      <c r="R61" s="2" t="b">
        <f>IF(R60=0,IF(achievement!O$96*$B61&gt;=1,achievement!O$97,0))</f>
        <v>0</v>
      </c>
      <c r="S61" s="2" t="b">
        <f>IF(S60=0,IF(achievement!P$96*$B61&gt;=1,achievement!P$97,0))</f>
        <v>0</v>
      </c>
      <c r="T61" s="2" t="b">
        <f>IF(T60=0,IF(achievement!Q$96*$B61&gt;=1,achievement!Q$97,0))</f>
        <v>0</v>
      </c>
      <c r="U61" s="2" t="b">
        <f>IF(U60=0,IF(achievement!R$96*$B61&gt;=1,achievement!R$97,0))</f>
        <v>0</v>
      </c>
      <c r="V61" s="2" t="b">
        <f>IF(V60=0,IF(achievement!S$96*$B61&gt;=1,achievement!S$97,0))</f>
        <v>0</v>
      </c>
      <c r="W61" s="2" t="b">
        <f>IF(W60=0,IF(achievement!T$96*$B61&gt;=1,achievement!T$97,0))</f>
        <v>0</v>
      </c>
      <c r="X61" s="2" t="b">
        <f>IF(X60=0,IF(achievement!U$96*$B61&gt;=1,achievement!U$97,0))</f>
        <v>0</v>
      </c>
      <c r="Y61" s="2" t="b">
        <f>IF(Y60=0,IF(achievement!V$96*$B61&gt;=1,achievement!V$97,0))</f>
        <v>0</v>
      </c>
      <c r="Z61" s="2" t="b">
        <f>IF(Z60=0,IF(achievement!W$96*$B61&gt;=1,achievement!W$97,0))</f>
        <v>0</v>
      </c>
      <c r="AA61" s="2" t="b">
        <f>IF(AA60=0,IF(achievement!X$96*$B61&gt;=1,achievement!X$97,0))</f>
        <v>0</v>
      </c>
      <c r="AB61" s="2" t="b">
        <f>IF(AB60=0,IF(achievement!Y$96*$B61&gt;=1,achievement!Y$97,0))</f>
        <v>0</v>
      </c>
      <c r="AC61" s="2" t="b">
        <f>IF(AC60=0,IF(achievement!Z$96*$B61&gt;=1,achievement!Z$97,0))</f>
        <v>0</v>
      </c>
      <c r="AD61" s="2" t="b">
        <f>IF(AD60=0,IF(achievement!AA$96*$B61&gt;=1,achievement!AA$97,0))</f>
        <v>0</v>
      </c>
      <c r="AE61" s="2" t="b">
        <f>IF(AE60=0,IF(achievement!AB$96*$B61&gt;=1,achievement!AB$97,0))</f>
        <v>0</v>
      </c>
      <c r="AF61" s="2" t="b">
        <f>IF(AF60=0,IF(achievement!AC$96*$B61&gt;=1,achievement!AC$97,0))</f>
        <v>0</v>
      </c>
      <c r="AG61" s="2" t="b">
        <f>IF(AG60=0,IF(achievement!AD$96*$B61&gt;=1,achievement!AD$97,0))</f>
        <v>0</v>
      </c>
      <c r="AH61" s="2" t="b">
        <f>IF(AH60=0,IF(achievement!AE$96*$B61&gt;=1,achievement!AE$97,0))</f>
        <v>0</v>
      </c>
      <c r="AI61" s="2" t="b">
        <f>IF(AI60=0,IF(achievement!AF$96*$B61&gt;=1,achievement!AF$97,0))</f>
        <v>0</v>
      </c>
      <c r="AJ61" s="2" t="b">
        <f>IF(AJ60=0,IF(achievement!AG$96*$B61&gt;=1,achievement!AG$97,0))</f>
        <v>0</v>
      </c>
      <c r="AK61" s="2" t="b">
        <f>IF(AK60=0,IF(achievement!AH$96*$B61&gt;=1,achievement!AH$97,0))</f>
        <v>0</v>
      </c>
      <c r="AL61" s="2" t="b">
        <f>IF(AL60=0,IF(achievement!AI$96*$B61&gt;=1,achievement!AI$97,0))</f>
        <v>0</v>
      </c>
      <c r="AM61" s="2" t="b">
        <f>IF(AM60=0,IF(achievement!AJ$96*$B61&gt;=1,achievement!AJ$97,0))</f>
        <v>0</v>
      </c>
      <c r="AN61" s="2" t="b">
        <f>IF(AN60=0,IF(achievement!AK$96*$B61&gt;=1,achievement!AK$97,0))</f>
        <v>0</v>
      </c>
      <c r="AO61" s="2" t="b">
        <f>IF(AO60=0,IF(achievement!AL$96*$B61&gt;=1,achievement!AL$97,0))</f>
        <v>0</v>
      </c>
      <c r="AP61" s="2" t="b">
        <f>IF(AP60=0,IF(achievement!AM$96*$B61&gt;=1,achievement!AM$97,0))</f>
        <v>0</v>
      </c>
      <c r="AQ61" s="2" t="b">
        <f>IF(AQ60=0,IF(achievement!AN$96*$B61&gt;=1,achievement!AN$97,0))</f>
        <v>0</v>
      </c>
      <c r="AR61" s="2" t="b">
        <f>IF(AR60=0,IF(achievement!AO$96*$B61&gt;=1,achievement!AO$97,0))</f>
        <v>0</v>
      </c>
      <c r="AS61" s="2" t="b">
        <f>IF(AS60=0,IF(achievement!AP$96*$B61&gt;=1,achievement!AP$97,0))</f>
        <v>0</v>
      </c>
      <c r="AT61" s="2" t="b">
        <f>IF(AT60=0,IF(achievement!AQ$96*$B61&gt;=1,achievement!AQ$97,0))</f>
        <v>0</v>
      </c>
      <c r="AU61" s="2" t="b">
        <f>IF(AU60=0,IF(achievement!AR$96*$B61&gt;=1,achievement!AR$97,0))</f>
        <v>0</v>
      </c>
      <c r="AV61" s="2" t="b">
        <f>IF(AV60=0,IF(achievement!AS$96*$B61&gt;=1,achievement!AS$97,0))</f>
        <v>0</v>
      </c>
      <c r="AW61" s="2"/>
      <c r="AX61" s="2"/>
      <c r="AY61" s="2"/>
    </row>
    <row r="62" s="1" customFormat="1" ht="18" customHeight="1" spans="2:51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326</v>
      </c>
      <c r="G62" s="2">
        <f t="shared" si="4"/>
        <v>0</v>
      </c>
      <c r="H62" s="2">
        <f t="shared" si="3"/>
        <v>2327</v>
      </c>
      <c r="I62" s="2" t="b">
        <f>IF(I61=0,IF($B62&gt;=achievement!F$96,achievement!F$97,0))</f>
        <v>0</v>
      </c>
      <c r="J62" s="2" t="b">
        <f>IF(J61=0,IF($B62&gt;=achievement!G$96,achievement!G$97,0))</f>
        <v>0</v>
      </c>
      <c r="K62" s="2" t="b">
        <f>IF(K61=0,IF($B62&gt;=achievement!H$96,achievement!H$97,0))</f>
        <v>0</v>
      </c>
      <c r="L62" s="2" t="b">
        <f>IF(L61=0,IF($B62&gt;=achievement!I$96,achievement!I$97,0))</f>
        <v>0</v>
      </c>
      <c r="M62" s="2">
        <f>IF(M61=0,IF($B62&gt;=achievement!J$96,achievement!J$97,0))</f>
        <v>0</v>
      </c>
      <c r="N62" s="2">
        <f>IF(N61=0,IF($B62&gt;=achievement!K$96,achievement!K$97,0))</f>
        <v>0</v>
      </c>
      <c r="O62" s="2">
        <f>IF(O61=0,IF($B62&gt;=achievement!L$96,achievement!L$97,0))</f>
        <v>0</v>
      </c>
      <c r="P62" s="2" t="b">
        <f>IF(P61=0,IF(achievement!M$96*$B62&gt;=1,achievement!M$97,0))</f>
        <v>0</v>
      </c>
      <c r="Q62" s="2" t="b">
        <f>IF(Q61=0,IF(achievement!N$96*$B62&gt;=1,achievement!N$97,0))</f>
        <v>0</v>
      </c>
      <c r="R62" s="2" t="b">
        <f>IF(R61=0,IF(achievement!O$96*$B62&gt;=1,achievement!O$97,0))</f>
        <v>0</v>
      </c>
      <c r="S62" s="2" t="b">
        <f>IF(S61=0,IF(achievement!P$96*$B62&gt;=1,achievement!P$97,0))</f>
        <v>0</v>
      </c>
      <c r="T62" s="2" t="b">
        <f>IF(T61=0,IF(achievement!Q$96*$B62&gt;=1,achievement!Q$97,0))</f>
        <v>0</v>
      </c>
      <c r="U62" s="2" t="b">
        <f>IF(U61=0,IF(achievement!R$96*$B62&gt;=1,achievement!R$97,0))</f>
        <v>0</v>
      </c>
      <c r="V62" s="2" t="b">
        <f>IF(V61=0,IF(achievement!S$96*$B62&gt;=1,achievement!S$97,0))</f>
        <v>0</v>
      </c>
      <c r="W62" s="2" t="b">
        <f>IF(W61=0,IF(achievement!T$96*$B62&gt;=1,achievement!T$97,0))</f>
        <v>0</v>
      </c>
      <c r="X62" s="2" t="b">
        <f>IF(X61=0,IF(achievement!U$96*$B62&gt;=1,achievement!U$97,0))</f>
        <v>0</v>
      </c>
      <c r="Y62" s="2" t="b">
        <f>IF(Y61=0,IF(achievement!V$96*$B62&gt;=1,achievement!V$97,0))</f>
        <v>0</v>
      </c>
      <c r="Z62" s="2" t="b">
        <f>IF(Z61=0,IF(achievement!W$96*$B62&gt;=1,achievement!W$97,0))</f>
        <v>0</v>
      </c>
      <c r="AA62" s="2" t="b">
        <f>IF(AA61=0,IF(achievement!X$96*$B62&gt;=1,achievement!X$97,0))</f>
        <v>0</v>
      </c>
      <c r="AB62" s="2" t="b">
        <f>IF(AB61=0,IF(achievement!Y$96*$B62&gt;=1,achievement!Y$97,0))</f>
        <v>0</v>
      </c>
      <c r="AC62" s="2" t="b">
        <f>IF(AC61=0,IF(achievement!Z$96*$B62&gt;=1,achievement!Z$97,0))</f>
        <v>0</v>
      </c>
      <c r="AD62" s="2" t="b">
        <f>IF(AD61=0,IF(achievement!AA$96*$B62&gt;=1,achievement!AA$97,0))</f>
        <v>0</v>
      </c>
      <c r="AE62" s="2" t="b">
        <f>IF(AE61=0,IF(achievement!AB$96*$B62&gt;=1,achievement!AB$97,0))</f>
        <v>0</v>
      </c>
      <c r="AF62" s="2" t="b">
        <f>IF(AF61=0,IF(achievement!AC$96*$B62&gt;=1,achievement!AC$97,0))</f>
        <v>0</v>
      </c>
      <c r="AG62" s="2" t="b">
        <f>IF(AG61=0,IF(achievement!AD$96*$B62&gt;=1,achievement!AD$97,0))</f>
        <v>0</v>
      </c>
      <c r="AH62" s="2" t="b">
        <f>IF(AH61=0,IF(achievement!AE$96*$B62&gt;=1,achievement!AE$97,0))</f>
        <v>0</v>
      </c>
      <c r="AI62" s="2" t="b">
        <f>IF(AI61=0,IF(achievement!AF$96*$B62&gt;=1,achievement!AF$97,0))</f>
        <v>0</v>
      </c>
      <c r="AJ62" s="2" t="b">
        <f>IF(AJ61=0,IF(achievement!AG$96*$B62&gt;=1,achievement!AG$97,0))</f>
        <v>0</v>
      </c>
      <c r="AK62" s="2" t="b">
        <f>IF(AK61=0,IF(achievement!AH$96*$B62&gt;=1,achievement!AH$97,0))</f>
        <v>0</v>
      </c>
      <c r="AL62" s="2" t="b">
        <f>IF(AL61=0,IF(achievement!AI$96*$B62&gt;=1,achievement!AI$97,0))</f>
        <v>0</v>
      </c>
      <c r="AM62" s="2" t="b">
        <f>IF(AM61=0,IF(achievement!AJ$96*$B62&gt;=1,achievement!AJ$97,0))</f>
        <v>0</v>
      </c>
      <c r="AN62" s="2" t="b">
        <f>IF(AN61=0,IF(achievement!AK$96*$B62&gt;=1,achievement!AK$97,0))</f>
        <v>0</v>
      </c>
      <c r="AO62" s="2" t="b">
        <f>IF(AO61=0,IF(achievement!AL$96*$B62&gt;=1,achievement!AL$97,0))</f>
        <v>0</v>
      </c>
      <c r="AP62" s="2" t="b">
        <f>IF(AP61=0,IF(achievement!AM$96*$B62&gt;=1,achievement!AM$97,0))</f>
        <v>0</v>
      </c>
      <c r="AQ62" s="2" t="b">
        <f>IF(AQ61=0,IF(achievement!AN$96*$B62&gt;=1,achievement!AN$97,0))</f>
        <v>0</v>
      </c>
      <c r="AR62" s="2" t="b">
        <f>IF(AR61=0,IF(achievement!AO$96*$B62&gt;=1,achievement!AO$97,0))</f>
        <v>0</v>
      </c>
      <c r="AS62" s="2" t="b">
        <f>IF(AS61=0,IF(achievement!AP$96*$B62&gt;=1,achievement!AP$97,0))</f>
        <v>0</v>
      </c>
      <c r="AT62" s="2" t="b">
        <f>IF(AT61=0,IF(achievement!AQ$96*$B62&gt;=1,achievement!AQ$97,0))</f>
        <v>0</v>
      </c>
      <c r="AU62" s="2" t="b">
        <f>IF(AU61=0,IF(achievement!AR$96*$B62&gt;=1,achievement!AR$97,0))</f>
        <v>0</v>
      </c>
      <c r="AV62" s="2" t="b">
        <f>IF(AV61=0,IF(achievement!AS$96*$B62&gt;=1,achievement!AS$97,0))</f>
        <v>0</v>
      </c>
      <c r="AW62" s="2"/>
      <c r="AX62" s="2"/>
      <c r="AY62" s="2"/>
    </row>
    <row r="63" s="1" customFormat="1" ht="18" customHeight="1" spans="2:51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334</v>
      </c>
      <c r="G63" s="2">
        <f t="shared" si="4"/>
        <v>0</v>
      </c>
      <c r="H63" s="2">
        <f t="shared" si="3"/>
        <v>2327</v>
      </c>
      <c r="I63" s="2" t="b">
        <f>IF(I62=0,IF($B63&gt;=achievement!F$96,achievement!F$97,0))</f>
        <v>0</v>
      </c>
      <c r="J63" s="2" t="b">
        <f>IF(J62=0,IF($B63&gt;=achievement!G$96,achievement!G$97,0))</f>
        <v>0</v>
      </c>
      <c r="K63" s="2" t="b">
        <f>IF(K62=0,IF($B63&gt;=achievement!H$96,achievement!H$97,0))</f>
        <v>0</v>
      </c>
      <c r="L63" s="2" t="b">
        <f>IF(L62=0,IF($B63&gt;=achievement!I$96,achievement!I$97,0))</f>
        <v>0</v>
      </c>
      <c r="M63" s="2">
        <f>IF(M62=0,IF($B63&gt;=achievement!J$96,achievement!J$97,0))</f>
        <v>0</v>
      </c>
      <c r="N63" s="2">
        <f>IF(N62=0,IF($B63&gt;=achievement!K$96,achievement!K$97,0))</f>
        <v>0</v>
      </c>
      <c r="O63" s="2">
        <f>IF(O62=0,IF($B63&gt;=achievement!L$96,achievement!L$97,0))</f>
        <v>0</v>
      </c>
      <c r="P63" s="2" t="b">
        <f>IF(P62=0,IF(achievement!M$96*$B63&gt;=1,achievement!M$97,0))</f>
        <v>0</v>
      </c>
      <c r="Q63" s="2" t="b">
        <f>IF(Q62=0,IF(achievement!N$96*$B63&gt;=1,achievement!N$97,0))</f>
        <v>0</v>
      </c>
      <c r="R63" s="2" t="b">
        <f>IF(R62=0,IF(achievement!O$96*$B63&gt;=1,achievement!O$97,0))</f>
        <v>0</v>
      </c>
      <c r="S63" s="2" t="b">
        <f>IF(S62=0,IF(achievement!P$96*$B63&gt;=1,achievement!P$97,0))</f>
        <v>0</v>
      </c>
      <c r="T63" s="2" t="b">
        <f>IF(T62=0,IF(achievement!Q$96*$B63&gt;=1,achievement!Q$97,0))</f>
        <v>0</v>
      </c>
      <c r="U63" s="2" t="b">
        <f>IF(U62=0,IF(achievement!R$96*$B63&gt;=1,achievement!R$97,0))</f>
        <v>0</v>
      </c>
      <c r="V63" s="2" t="b">
        <f>IF(V62=0,IF(achievement!S$96*$B63&gt;=1,achievement!S$97,0))</f>
        <v>0</v>
      </c>
      <c r="W63" s="2" t="b">
        <f>IF(W62=0,IF(achievement!T$96*$B63&gt;=1,achievement!T$97,0))</f>
        <v>0</v>
      </c>
      <c r="X63" s="2" t="b">
        <f>IF(X62=0,IF(achievement!U$96*$B63&gt;=1,achievement!U$97,0))</f>
        <v>0</v>
      </c>
      <c r="Y63" s="2" t="b">
        <f>IF(Y62=0,IF(achievement!V$96*$B63&gt;=1,achievement!V$97,0))</f>
        <v>0</v>
      </c>
      <c r="Z63" s="2" t="b">
        <f>IF(Z62=0,IF(achievement!W$96*$B63&gt;=1,achievement!W$97,0))</f>
        <v>0</v>
      </c>
      <c r="AA63" s="2" t="b">
        <f>IF(AA62=0,IF(achievement!X$96*$B63&gt;=1,achievement!X$97,0))</f>
        <v>0</v>
      </c>
      <c r="AB63" s="2" t="b">
        <f>IF(AB62=0,IF(achievement!Y$96*$B63&gt;=1,achievement!Y$97,0))</f>
        <v>0</v>
      </c>
      <c r="AC63" s="2" t="b">
        <f>IF(AC62=0,IF(achievement!Z$96*$B63&gt;=1,achievement!Z$97,0))</f>
        <v>0</v>
      </c>
      <c r="AD63" s="2" t="b">
        <f>IF(AD62=0,IF(achievement!AA$96*$B63&gt;=1,achievement!AA$97,0))</f>
        <v>0</v>
      </c>
      <c r="AE63" s="2" t="b">
        <f>IF(AE62=0,IF(achievement!AB$96*$B63&gt;=1,achievement!AB$97,0))</f>
        <v>0</v>
      </c>
      <c r="AF63" s="2" t="b">
        <f>IF(AF62=0,IF(achievement!AC$96*$B63&gt;=1,achievement!AC$97,0))</f>
        <v>0</v>
      </c>
      <c r="AG63" s="2" t="b">
        <f>IF(AG62=0,IF(achievement!AD$96*$B63&gt;=1,achievement!AD$97,0))</f>
        <v>0</v>
      </c>
      <c r="AH63" s="2" t="b">
        <f>IF(AH62=0,IF(achievement!AE$96*$B63&gt;=1,achievement!AE$97,0))</f>
        <v>0</v>
      </c>
      <c r="AI63" s="2" t="b">
        <f>IF(AI62=0,IF(achievement!AF$96*$B63&gt;=1,achievement!AF$97,0))</f>
        <v>0</v>
      </c>
      <c r="AJ63" s="2" t="b">
        <f>IF(AJ62=0,IF(achievement!AG$96*$B63&gt;=1,achievement!AG$97,0))</f>
        <v>0</v>
      </c>
      <c r="AK63" s="2" t="b">
        <f>IF(AK62=0,IF(achievement!AH$96*$B63&gt;=1,achievement!AH$97,0))</f>
        <v>0</v>
      </c>
      <c r="AL63" s="2" t="b">
        <f>IF(AL62=0,IF(achievement!AI$96*$B63&gt;=1,achievement!AI$97,0))</f>
        <v>0</v>
      </c>
      <c r="AM63" s="2" t="b">
        <f>IF(AM62=0,IF(achievement!AJ$96*$B63&gt;=1,achievement!AJ$97,0))</f>
        <v>0</v>
      </c>
      <c r="AN63" s="2" t="b">
        <f>IF(AN62=0,IF(achievement!AK$96*$B63&gt;=1,achievement!AK$97,0))</f>
        <v>0</v>
      </c>
      <c r="AO63" s="2" t="b">
        <f>IF(AO62=0,IF(achievement!AL$96*$B63&gt;=1,achievement!AL$97,0))</f>
        <v>0</v>
      </c>
      <c r="AP63" s="2" t="b">
        <f>IF(AP62=0,IF(achievement!AM$96*$B63&gt;=1,achievement!AM$97,0))</f>
        <v>0</v>
      </c>
      <c r="AQ63" s="2" t="b">
        <f>IF(AQ62=0,IF(achievement!AN$96*$B63&gt;=1,achievement!AN$97,0))</f>
        <v>0</v>
      </c>
      <c r="AR63" s="2" t="b">
        <f>IF(AR62=0,IF(achievement!AO$96*$B63&gt;=1,achievement!AO$97,0))</f>
        <v>0</v>
      </c>
      <c r="AS63" s="2" t="b">
        <f>IF(AS62=0,IF(achievement!AP$96*$B63&gt;=1,achievement!AP$97,0))</f>
        <v>0</v>
      </c>
      <c r="AT63" s="2" t="b">
        <f>IF(AT62=0,IF(achievement!AQ$96*$B63&gt;=1,achievement!AQ$97,0))</f>
        <v>0</v>
      </c>
      <c r="AU63" s="2" t="b">
        <f>IF(AU62=0,IF(achievement!AR$96*$B63&gt;=1,achievement!AR$97,0))</f>
        <v>0</v>
      </c>
      <c r="AV63" s="2" t="b">
        <f>IF(AV62=0,IF(achievement!AS$96*$B63&gt;=1,achievement!AS$97,0))</f>
        <v>0</v>
      </c>
      <c r="AW63" s="2"/>
      <c r="AX63" s="2"/>
      <c r="AY63" s="2"/>
    </row>
    <row r="64" s="1" customFormat="1" ht="18" customHeight="1" spans="2:51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343</v>
      </c>
      <c r="G64" s="2">
        <f t="shared" si="4"/>
        <v>0</v>
      </c>
      <c r="H64" s="2">
        <f t="shared" si="3"/>
        <v>2327</v>
      </c>
      <c r="I64" s="2" t="b">
        <f>IF(I63=0,IF($B64&gt;=achievement!F$96,achievement!F$97,0))</f>
        <v>0</v>
      </c>
      <c r="J64" s="2" t="b">
        <f>IF(J63=0,IF($B64&gt;=achievement!G$96,achievement!G$97,0))</f>
        <v>0</v>
      </c>
      <c r="K64" s="2" t="b">
        <f>IF(K63=0,IF($B64&gt;=achievement!H$96,achievement!H$97,0))</f>
        <v>0</v>
      </c>
      <c r="L64" s="2" t="b">
        <f>IF(L63=0,IF($B64&gt;=achievement!I$96,achievement!I$97,0))</f>
        <v>0</v>
      </c>
      <c r="M64" s="2">
        <f>IF(M63=0,IF($B64&gt;=achievement!J$96,achievement!J$97,0))</f>
        <v>0</v>
      </c>
      <c r="N64" s="2">
        <f>IF(N63=0,IF($B64&gt;=achievement!K$96,achievement!K$97,0))</f>
        <v>0</v>
      </c>
      <c r="O64" s="2">
        <f>IF(O63=0,IF($B64&gt;=achievement!L$96,achievement!L$97,0))</f>
        <v>0</v>
      </c>
      <c r="P64" s="2" t="b">
        <f>IF(P63=0,IF(achievement!M$96*$B64&gt;=1,achievement!M$97,0))</f>
        <v>0</v>
      </c>
      <c r="Q64" s="2" t="b">
        <f>IF(Q63=0,IF(achievement!N$96*$B64&gt;=1,achievement!N$97,0))</f>
        <v>0</v>
      </c>
      <c r="R64" s="2" t="b">
        <f>IF(R63=0,IF(achievement!O$96*$B64&gt;=1,achievement!O$97,0))</f>
        <v>0</v>
      </c>
      <c r="S64" s="2" t="b">
        <f>IF(S63=0,IF(achievement!P$96*$B64&gt;=1,achievement!P$97,0))</f>
        <v>0</v>
      </c>
      <c r="T64" s="2" t="b">
        <f>IF(T63=0,IF(achievement!Q$96*$B64&gt;=1,achievement!Q$97,0))</f>
        <v>0</v>
      </c>
      <c r="U64" s="2" t="b">
        <f>IF(U63=0,IF(achievement!R$96*$B64&gt;=1,achievement!R$97,0))</f>
        <v>0</v>
      </c>
      <c r="V64" s="2" t="b">
        <f>IF(V63=0,IF(achievement!S$96*$B64&gt;=1,achievement!S$97,0))</f>
        <v>0</v>
      </c>
      <c r="W64" s="2" t="b">
        <f>IF(W63=0,IF(achievement!T$96*$B64&gt;=1,achievement!T$97,0))</f>
        <v>0</v>
      </c>
      <c r="X64" s="2" t="b">
        <f>IF(X63=0,IF(achievement!U$96*$B64&gt;=1,achievement!U$97,0))</f>
        <v>0</v>
      </c>
      <c r="Y64" s="2" t="b">
        <f>IF(Y63=0,IF(achievement!V$96*$B64&gt;=1,achievement!V$97,0))</f>
        <v>0</v>
      </c>
      <c r="Z64" s="2" t="b">
        <f>IF(Z63=0,IF(achievement!W$96*$B64&gt;=1,achievement!W$97,0))</f>
        <v>0</v>
      </c>
      <c r="AA64" s="2" t="b">
        <f>IF(AA63=0,IF(achievement!X$96*$B64&gt;=1,achievement!X$97,0))</f>
        <v>0</v>
      </c>
      <c r="AB64" s="2" t="b">
        <f>IF(AB63=0,IF(achievement!Y$96*$B64&gt;=1,achievement!Y$97,0))</f>
        <v>0</v>
      </c>
      <c r="AC64" s="2" t="b">
        <f>IF(AC63=0,IF(achievement!Z$96*$B64&gt;=1,achievement!Z$97,0))</f>
        <v>0</v>
      </c>
      <c r="AD64" s="2" t="b">
        <f>IF(AD63=0,IF(achievement!AA$96*$B64&gt;=1,achievement!AA$97,0))</f>
        <v>0</v>
      </c>
      <c r="AE64" s="2" t="b">
        <f>IF(AE63=0,IF(achievement!AB$96*$B64&gt;=1,achievement!AB$97,0))</f>
        <v>0</v>
      </c>
      <c r="AF64" s="2" t="b">
        <f>IF(AF63=0,IF(achievement!AC$96*$B64&gt;=1,achievement!AC$97,0))</f>
        <v>0</v>
      </c>
      <c r="AG64" s="2" t="b">
        <f>IF(AG63=0,IF(achievement!AD$96*$B64&gt;=1,achievement!AD$97,0))</f>
        <v>0</v>
      </c>
      <c r="AH64" s="2" t="b">
        <f>IF(AH63=0,IF(achievement!AE$96*$B64&gt;=1,achievement!AE$97,0))</f>
        <v>0</v>
      </c>
      <c r="AI64" s="2" t="b">
        <f>IF(AI63=0,IF(achievement!AF$96*$B64&gt;=1,achievement!AF$97,0))</f>
        <v>0</v>
      </c>
      <c r="AJ64" s="2" t="b">
        <f>IF(AJ63=0,IF(achievement!AG$96*$B64&gt;=1,achievement!AG$97,0))</f>
        <v>0</v>
      </c>
      <c r="AK64" s="2" t="b">
        <f>IF(AK63=0,IF(achievement!AH$96*$B64&gt;=1,achievement!AH$97,0))</f>
        <v>0</v>
      </c>
      <c r="AL64" s="2" t="b">
        <f>IF(AL63=0,IF(achievement!AI$96*$B64&gt;=1,achievement!AI$97,0))</f>
        <v>0</v>
      </c>
      <c r="AM64" s="2" t="b">
        <f>IF(AM63=0,IF(achievement!AJ$96*$B64&gt;=1,achievement!AJ$97,0))</f>
        <v>0</v>
      </c>
      <c r="AN64" s="2" t="b">
        <f>IF(AN63=0,IF(achievement!AK$96*$B64&gt;=1,achievement!AK$97,0))</f>
        <v>0</v>
      </c>
      <c r="AO64" s="2" t="b">
        <f>IF(AO63=0,IF(achievement!AL$96*$B64&gt;=1,achievement!AL$97,0))</f>
        <v>0</v>
      </c>
      <c r="AP64" s="2" t="b">
        <f>IF(AP63=0,IF(achievement!AM$96*$B64&gt;=1,achievement!AM$97,0))</f>
        <v>0</v>
      </c>
      <c r="AQ64" s="2" t="b">
        <f>IF(AQ63=0,IF(achievement!AN$96*$B64&gt;=1,achievement!AN$97,0))</f>
        <v>0</v>
      </c>
      <c r="AR64" s="2" t="b">
        <f>IF(AR63=0,IF(achievement!AO$96*$B64&gt;=1,achievement!AO$97,0))</f>
        <v>0</v>
      </c>
      <c r="AS64" s="2" t="b">
        <f>IF(AS63=0,IF(achievement!AP$96*$B64&gt;=1,achievement!AP$97,0))</f>
        <v>0</v>
      </c>
      <c r="AT64" s="2" t="b">
        <f>IF(AT63=0,IF(achievement!AQ$96*$B64&gt;=1,achievement!AQ$97,0))</f>
        <v>0</v>
      </c>
      <c r="AU64" s="2" t="b">
        <f>IF(AU63=0,IF(achievement!AR$96*$B64&gt;=1,achievement!AR$97,0))</f>
        <v>0</v>
      </c>
      <c r="AV64" s="2" t="b">
        <f>IF(AV63=0,IF(achievement!AS$96*$B64&gt;=1,achievement!AS$97,0))</f>
        <v>0</v>
      </c>
      <c r="AW64" s="2"/>
      <c r="AX64" s="2"/>
      <c r="AY64" s="2"/>
    </row>
    <row r="65" s="1" customFormat="1" ht="18" customHeight="1" spans="2:51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352</v>
      </c>
      <c r="G65" s="2">
        <f t="shared" si="4"/>
        <v>0</v>
      </c>
      <c r="H65" s="2">
        <f t="shared" si="3"/>
        <v>2327</v>
      </c>
      <c r="I65" s="2" t="b">
        <f>IF(I64=0,IF($B65&gt;=achievement!F$96,achievement!F$97,0))</f>
        <v>0</v>
      </c>
      <c r="J65" s="2" t="b">
        <f>IF(J64=0,IF($B65&gt;=achievement!G$96,achievement!G$97,0))</f>
        <v>0</v>
      </c>
      <c r="K65" s="2" t="b">
        <f>IF(K64=0,IF($B65&gt;=achievement!H$96,achievement!H$97,0))</f>
        <v>0</v>
      </c>
      <c r="L65" s="2" t="b">
        <f>IF(L64=0,IF($B65&gt;=achievement!I$96,achievement!I$97,0))</f>
        <v>0</v>
      </c>
      <c r="M65" s="2">
        <f>IF(M64=0,IF($B65&gt;=achievement!J$96,achievement!J$97,0))</f>
        <v>0</v>
      </c>
      <c r="N65" s="2">
        <f>IF(N64=0,IF($B65&gt;=achievement!K$96,achievement!K$97,0))</f>
        <v>0</v>
      </c>
      <c r="O65" s="2">
        <f>IF(O64=0,IF($B65&gt;=achievement!L$96,achievement!L$97,0))</f>
        <v>0</v>
      </c>
      <c r="P65" s="2" t="b">
        <f>IF(P64=0,IF(achievement!M$96*$B65&gt;=1,achievement!M$97,0))</f>
        <v>0</v>
      </c>
      <c r="Q65" s="2" t="b">
        <f>IF(Q64=0,IF(achievement!N$96*$B65&gt;=1,achievement!N$97,0))</f>
        <v>0</v>
      </c>
      <c r="R65" s="2" t="b">
        <f>IF(R64=0,IF(achievement!O$96*$B65&gt;=1,achievement!O$97,0))</f>
        <v>0</v>
      </c>
      <c r="S65" s="2" t="b">
        <f>IF(S64=0,IF(achievement!P$96*$B65&gt;=1,achievement!P$97,0))</f>
        <v>0</v>
      </c>
      <c r="T65" s="2" t="b">
        <f>IF(T64=0,IF(achievement!Q$96*$B65&gt;=1,achievement!Q$97,0))</f>
        <v>0</v>
      </c>
      <c r="U65" s="2" t="b">
        <f>IF(U64=0,IF(achievement!R$96*$B65&gt;=1,achievement!R$97,0))</f>
        <v>0</v>
      </c>
      <c r="V65" s="2" t="b">
        <f>IF(V64=0,IF(achievement!S$96*$B65&gt;=1,achievement!S$97,0))</f>
        <v>0</v>
      </c>
      <c r="W65" s="2" t="b">
        <f>IF(W64=0,IF(achievement!T$96*$B65&gt;=1,achievement!T$97,0))</f>
        <v>0</v>
      </c>
      <c r="X65" s="2" t="b">
        <f>IF(X64=0,IF(achievement!U$96*$B65&gt;=1,achievement!U$97,0))</f>
        <v>0</v>
      </c>
      <c r="Y65" s="2" t="b">
        <f>IF(Y64=0,IF(achievement!V$96*$B65&gt;=1,achievement!V$97,0))</f>
        <v>0</v>
      </c>
      <c r="Z65" s="2" t="b">
        <f>IF(Z64=0,IF(achievement!W$96*$B65&gt;=1,achievement!W$97,0))</f>
        <v>0</v>
      </c>
      <c r="AA65" s="2" t="b">
        <f>IF(AA64=0,IF(achievement!X$96*$B65&gt;=1,achievement!X$97,0))</f>
        <v>0</v>
      </c>
      <c r="AB65" s="2" t="b">
        <f>IF(AB64=0,IF(achievement!Y$96*$B65&gt;=1,achievement!Y$97,0))</f>
        <v>0</v>
      </c>
      <c r="AC65" s="2" t="b">
        <f>IF(AC64=0,IF(achievement!Z$96*$B65&gt;=1,achievement!Z$97,0))</f>
        <v>0</v>
      </c>
      <c r="AD65" s="2" t="b">
        <f>IF(AD64=0,IF(achievement!AA$96*$B65&gt;=1,achievement!AA$97,0))</f>
        <v>0</v>
      </c>
      <c r="AE65" s="2" t="b">
        <f>IF(AE64=0,IF(achievement!AB$96*$B65&gt;=1,achievement!AB$97,0))</f>
        <v>0</v>
      </c>
      <c r="AF65" s="2" t="b">
        <f>IF(AF64=0,IF(achievement!AC$96*$B65&gt;=1,achievement!AC$97,0))</f>
        <v>0</v>
      </c>
      <c r="AG65" s="2" t="b">
        <f>IF(AG64=0,IF(achievement!AD$96*$B65&gt;=1,achievement!AD$97,0))</f>
        <v>0</v>
      </c>
      <c r="AH65" s="2" t="b">
        <f>IF(AH64=0,IF(achievement!AE$96*$B65&gt;=1,achievement!AE$97,0))</f>
        <v>0</v>
      </c>
      <c r="AI65" s="2" t="b">
        <f>IF(AI64=0,IF(achievement!AF$96*$B65&gt;=1,achievement!AF$97,0))</f>
        <v>0</v>
      </c>
      <c r="AJ65" s="2" t="b">
        <f>IF(AJ64=0,IF(achievement!AG$96*$B65&gt;=1,achievement!AG$97,0))</f>
        <v>0</v>
      </c>
      <c r="AK65" s="2" t="b">
        <f>IF(AK64=0,IF(achievement!AH$96*$B65&gt;=1,achievement!AH$97,0))</f>
        <v>0</v>
      </c>
      <c r="AL65" s="2" t="b">
        <f>IF(AL64=0,IF(achievement!AI$96*$B65&gt;=1,achievement!AI$97,0))</f>
        <v>0</v>
      </c>
      <c r="AM65" s="2" t="b">
        <f>IF(AM64=0,IF(achievement!AJ$96*$B65&gt;=1,achievement!AJ$97,0))</f>
        <v>0</v>
      </c>
      <c r="AN65" s="2" t="b">
        <f>IF(AN64=0,IF(achievement!AK$96*$B65&gt;=1,achievement!AK$97,0))</f>
        <v>0</v>
      </c>
      <c r="AO65" s="2" t="b">
        <f>IF(AO64=0,IF(achievement!AL$96*$B65&gt;=1,achievement!AL$97,0))</f>
        <v>0</v>
      </c>
      <c r="AP65" s="2" t="b">
        <f>IF(AP64=0,IF(achievement!AM$96*$B65&gt;=1,achievement!AM$97,0))</f>
        <v>0</v>
      </c>
      <c r="AQ65" s="2" t="b">
        <f>IF(AQ64=0,IF(achievement!AN$96*$B65&gt;=1,achievement!AN$97,0))</f>
        <v>0</v>
      </c>
      <c r="AR65" s="2" t="b">
        <f>IF(AR64=0,IF(achievement!AO$96*$B65&gt;=1,achievement!AO$97,0))</f>
        <v>0</v>
      </c>
      <c r="AS65" s="2" t="b">
        <f>IF(AS64=0,IF(achievement!AP$96*$B65&gt;=1,achievement!AP$97,0))</f>
        <v>0</v>
      </c>
      <c r="AT65" s="2" t="b">
        <f>IF(AT64=0,IF(achievement!AQ$96*$B65&gt;=1,achievement!AQ$97,0))</f>
        <v>0</v>
      </c>
      <c r="AU65" s="2" t="b">
        <f>IF(AU64=0,IF(achievement!AR$96*$B65&gt;=1,achievement!AR$97,0))</f>
        <v>0</v>
      </c>
      <c r="AV65" s="2" t="b">
        <f>IF(AV64=0,IF(achievement!AS$96*$B65&gt;=1,achievement!AS$97,0))</f>
        <v>0</v>
      </c>
      <c r="AW65" s="2"/>
      <c r="AX65" s="2"/>
      <c r="AY65" s="2"/>
    </row>
    <row r="66" s="1" customFormat="1" ht="18" customHeight="1" spans="2:51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361</v>
      </c>
      <c r="G66" s="2">
        <f t="shared" si="4"/>
        <v>0</v>
      </c>
      <c r="H66" s="2">
        <f t="shared" si="3"/>
        <v>2327</v>
      </c>
      <c r="I66" s="2" t="b">
        <f>IF(I65=0,IF($B66&gt;=achievement!F$96,achievement!F$97,0))</f>
        <v>0</v>
      </c>
      <c r="J66" s="2" t="b">
        <f>IF(J65=0,IF($B66&gt;=achievement!G$96,achievement!G$97,0))</f>
        <v>0</v>
      </c>
      <c r="K66" s="2" t="b">
        <f>IF(K65=0,IF($B66&gt;=achievement!H$96,achievement!H$97,0))</f>
        <v>0</v>
      </c>
      <c r="L66" s="2" t="b">
        <f>IF(L65=0,IF($B66&gt;=achievement!I$96,achievement!I$97,0))</f>
        <v>0</v>
      </c>
      <c r="M66" s="2">
        <f>IF(M65=0,IF($B66&gt;=achievement!J$96,achievement!J$97,0))</f>
        <v>0</v>
      </c>
      <c r="N66" s="2">
        <f>IF(N65=0,IF($B66&gt;=achievement!K$96,achievement!K$97,0))</f>
        <v>0</v>
      </c>
      <c r="O66" s="2">
        <f>IF(O65=0,IF($B66&gt;=achievement!L$96,achievement!L$97,0))</f>
        <v>0</v>
      </c>
      <c r="P66" s="2" t="b">
        <f>IF(P65=0,IF(achievement!M$96*$B66&gt;=1,achievement!M$97,0))</f>
        <v>0</v>
      </c>
      <c r="Q66" s="2" t="b">
        <f>IF(Q65=0,IF(achievement!N$96*$B66&gt;=1,achievement!N$97,0))</f>
        <v>0</v>
      </c>
      <c r="R66" s="2" t="b">
        <f>IF(R65=0,IF(achievement!O$96*$B66&gt;=1,achievement!O$97,0))</f>
        <v>0</v>
      </c>
      <c r="S66" s="2" t="b">
        <f>IF(S65=0,IF(achievement!P$96*$B66&gt;=1,achievement!P$97,0))</f>
        <v>0</v>
      </c>
      <c r="T66" s="2" t="b">
        <f>IF(T65=0,IF(achievement!Q$96*$B66&gt;=1,achievement!Q$97,0))</f>
        <v>0</v>
      </c>
      <c r="U66" s="2" t="b">
        <f>IF(U65=0,IF(achievement!R$96*$B66&gt;=1,achievement!R$97,0))</f>
        <v>0</v>
      </c>
      <c r="V66" s="2" t="b">
        <f>IF(V65=0,IF(achievement!S$96*$B66&gt;=1,achievement!S$97,0))</f>
        <v>0</v>
      </c>
      <c r="W66" s="2" t="b">
        <f>IF(W65=0,IF(achievement!T$96*$B66&gt;=1,achievement!T$97,0))</f>
        <v>0</v>
      </c>
      <c r="X66" s="2" t="b">
        <f>IF(X65=0,IF(achievement!U$96*$B66&gt;=1,achievement!U$97,0))</f>
        <v>0</v>
      </c>
      <c r="Y66" s="2" t="b">
        <f>IF(Y65=0,IF(achievement!V$96*$B66&gt;=1,achievement!V$97,0))</f>
        <v>0</v>
      </c>
      <c r="Z66" s="2" t="b">
        <f>IF(Z65=0,IF(achievement!W$96*$B66&gt;=1,achievement!W$97,0))</f>
        <v>0</v>
      </c>
      <c r="AA66" s="2" t="b">
        <f>IF(AA65=0,IF(achievement!X$96*$B66&gt;=1,achievement!X$97,0))</f>
        <v>0</v>
      </c>
      <c r="AB66" s="2" t="b">
        <f>IF(AB65=0,IF(achievement!Y$96*$B66&gt;=1,achievement!Y$97,0))</f>
        <v>0</v>
      </c>
      <c r="AC66" s="2" t="b">
        <f>IF(AC65=0,IF(achievement!Z$96*$B66&gt;=1,achievement!Z$97,0))</f>
        <v>0</v>
      </c>
      <c r="AD66" s="2" t="b">
        <f>IF(AD65=0,IF(achievement!AA$96*$B66&gt;=1,achievement!AA$97,0))</f>
        <v>0</v>
      </c>
      <c r="AE66" s="2" t="b">
        <f>IF(AE65=0,IF(achievement!AB$96*$B66&gt;=1,achievement!AB$97,0))</f>
        <v>0</v>
      </c>
      <c r="AF66" s="2" t="b">
        <f>IF(AF65=0,IF(achievement!AC$96*$B66&gt;=1,achievement!AC$97,0))</f>
        <v>0</v>
      </c>
      <c r="AG66" s="2" t="b">
        <f>IF(AG65=0,IF(achievement!AD$96*$B66&gt;=1,achievement!AD$97,0))</f>
        <v>0</v>
      </c>
      <c r="AH66" s="2" t="b">
        <f>IF(AH65=0,IF(achievement!AE$96*$B66&gt;=1,achievement!AE$97,0))</f>
        <v>0</v>
      </c>
      <c r="AI66" s="2" t="b">
        <f>IF(AI65=0,IF(achievement!AF$96*$B66&gt;=1,achievement!AF$97,0))</f>
        <v>0</v>
      </c>
      <c r="AJ66" s="2" t="b">
        <f>IF(AJ65=0,IF(achievement!AG$96*$B66&gt;=1,achievement!AG$97,0))</f>
        <v>0</v>
      </c>
      <c r="AK66" s="2" t="b">
        <f>IF(AK65=0,IF(achievement!AH$96*$B66&gt;=1,achievement!AH$97,0))</f>
        <v>0</v>
      </c>
      <c r="AL66" s="2" t="b">
        <f>IF(AL65=0,IF(achievement!AI$96*$B66&gt;=1,achievement!AI$97,0))</f>
        <v>0</v>
      </c>
      <c r="AM66" s="2" t="b">
        <f>IF(AM65=0,IF(achievement!AJ$96*$B66&gt;=1,achievement!AJ$97,0))</f>
        <v>0</v>
      </c>
      <c r="AN66" s="2" t="b">
        <f>IF(AN65=0,IF(achievement!AK$96*$B66&gt;=1,achievement!AK$97,0))</f>
        <v>0</v>
      </c>
      <c r="AO66" s="2" t="b">
        <f>IF(AO65=0,IF(achievement!AL$96*$B66&gt;=1,achievement!AL$97,0))</f>
        <v>0</v>
      </c>
      <c r="AP66" s="2" t="b">
        <f>IF(AP65=0,IF(achievement!AM$96*$B66&gt;=1,achievement!AM$97,0))</f>
        <v>0</v>
      </c>
      <c r="AQ66" s="2" t="b">
        <f>IF(AQ65=0,IF(achievement!AN$96*$B66&gt;=1,achievement!AN$97,0))</f>
        <v>0</v>
      </c>
      <c r="AR66" s="2" t="b">
        <f>IF(AR65=0,IF(achievement!AO$96*$B66&gt;=1,achievement!AO$97,0))</f>
        <v>0</v>
      </c>
      <c r="AS66" s="2" t="b">
        <f>IF(AS65=0,IF(achievement!AP$96*$B66&gt;=1,achievement!AP$97,0))</f>
        <v>0</v>
      </c>
      <c r="AT66" s="2" t="b">
        <f>IF(AT65=0,IF(achievement!AQ$96*$B66&gt;=1,achievement!AQ$97,0))</f>
        <v>0</v>
      </c>
      <c r="AU66" s="2" t="b">
        <f>IF(AU65=0,IF(achievement!AR$96*$B66&gt;=1,achievement!AR$97,0))</f>
        <v>0</v>
      </c>
      <c r="AV66" s="2" t="b">
        <f>IF(AV65=0,IF(achievement!AS$96*$B66&gt;=1,achievement!AS$97,0))</f>
        <v>0</v>
      </c>
      <c r="AW66" s="2"/>
      <c r="AX66" s="2"/>
      <c r="AY66" s="2"/>
    </row>
    <row r="67" s="1" customFormat="1" ht="18" customHeight="1" spans="2:51">
      <c r="B67" s="2">
        <v>42</v>
      </c>
      <c r="C67" s="2">
        <f t="shared" si="0"/>
        <v>42000</v>
      </c>
      <c r="D67" s="2">
        <f>ROUND($C$8*$C$5+$C$8*$C$4*(1-$L$5),0)</f>
        <v>88</v>
      </c>
      <c r="E67" s="2">
        <f t="shared" si="1"/>
        <v>3696</v>
      </c>
      <c r="F67" s="2">
        <f>ROUND(E67*VLOOKUP($B$10,总产出!$T$4:$U$14,2,FALSE),0)</f>
        <v>370</v>
      </c>
      <c r="G67" s="2">
        <f t="shared" si="4"/>
        <v>0</v>
      </c>
      <c r="H67" s="2">
        <f t="shared" si="3"/>
        <v>2327</v>
      </c>
      <c r="I67" s="2" t="b">
        <f>IF(I66=0,IF($B67&gt;=achievement!F$96,achievement!F$97,0))</f>
        <v>0</v>
      </c>
      <c r="J67" s="2" t="b">
        <f>IF(J66=0,IF($B67&gt;=achievement!G$96,achievement!G$97,0))</f>
        <v>0</v>
      </c>
      <c r="K67" s="2" t="b">
        <f>IF(K66=0,IF($B67&gt;=achievement!H$96,achievement!H$97,0))</f>
        <v>0</v>
      </c>
      <c r="L67" s="2" t="b">
        <f>IF(L66=0,IF($B67&gt;=achievement!I$96,achievement!I$97,0))</f>
        <v>0</v>
      </c>
      <c r="M67" s="2">
        <f>IF(M66=0,IF($B67&gt;=achievement!J$96,achievement!J$97,0))</f>
        <v>0</v>
      </c>
      <c r="N67" s="2">
        <f>IF(N66=0,IF($B67&gt;=achievement!K$96,achievement!K$97,0))</f>
        <v>0</v>
      </c>
      <c r="O67" s="2">
        <f>IF(O66=0,IF($B67&gt;=achievement!L$96,achievement!L$97,0))</f>
        <v>0</v>
      </c>
      <c r="P67" s="2" t="b">
        <f>IF(P66=0,IF(achievement!M$96*$B67&gt;=1,achievement!M$97,0))</f>
        <v>0</v>
      </c>
      <c r="Q67" s="2" t="b">
        <f>IF(Q66=0,IF(achievement!N$96*$B67&gt;=1,achievement!N$97,0))</f>
        <v>0</v>
      </c>
      <c r="R67" s="2" t="b">
        <f>IF(R66=0,IF(achievement!O$96*$B67&gt;=1,achievement!O$97,0))</f>
        <v>0</v>
      </c>
      <c r="S67" s="2" t="b">
        <f>IF(S66=0,IF(achievement!P$96*$B67&gt;=1,achievement!P$97,0))</f>
        <v>0</v>
      </c>
      <c r="T67" s="2" t="b">
        <f>IF(T66=0,IF(achievement!Q$96*$B67&gt;=1,achievement!Q$97,0))</f>
        <v>0</v>
      </c>
      <c r="U67" s="2" t="b">
        <f>IF(U66=0,IF(achievement!R$96*$B67&gt;=1,achievement!R$97,0))</f>
        <v>0</v>
      </c>
      <c r="V67" s="2" t="b">
        <f>IF(V66=0,IF(achievement!S$96*$B67&gt;=1,achievement!S$97,0))</f>
        <v>0</v>
      </c>
      <c r="W67" s="2" t="b">
        <f>IF(W66=0,IF(achievement!T$96*$B67&gt;=1,achievement!T$97,0))</f>
        <v>0</v>
      </c>
      <c r="X67" s="2" t="b">
        <f>IF(X66=0,IF(achievement!U$96*$B67&gt;=1,achievement!U$97,0))</f>
        <v>0</v>
      </c>
      <c r="Y67" s="2" t="b">
        <f>IF(Y66=0,IF(achievement!V$96*$B67&gt;=1,achievement!V$97,0))</f>
        <v>0</v>
      </c>
      <c r="Z67" s="2" t="b">
        <f>IF(Z66=0,IF(achievement!W$96*$B67&gt;=1,achievement!W$97,0))</f>
        <v>0</v>
      </c>
      <c r="AA67" s="2" t="b">
        <f>IF(AA66=0,IF(achievement!X$96*$B67&gt;=1,achievement!X$97,0))</f>
        <v>0</v>
      </c>
      <c r="AB67" s="2" t="b">
        <f>IF(AB66=0,IF(achievement!Y$96*$B67&gt;=1,achievement!Y$97,0))</f>
        <v>0</v>
      </c>
      <c r="AC67" s="2" t="b">
        <f>IF(AC66=0,IF(achievement!Z$96*$B67&gt;=1,achievement!Z$97,0))</f>
        <v>0</v>
      </c>
      <c r="AD67" s="2" t="b">
        <f>IF(AD66=0,IF(achievement!AA$96*$B67&gt;=1,achievement!AA$97,0))</f>
        <v>0</v>
      </c>
      <c r="AE67" s="2" t="b">
        <f>IF(AE66=0,IF(achievement!AB$96*$B67&gt;=1,achievement!AB$97,0))</f>
        <v>0</v>
      </c>
      <c r="AF67" s="2" t="b">
        <f>IF(AF66=0,IF(achievement!AC$96*$B67&gt;=1,achievement!AC$97,0))</f>
        <v>0</v>
      </c>
      <c r="AG67" s="2" t="b">
        <f>IF(AG66=0,IF(achievement!AD$96*$B67&gt;=1,achievement!AD$97,0))</f>
        <v>0</v>
      </c>
      <c r="AH67" s="2" t="b">
        <f>IF(AH66=0,IF(achievement!AE$96*$B67&gt;=1,achievement!AE$97,0))</f>
        <v>0</v>
      </c>
      <c r="AI67" s="2" t="b">
        <f>IF(AI66=0,IF(achievement!AF$96*$B67&gt;=1,achievement!AF$97,0))</f>
        <v>0</v>
      </c>
      <c r="AJ67" s="2" t="b">
        <f>IF(AJ66=0,IF(achievement!AG$96*$B67&gt;=1,achievement!AG$97,0))</f>
        <v>0</v>
      </c>
      <c r="AK67" s="2" t="b">
        <f>IF(AK66=0,IF(achievement!AH$96*$B67&gt;=1,achievement!AH$97,0))</f>
        <v>0</v>
      </c>
      <c r="AL67" s="2" t="b">
        <f>IF(AL66=0,IF(achievement!AI$96*$B67&gt;=1,achievement!AI$97,0))</f>
        <v>0</v>
      </c>
      <c r="AM67" s="2" t="b">
        <f>IF(AM66=0,IF(achievement!AJ$96*$B67&gt;=1,achievement!AJ$97,0))</f>
        <v>0</v>
      </c>
      <c r="AN67" s="2" t="b">
        <f>IF(AN66=0,IF(achievement!AK$96*$B67&gt;=1,achievement!AK$97,0))</f>
        <v>0</v>
      </c>
      <c r="AO67" s="2" t="b">
        <f>IF(AO66=0,IF(achievement!AL$96*$B67&gt;=1,achievement!AL$97,0))</f>
        <v>0</v>
      </c>
      <c r="AP67" s="2" t="b">
        <f>IF(AP66=0,IF(achievement!AM$96*$B67&gt;=1,achievement!AM$97,0))</f>
        <v>0</v>
      </c>
      <c r="AQ67" s="2" t="b">
        <f>IF(AQ66=0,IF(achievement!AN$96*$B67&gt;=1,achievement!AN$97,0))</f>
        <v>0</v>
      </c>
      <c r="AR67" s="2" t="b">
        <f>IF(AR66=0,IF(achievement!AO$96*$B67&gt;=1,achievement!AO$97,0))</f>
        <v>0</v>
      </c>
      <c r="AS67" s="2" t="b">
        <f>IF(AS66=0,IF(achievement!AP$96*$B67&gt;=1,achievement!AP$97,0))</f>
        <v>0</v>
      </c>
      <c r="AT67" s="2" t="b">
        <f>IF(AT66=0,IF(achievement!AQ$96*$B67&gt;=1,achievement!AQ$97,0))</f>
        <v>0</v>
      </c>
      <c r="AU67" s="2" t="b">
        <f>IF(AU66=0,IF(achievement!AR$96*$B67&gt;=1,achievement!AR$97,0))</f>
        <v>0</v>
      </c>
      <c r="AV67" s="2" t="b">
        <f>IF(AV66=0,IF(achievement!AS$96*$B67&gt;=1,achievement!AS$97,0))</f>
        <v>0</v>
      </c>
      <c r="AW67" s="2"/>
      <c r="AX67" s="2"/>
      <c r="AY67" s="2"/>
    </row>
    <row r="68" s="1" customFormat="1" ht="18" customHeight="1" spans="2:51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378</v>
      </c>
      <c r="G68" s="2">
        <f t="shared" si="4"/>
        <v>0</v>
      </c>
      <c r="H68" s="2">
        <f t="shared" si="3"/>
        <v>2327</v>
      </c>
      <c r="I68" s="2" t="b">
        <f>IF(I67=0,IF($B68&gt;=achievement!F$96,achievement!F$97,0))</f>
        <v>0</v>
      </c>
      <c r="J68" s="2" t="b">
        <f>IF(J67=0,IF($B68&gt;=achievement!G$96,achievement!G$97,0))</f>
        <v>0</v>
      </c>
      <c r="K68" s="2" t="b">
        <f>IF(K67=0,IF($B68&gt;=achievement!H$96,achievement!H$97,0))</f>
        <v>0</v>
      </c>
      <c r="L68" s="2" t="b">
        <f>IF(L67=0,IF($B68&gt;=achievement!I$96,achievement!I$97,0))</f>
        <v>0</v>
      </c>
      <c r="M68" s="2">
        <f>IF(M67=0,IF($B68&gt;=achievement!J$96,achievement!J$97,0))</f>
        <v>0</v>
      </c>
      <c r="N68" s="2">
        <f>IF(N67=0,IF($B68&gt;=achievement!K$96,achievement!K$97,0))</f>
        <v>0</v>
      </c>
      <c r="O68" s="2">
        <f>IF(O67=0,IF($B68&gt;=achievement!L$96,achievement!L$97,0))</f>
        <v>0</v>
      </c>
      <c r="P68" s="2" t="b">
        <f>IF(P67=0,IF(achievement!M$96*$B68&gt;=1,achievement!M$97,0))</f>
        <v>0</v>
      </c>
      <c r="Q68" s="2" t="b">
        <f>IF(Q67=0,IF(achievement!N$96*$B68&gt;=1,achievement!N$97,0))</f>
        <v>0</v>
      </c>
      <c r="R68" s="2" t="b">
        <f>IF(R67=0,IF(achievement!O$96*$B68&gt;=1,achievement!O$97,0))</f>
        <v>0</v>
      </c>
      <c r="S68" s="2" t="b">
        <f>IF(S67=0,IF(achievement!P$96*$B68&gt;=1,achievement!P$97,0))</f>
        <v>0</v>
      </c>
      <c r="T68" s="2" t="b">
        <f>IF(T67=0,IF(achievement!Q$96*$B68&gt;=1,achievement!Q$97,0))</f>
        <v>0</v>
      </c>
      <c r="U68" s="2" t="b">
        <f>IF(U67=0,IF(achievement!R$96*$B68&gt;=1,achievement!R$97,0))</f>
        <v>0</v>
      </c>
      <c r="V68" s="2" t="b">
        <f>IF(V67=0,IF(achievement!S$96*$B68&gt;=1,achievement!S$97,0))</f>
        <v>0</v>
      </c>
      <c r="W68" s="2" t="b">
        <f>IF(W67=0,IF(achievement!T$96*$B68&gt;=1,achievement!T$97,0))</f>
        <v>0</v>
      </c>
      <c r="X68" s="2" t="b">
        <f>IF(X67=0,IF(achievement!U$96*$B68&gt;=1,achievement!U$97,0))</f>
        <v>0</v>
      </c>
      <c r="Y68" s="2" t="b">
        <f>IF(Y67=0,IF(achievement!V$96*$B68&gt;=1,achievement!V$97,0))</f>
        <v>0</v>
      </c>
      <c r="Z68" s="2" t="b">
        <f>IF(Z67=0,IF(achievement!W$96*$B68&gt;=1,achievement!W$97,0))</f>
        <v>0</v>
      </c>
      <c r="AA68" s="2" t="b">
        <f>IF(AA67=0,IF(achievement!X$96*$B68&gt;=1,achievement!X$97,0))</f>
        <v>0</v>
      </c>
      <c r="AB68" s="2" t="b">
        <f>IF(AB67=0,IF(achievement!Y$96*$B68&gt;=1,achievement!Y$97,0))</f>
        <v>0</v>
      </c>
      <c r="AC68" s="2" t="b">
        <f>IF(AC67=0,IF(achievement!Z$96*$B68&gt;=1,achievement!Z$97,0))</f>
        <v>0</v>
      </c>
      <c r="AD68" s="2" t="b">
        <f>IF(AD67=0,IF(achievement!AA$96*$B68&gt;=1,achievement!AA$97,0))</f>
        <v>0</v>
      </c>
      <c r="AE68" s="2" t="b">
        <f>IF(AE67=0,IF(achievement!AB$96*$B68&gt;=1,achievement!AB$97,0))</f>
        <v>0</v>
      </c>
      <c r="AF68" s="2" t="b">
        <f>IF(AF67=0,IF(achievement!AC$96*$B68&gt;=1,achievement!AC$97,0))</f>
        <v>0</v>
      </c>
      <c r="AG68" s="2" t="b">
        <f>IF(AG67=0,IF(achievement!AD$96*$B68&gt;=1,achievement!AD$97,0))</f>
        <v>0</v>
      </c>
      <c r="AH68" s="2" t="b">
        <f>IF(AH67=0,IF(achievement!AE$96*$B68&gt;=1,achievement!AE$97,0))</f>
        <v>0</v>
      </c>
      <c r="AI68" s="2" t="b">
        <f>IF(AI67=0,IF(achievement!AF$96*$B68&gt;=1,achievement!AF$97,0))</f>
        <v>0</v>
      </c>
      <c r="AJ68" s="2" t="b">
        <f>IF(AJ67=0,IF(achievement!AG$96*$B68&gt;=1,achievement!AG$97,0))</f>
        <v>0</v>
      </c>
      <c r="AK68" s="2" t="b">
        <f>IF(AK67=0,IF(achievement!AH$96*$B68&gt;=1,achievement!AH$97,0))</f>
        <v>0</v>
      </c>
      <c r="AL68" s="2" t="b">
        <f>IF(AL67=0,IF(achievement!AI$96*$B68&gt;=1,achievement!AI$97,0))</f>
        <v>0</v>
      </c>
      <c r="AM68" s="2" t="b">
        <f>IF(AM67=0,IF(achievement!AJ$96*$B68&gt;=1,achievement!AJ$97,0))</f>
        <v>0</v>
      </c>
      <c r="AN68" s="2" t="b">
        <f>IF(AN67=0,IF(achievement!AK$96*$B68&gt;=1,achievement!AK$97,0))</f>
        <v>0</v>
      </c>
      <c r="AO68" s="2" t="b">
        <f>IF(AO67=0,IF(achievement!AL$96*$B68&gt;=1,achievement!AL$97,0))</f>
        <v>0</v>
      </c>
      <c r="AP68" s="2" t="b">
        <f>IF(AP67=0,IF(achievement!AM$96*$B68&gt;=1,achievement!AM$97,0))</f>
        <v>0</v>
      </c>
      <c r="AQ68" s="2" t="b">
        <f>IF(AQ67=0,IF(achievement!AN$96*$B68&gt;=1,achievement!AN$97,0))</f>
        <v>0</v>
      </c>
      <c r="AR68" s="2" t="b">
        <f>IF(AR67=0,IF(achievement!AO$96*$B68&gt;=1,achievement!AO$97,0))</f>
        <v>0</v>
      </c>
      <c r="AS68" s="2" t="b">
        <f>IF(AS67=0,IF(achievement!AP$96*$B68&gt;=1,achievement!AP$97,0))</f>
        <v>0</v>
      </c>
      <c r="AT68" s="2" t="b">
        <f>IF(AT67=0,IF(achievement!AQ$96*$B68&gt;=1,achievement!AQ$97,0))</f>
        <v>0</v>
      </c>
      <c r="AU68" s="2" t="b">
        <f>IF(AU67=0,IF(achievement!AR$96*$B68&gt;=1,achievement!AR$97,0))</f>
        <v>0</v>
      </c>
      <c r="AV68" s="2" t="b">
        <f>IF(AV67=0,IF(achievement!AS$96*$B68&gt;=1,achievement!AS$97,0))</f>
        <v>0</v>
      </c>
      <c r="AW68" s="2"/>
      <c r="AX68" s="2"/>
      <c r="AY68" s="2"/>
    </row>
    <row r="69" s="1" customFormat="1" ht="18" customHeight="1" spans="2:51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387</v>
      </c>
      <c r="G69" s="2">
        <f t="shared" si="4"/>
        <v>0</v>
      </c>
      <c r="H69" s="2">
        <f t="shared" si="3"/>
        <v>2327</v>
      </c>
      <c r="I69" s="2" t="b">
        <f>IF(I68=0,IF($B69&gt;=achievement!F$96,achievement!F$97,0))</f>
        <v>0</v>
      </c>
      <c r="J69" s="2" t="b">
        <f>IF(J68=0,IF($B69&gt;=achievement!G$96,achievement!G$97,0))</f>
        <v>0</v>
      </c>
      <c r="K69" s="2" t="b">
        <f>IF(K68=0,IF($B69&gt;=achievement!H$96,achievement!H$97,0))</f>
        <v>0</v>
      </c>
      <c r="L69" s="2" t="b">
        <f>IF(L68=0,IF($B69&gt;=achievement!I$96,achievement!I$97,0))</f>
        <v>0</v>
      </c>
      <c r="M69" s="2">
        <f>IF(M68=0,IF($B69&gt;=achievement!J$96,achievement!J$97,0))</f>
        <v>0</v>
      </c>
      <c r="N69" s="2">
        <f>IF(N68=0,IF($B69&gt;=achievement!K$96,achievement!K$97,0))</f>
        <v>0</v>
      </c>
      <c r="O69" s="2">
        <f>IF(O68=0,IF($B69&gt;=achievement!L$96,achievement!L$97,0))</f>
        <v>0</v>
      </c>
      <c r="P69" s="2" t="b">
        <f>IF(P68=0,IF(achievement!M$96*$B69&gt;=1,achievement!M$97,0))</f>
        <v>0</v>
      </c>
      <c r="Q69" s="2" t="b">
        <f>IF(Q68=0,IF(achievement!N$96*$B69&gt;=1,achievement!N$97,0))</f>
        <v>0</v>
      </c>
      <c r="R69" s="2" t="b">
        <f>IF(R68=0,IF(achievement!O$96*$B69&gt;=1,achievement!O$97,0))</f>
        <v>0</v>
      </c>
      <c r="S69" s="2" t="b">
        <f>IF(S68=0,IF(achievement!P$96*$B69&gt;=1,achievement!P$97,0))</f>
        <v>0</v>
      </c>
      <c r="T69" s="2" t="b">
        <f>IF(T68=0,IF(achievement!Q$96*$B69&gt;=1,achievement!Q$97,0))</f>
        <v>0</v>
      </c>
      <c r="U69" s="2" t="b">
        <f>IF(U68=0,IF(achievement!R$96*$B69&gt;=1,achievement!R$97,0))</f>
        <v>0</v>
      </c>
      <c r="V69" s="2" t="b">
        <f>IF(V68=0,IF(achievement!S$96*$B69&gt;=1,achievement!S$97,0))</f>
        <v>0</v>
      </c>
      <c r="W69" s="2" t="b">
        <f>IF(W68=0,IF(achievement!T$96*$B69&gt;=1,achievement!T$97,0))</f>
        <v>0</v>
      </c>
      <c r="X69" s="2" t="b">
        <f>IF(X68=0,IF(achievement!U$96*$B69&gt;=1,achievement!U$97,0))</f>
        <v>0</v>
      </c>
      <c r="Y69" s="2" t="b">
        <f>IF(Y68=0,IF(achievement!V$96*$B69&gt;=1,achievement!V$97,0))</f>
        <v>0</v>
      </c>
      <c r="Z69" s="2" t="b">
        <f>IF(Z68=0,IF(achievement!W$96*$B69&gt;=1,achievement!W$97,0))</f>
        <v>0</v>
      </c>
      <c r="AA69" s="2" t="b">
        <f>IF(AA68=0,IF(achievement!X$96*$B69&gt;=1,achievement!X$97,0))</f>
        <v>0</v>
      </c>
      <c r="AB69" s="2" t="b">
        <f>IF(AB68=0,IF(achievement!Y$96*$B69&gt;=1,achievement!Y$97,0))</f>
        <v>0</v>
      </c>
      <c r="AC69" s="2" t="b">
        <f>IF(AC68=0,IF(achievement!Z$96*$B69&gt;=1,achievement!Z$97,0))</f>
        <v>0</v>
      </c>
      <c r="AD69" s="2" t="b">
        <f>IF(AD68=0,IF(achievement!AA$96*$B69&gt;=1,achievement!AA$97,0))</f>
        <v>0</v>
      </c>
      <c r="AE69" s="2" t="b">
        <f>IF(AE68=0,IF(achievement!AB$96*$B69&gt;=1,achievement!AB$97,0))</f>
        <v>0</v>
      </c>
      <c r="AF69" s="2" t="b">
        <f>IF(AF68=0,IF(achievement!AC$96*$B69&gt;=1,achievement!AC$97,0))</f>
        <v>0</v>
      </c>
      <c r="AG69" s="2" t="b">
        <f>IF(AG68=0,IF(achievement!AD$96*$B69&gt;=1,achievement!AD$97,0))</f>
        <v>0</v>
      </c>
      <c r="AH69" s="2" t="b">
        <f>IF(AH68=0,IF(achievement!AE$96*$B69&gt;=1,achievement!AE$97,0))</f>
        <v>0</v>
      </c>
      <c r="AI69" s="2" t="b">
        <f>IF(AI68=0,IF(achievement!AF$96*$B69&gt;=1,achievement!AF$97,0))</f>
        <v>0</v>
      </c>
      <c r="AJ69" s="2" t="b">
        <f>IF(AJ68=0,IF(achievement!AG$96*$B69&gt;=1,achievement!AG$97,0))</f>
        <v>0</v>
      </c>
      <c r="AK69" s="2" t="b">
        <f>IF(AK68=0,IF(achievement!AH$96*$B69&gt;=1,achievement!AH$97,0))</f>
        <v>0</v>
      </c>
      <c r="AL69" s="2" t="b">
        <f>IF(AL68=0,IF(achievement!AI$96*$B69&gt;=1,achievement!AI$97,0))</f>
        <v>0</v>
      </c>
      <c r="AM69" s="2" t="b">
        <f>IF(AM68=0,IF(achievement!AJ$96*$B69&gt;=1,achievement!AJ$97,0))</f>
        <v>0</v>
      </c>
      <c r="AN69" s="2" t="b">
        <f>IF(AN68=0,IF(achievement!AK$96*$B69&gt;=1,achievement!AK$97,0))</f>
        <v>0</v>
      </c>
      <c r="AO69" s="2" t="b">
        <f>IF(AO68=0,IF(achievement!AL$96*$B69&gt;=1,achievement!AL$97,0))</f>
        <v>0</v>
      </c>
      <c r="AP69" s="2" t="b">
        <f>IF(AP68=0,IF(achievement!AM$96*$B69&gt;=1,achievement!AM$97,0))</f>
        <v>0</v>
      </c>
      <c r="AQ69" s="2" t="b">
        <f>IF(AQ68=0,IF(achievement!AN$96*$B69&gt;=1,achievement!AN$97,0))</f>
        <v>0</v>
      </c>
      <c r="AR69" s="2" t="b">
        <f>IF(AR68=0,IF(achievement!AO$96*$B69&gt;=1,achievement!AO$97,0))</f>
        <v>0</v>
      </c>
      <c r="AS69" s="2" t="b">
        <f>IF(AS68=0,IF(achievement!AP$96*$B69&gt;=1,achievement!AP$97,0))</f>
        <v>0</v>
      </c>
      <c r="AT69" s="2" t="b">
        <f>IF(AT68=0,IF(achievement!AQ$96*$B69&gt;=1,achievement!AQ$97,0))</f>
        <v>0</v>
      </c>
      <c r="AU69" s="2" t="b">
        <f>IF(AU68=0,IF(achievement!AR$96*$B69&gt;=1,achievement!AR$97,0))</f>
        <v>0</v>
      </c>
      <c r="AV69" s="2" t="b">
        <f>IF(AV68=0,IF(achievement!AS$96*$B69&gt;=1,achievement!AS$97,0))</f>
        <v>0</v>
      </c>
      <c r="AW69" s="2"/>
      <c r="AX69" s="2"/>
      <c r="AY69" s="2"/>
    </row>
    <row r="70" s="1" customFormat="1" ht="18" customHeight="1" spans="2:51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396</v>
      </c>
      <c r="G70" s="2">
        <f t="shared" si="4"/>
        <v>0</v>
      </c>
      <c r="H70" s="2">
        <f t="shared" si="3"/>
        <v>2327</v>
      </c>
      <c r="I70" s="2" t="b">
        <f>IF(I69=0,IF($B70&gt;=achievement!F$96,achievement!F$97,0))</f>
        <v>0</v>
      </c>
      <c r="J70" s="2" t="b">
        <f>IF(J69=0,IF($B70&gt;=achievement!G$96,achievement!G$97,0))</f>
        <v>0</v>
      </c>
      <c r="K70" s="2" t="b">
        <f>IF(K69=0,IF($B70&gt;=achievement!H$96,achievement!H$97,0))</f>
        <v>0</v>
      </c>
      <c r="L70" s="2" t="b">
        <f>IF(L69=0,IF($B70&gt;=achievement!I$96,achievement!I$97,0))</f>
        <v>0</v>
      </c>
      <c r="M70" s="2">
        <f>IF(M69=0,IF($B70&gt;=achievement!J$96,achievement!J$97,0))</f>
        <v>0</v>
      </c>
      <c r="N70" s="2">
        <f>IF(N69=0,IF($B70&gt;=achievement!K$96,achievement!K$97,0))</f>
        <v>0</v>
      </c>
      <c r="O70" s="2">
        <f>IF(O69=0,IF($B70&gt;=achievement!L$96,achievement!L$97,0))</f>
        <v>0</v>
      </c>
      <c r="P70" s="2" t="b">
        <f>IF(P69=0,IF(achievement!M$96*$B70&gt;=1,achievement!M$97,0))</f>
        <v>0</v>
      </c>
      <c r="Q70" s="2" t="b">
        <f>IF(Q69=0,IF(achievement!N$96*$B70&gt;=1,achievement!N$97,0))</f>
        <v>0</v>
      </c>
      <c r="R70" s="2" t="b">
        <f>IF(R69=0,IF(achievement!O$96*$B70&gt;=1,achievement!O$97,0))</f>
        <v>0</v>
      </c>
      <c r="S70" s="2" t="b">
        <f>IF(S69=0,IF(achievement!P$96*$B70&gt;=1,achievement!P$97,0))</f>
        <v>0</v>
      </c>
      <c r="T70" s="2" t="b">
        <f>IF(T69=0,IF(achievement!Q$96*$B70&gt;=1,achievement!Q$97,0))</f>
        <v>0</v>
      </c>
      <c r="U70" s="2" t="b">
        <f>IF(U69=0,IF(achievement!R$96*$B70&gt;=1,achievement!R$97,0))</f>
        <v>0</v>
      </c>
      <c r="V70" s="2" t="b">
        <f>IF(V69=0,IF(achievement!S$96*$B70&gt;=1,achievement!S$97,0))</f>
        <v>0</v>
      </c>
      <c r="W70" s="2" t="b">
        <f>IF(W69=0,IF(achievement!T$96*$B70&gt;=1,achievement!T$97,0))</f>
        <v>0</v>
      </c>
      <c r="X70" s="2" t="b">
        <f>IF(X69=0,IF(achievement!U$96*$B70&gt;=1,achievement!U$97,0))</f>
        <v>0</v>
      </c>
      <c r="Y70" s="2" t="b">
        <f>IF(Y69=0,IF(achievement!V$96*$B70&gt;=1,achievement!V$97,0))</f>
        <v>0</v>
      </c>
      <c r="Z70" s="2" t="b">
        <f>IF(Z69=0,IF(achievement!W$96*$B70&gt;=1,achievement!W$97,0))</f>
        <v>0</v>
      </c>
      <c r="AA70" s="2" t="b">
        <f>IF(AA69=0,IF(achievement!X$96*$B70&gt;=1,achievement!X$97,0))</f>
        <v>0</v>
      </c>
      <c r="AB70" s="2" t="b">
        <f>IF(AB69=0,IF(achievement!Y$96*$B70&gt;=1,achievement!Y$97,0))</f>
        <v>0</v>
      </c>
      <c r="AC70" s="2" t="b">
        <f>IF(AC69=0,IF(achievement!Z$96*$B70&gt;=1,achievement!Z$97,0))</f>
        <v>0</v>
      </c>
      <c r="AD70" s="2" t="b">
        <f>IF(AD69=0,IF(achievement!AA$96*$B70&gt;=1,achievement!AA$97,0))</f>
        <v>0</v>
      </c>
      <c r="AE70" s="2" t="b">
        <f>IF(AE69=0,IF(achievement!AB$96*$B70&gt;=1,achievement!AB$97,0))</f>
        <v>0</v>
      </c>
      <c r="AF70" s="2" t="b">
        <f>IF(AF69=0,IF(achievement!AC$96*$B70&gt;=1,achievement!AC$97,0))</f>
        <v>0</v>
      </c>
      <c r="AG70" s="2" t="b">
        <f>IF(AG69=0,IF(achievement!AD$96*$B70&gt;=1,achievement!AD$97,0))</f>
        <v>0</v>
      </c>
      <c r="AH70" s="2" t="b">
        <f>IF(AH69=0,IF(achievement!AE$96*$B70&gt;=1,achievement!AE$97,0))</f>
        <v>0</v>
      </c>
      <c r="AI70" s="2" t="b">
        <f>IF(AI69=0,IF(achievement!AF$96*$B70&gt;=1,achievement!AF$97,0))</f>
        <v>0</v>
      </c>
      <c r="AJ70" s="2" t="b">
        <f>IF(AJ69=0,IF(achievement!AG$96*$B70&gt;=1,achievement!AG$97,0))</f>
        <v>0</v>
      </c>
      <c r="AK70" s="2" t="b">
        <f>IF(AK69=0,IF(achievement!AH$96*$B70&gt;=1,achievement!AH$97,0))</f>
        <v>0</v>
      </c>
      <c r="AL70" s="2" t="b">
        <f>IF(AL69=0,IF(achievement!AI$96*$B70&gt;=1,achievement!AI$97,0))</f>
        <v>0</v>
      </c>
      <c r="AM70" s="2" t="b">
        <f>IF(AM69=0,IF(achievement!AJ$96*$B70&gt;=1,achievement!AJ$97,0))</f>
        <v>0</v>
      </c>
      <c r="AN70" s="2" t="b">
        <f>IF(AN69=0,IF(achievement!AK$96*$B70&gt;=1,achievement!AK$97,0))</f>
        <v>0</v>
      </c>
      <c r="AO70" s="2" t="b">
        <f>IF(AO69=0,IF(achievement!AL$96*$B70&gt;=1,achievement!AL$97,0))</f>
        <v>0</v>
      </c>
      <c r="AP70" s="2" t="b">
        <f>IF(AP69=0,IF(achievement!AM$96*$B70&gt;=1,achievement!AM$97,0))</f>
        <v>0</v>
      </c>
      <c r="AQ70" s="2" t="b">
        <f>IF(AQ69=0,IF(achievement!AN$96*$B70&gt;=1,achievement!AN$97,0))</f>
        <v>0</v>
      </c>
      <c r="AR70" s="2" t="b">
        <f>IF(AR69=0,IF(achievement!AO$96*$B70&gt;=1,achievement!AO$97,0))</f>
        <v>0</v>
      </c>
      <c r="AS70" s="2" t="b">
        <f>IF(AS69=0,IF(achievement!AP$96*$B70&gt;=1,achievement!AP$97,0))</f>
        <v>0</v>
      </c>
      <c r="AT70" s="2" t="b">
        <f>IF(AT69=0,IF(achievement!AQ$96*$B70&gt;=1,achievement!AQ$97,0))</f>
        <v>0</v>
      </c>
      <c r="AU70" s="2" t="b">
        <f>IF(AU69=0,IF(achievement!AR$96*$B70&gt;=1,achievement!AR$97,0))</f>
        <v>0</v>
      </c>
      <c r="AV70" s="2" t="b">
        <f>IF(AV69=0,IF(achievement!AS$96*$B70&gt;=1,achievement!AS$97,0))</f>
        <v>0</v>
      </c>
      <c r="AW70" s="2"/>
      <c r="AX70" s="2"/>
      <c r="AY70" s="2"/>
    </row>
    <row r="71" s="1" customFormat="1" ht="18" customHeight="1" spans="2:51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405</v>
      </c>
      <c r="G71" s="2">
        <f t="shared" si="4"/>
        <v>0</v>
      </c>
      <c r="H71" s="2">
        <f t="shared" si="3"/>
        <v>2327</v>
      </c>
      <c r="I71" s="2" t="b">
        <f>IF(I70=0,IF($B71&gt;=achievement!F$96,achievement!F$97,0))</f>
        <v>0</v>
      </c>
      <c r="J71" s="2" t="b">
        <f>IF(J70=0,IF($B71&gt;=achievement!G$96,achievement!G$97,0))</f>
        <v>0</v>
      </c>
      <c r="K71" s="2" t="b">
        <f>IF(K70=0,IF($B71&gt;=achievement!H$96,achievement!H$97,0))</f>
        <v>0</v>
      </c>
      <c r="L71" s="2" t="b">
        <f>IF(L70=0,IF($B71&gt;=achievement!I$96,achievement!I$97,0))</f>
        <v>0</v>
      </c>
      <c r="M71" s="2">
        <f>IF(M70=0,IF($B71&gt;=achievement!J$96,achievement!J$97,0))</f>
        <v>0</v>
      </c>
      <c r="N71" s="2">
        <f>IF(N70=0,IF($B71&gt;=achievement!K$96,achievement!K$97,0))</f>
        <v>0</v>
      </c>
      <c r="O71" s="2">
        <f>IF(O70=0,IF($B71&gt;=achievement!L$96,achievement!L$97,0))</f>
        <v>0</v>
      </c>
      <c r="P71" s="2" t="b">
        <f>IF(P70=0,IF(achievement!M$96*$B71&gt;=1,achievement!M$97,0))</f>
        <v>0</v>
      </c>
      <c r="Q71" s="2" t="b">
        <f>IF(Q70=0,IF(achievement!N$96*$B71&gt;=1,achievement!N$97,0))</f>
        <v>0</v>
      </c>
      <c r="R71" s="2" t="b">
        <f>IF(R70=0,IF(achievement!O$96*$B71&gt;=1,achievement!O$97,0))</f>
        <v>0</v>
      </c>
      <c r="S71" s="2" t="b">
        <f>IF(S70=0,IF(achievement!P$96*$B71&gt;=1,achievement!P$97,0))</f>
        <v>0</v>
      </c>
      <c r="T71" s="2" t="b">
        <f>IF(T70=0,IF(achievement!Q$96*$B71&gt;=1,achievement!Q$97,0))</f>
        <v>0</v>
      </c>
      <c r="U71" s="2" t="b">
        <f>IF(U70=0,IF(achievement!R$96*$B71&gt;=1,achievement!R$97,0))</f>
        <v>0</v>
      </c>
      <c r="V71" s="2" t="b">
        <f>IF(V70=0,IF(achievement!S$96*$B71&gt;=1,achievement!S$97,0))</f>
        <v>0</v>
      </c>
      <c r="W71" s="2" t="b">
        <f>IF(W70=0,IF(achievement!T$96*$B71&gt;=1,achievement!T$97,0))</f>
        <v>0</v>
      </c>
      <c r="X71" s="2" t="b">
        <f>IF(X70=0,IF(achievement!U$96*$B71&gt;=1,achievement!U$97,0))</f>
        <v>0</v>
      </c>
      <c r="Y71" s="2" t="b">
        <f>IF(Y70=0,IF(achievement!V$96*$B71&gt;=1,achievement!V$97,0))</f>
        <v>0</v>
      </c>
      <c r="Z71" s="2" t="b">
        <f>IF(Z70=0,IF(achievement!W$96*$B71&gt;=1,achievement!W$97,0))</f>
        <v>0</v>
      </c>
      <c r="AA71" s="2" t="b">
        <f>IF(AA70=0,IF(achievement!X$96*$B71&gt;=1,achievement!X$97,0))</f>
        <v>0</v>
      </c>
      <c r="AB71" s="2" t="b">
        <f>IF(AB70=0,IF(achievement!Y$96*$B71&gt;=1,achievement!Y$97,0))</f>
        <v>0</v>
      </c>
      <c r="AC71" s="2" t="b">
        <f>IF(AC70=0,IF(achievement!Z$96*$B71&gt;=1,achievement!Z$97,0))</f>
        <v>0</v>
      </c>
      <c r="AD71" s="2" t="b">
        <f>IF(AD70=0,IF(achievement!AA$96*$B71&gt;=1,achievement!AA$97,0))</f>
        <v>0</v>
      </c>
      <c r="AE71" s="2" t="b">
        <f>IF(AE70=0,IF(achievement!AB$96*$B71&gt;=1,achievement!AB$97,0))</f>
        <v>0</v>
      </c>
      <c r="AF71" s="2" t="b">
        <f>IF(AF70=0,IF(achievement!AC$96*$B71&gt;=1,achievement!AC$97,0))</f>
        <v>0</v>
      </c>
      <c r="AG71" s="2" t="b">
        <f>IF(AG70=0,IF(achievement!AD$96*$B71&gt;=1,achievement!AD$97,0))</f>
        <v>0</v>
      </c>
      <c r="AH71" s="2" t="b">
        <f>IF(AH70=0,IF(achievement!AE$96*$B71&gt;=1,achievement!AE$97,0))</f>
        <v>0</v>
      </c>
      <c r="AI71" s="2" t="b">
        <f>IF(AI70=0,IF(achievement!AF$96*$B71&gt;=1,achievement!AF$97,0))</f>
        <v>0</v>
      </c>
      <c r="AJ71" s="2" t="b">
        <f>IF(AJ70=0,IF(achievement!AG$96*$B71&gt;=1,achievement!AG$97,0))</f>
        <v>0</v>
      </c>
      <c r="AK71" s="2" t="b">
        <f>IF(AK70=0,IF(achievement!AH$96*$B71&gt;=1,achievement!AH$97,0))</f>
        <v>0</v>
      </c>
      <c r="AL71" s="2" t="b">
        <f>IF(AL70=0,IF(achievement!AI$96*$B71&gt;=1,achievement!AI$97,0))</f>
        <v>0</v>
      </c>
      <c r="AM71" s="2" t="b">
        <f>IF(AM70=0,IF(achievement!AJ$96*$B71&gt;=1,achievement!AJ$97,0))</f>
        <v>0</v>
      </c>
      <c r="AN71" s="2" t="b">
        <f>IF(AN70=0,IF(achievement!AK$96*$B71&gt;=1,achievement!AK$97,0))</f>
        <v>0</v>
      </c>
      <c r="AO71" s="2" t="b">
        <f>IF(AO70=0,IF(achievement!AL$96*$B71&gt;=1,achievement!AL$97,0))</f>
        <v>0</v>
      </c>
      <c r="AP71" s="2" t="b">
        <f>IF(AP70=0,IF(achievement!AM$96*$B71&gt;=1,achievement!AM$97,0))</f>
        <v>0</v>
      </c>
      <c r="AQ71" s="2" t="b">
        <f>IF(AQ70=0,IF(achievement!AN$96*$B71&gt;=1,achievement!AN$97,0))</f>
        <v>0</v>
      </c>
      <c r="AR71" s="2" t="b">
        <f>IF(AR70=0,IF(achievement!AO$96*$B71&gt;=1,achievement!AO$97,0))</f>
        <v>0</v>
      </c>
      <c r="AS71" s="2" t="b">
        <f>IF(AS70=0,IF(achievement!AP$96*$B71&gt;=1,achievement!AP$97,0))</f>
        <v>0</v>
      </c>
      <c r="AT71" s="2" t="b">
        <f>IF(AT70=0,IF(achievement!AQ$96*$B71&gt;=1,achievement!AQ$97,0))</f>
        <v>0</v>
      </c>
      <c r="AU71" s="2" t="b">
        <f>IF(AU70=0,IF(achievement!AR$96*$B71&gt;=1,achievement!AR$97,0))</f>
        <v>0</v>
      </c>
      <c r="AV71" s="2" t="b">
        <f>IF(AV70=0,IF(achievement!AS$96*$B71&gt;=1,achievement!AS$97,0))</f>
        <v>0</v>
      </c>
      <c r="AW71" s="2"/>
      <c r="AX71" s="2"/>
      <c r="AY71" s="2"/>
    </row>
    <row r="72" s="1" customFormat="1" ht="18" customHeight="1" spans="2:51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414</v>
      </c>
      <c r="G72" s="2">
        <f t="shared" si="4"/>
        <v>0</v>
      </c>
      <c r="H72" s="2">
        <f t="shared" si="3"/>
        <v>2327</v>
      </c>
      <c r="I72" s="2" t="b">
        <f>IF(I71=0,IF($B72&gt;=achievement!F$96,achievement!F$97,0))</f>
        <v>0</v>
      </c>
      <c r="J72" s="2" t="b">
        <f>IF(J71=0,IF($B72&gt;=achievement!G$96,achievement!G$97,0))</f>
        <v>0</v>
      </c>
      <c r="K72" s="2" t="b">
        <f>IF(K71=0,IF($B72&gt;=achievement!H$96,achievement!H$97,0))</f>
        <v>0</v>
      </c>
      <c r="L72" s="2" t="b">
        <f>IF(L71=0,IF($B72&gt;=achievement!I$96,achievement!I$97,0))</f>
        <v>0</v>
      </c>
      <c r="M72" s="2">
        <f>IF(M71=0,IF($B72&gt;=achievement!J$96,achievement!J$97,0))</f>
        <v>0</v>
      </c>
      <c r="N72" s="2">
        <f>IF(N71=0,IF($B72&gt;=achievement!K$96,achievement!K$97,0))</f>
        <v>0</v>
      </c>
      <c r="O72" s="2">
        <f>IF(O71=0,IF($B72&gt;=achievement!L$96,achievement!L$97,0))</f>
        <v>0</v>
      </c>
      <c r="P72" s="2" t="b">
        <f>IF(P71=0,IF(achievement!M$96*$B72&gt;=1,achievement!M$97,0))</f>
        <v>0</v>
      </c>
      <c r="Q72" s="2" t="b">
        <f>IF(Q71=0,IF(achievement!N$96*$B72&gt;=1,achievement!N$97,0))</f>
        <v>0</v>
      </c>
      <c r="R72" s="2" t="b">
        <f>IF(R71=0,IF(achievement!O$96*$B72&gt;=1,achievement!O$97,0))</f>
        <v>0</v>
      </c>
      <c r="S72" s="2" t="b">
        <f>IF(S71=0,IF(achievement!P$96*$B72&gt;=1,achievement!P$97,0))</f>
        <v>0</v>
      </c>
      <c r="T72" s="2" t="b">
        <f>IF(T71=0,IF(achievement!Q$96*$B72&gt;=1,achievement!Q$97,0))</f>
        <v>0</v>
      </c>
      <c r="U72" s="2" t="b">
        <f>IF(U71=0,IF(achievement!R$96*$B72&gt;=1,achievement!R$97,0))</f>
        <v>0</v>
      </c>
      <c r="V72" s="2" t="b">
        <f>IF(V71=0,IF(achievement!S$96*$B72&gt;=1,achievement!S$97,0))</f>
        <v>0</v>
      </c>
      <c r="W72" s="2" t="b">
        <f>IF(W71=0,IF(achievement!T$96*$B72&gt;=1,achievement!T$97,0))</f>
        <v>0</v>
      </c>
      <c r="X72" s="2" t="b">
        <f>IF(X71=0,IF(achievement!U$96*$B72&gt;=1,achievement!U$97,0))</f>
        <v>0</v>
      </c>
      <c r="Y72" s="2" t="b">
        <f>IF(Y71=0,IF(achievement!V$96*$B72&gt;=1,achievement!V$97,0))</f>
        <v>0</v>
      </c>
      <c r="Z72" s="2" t="b">
        <f>IF(Z71=0,IF(achievement!W$96*$B72&gt;=1,achievement!W$97,0))</f>
        <v>0</v>
      </c>
      <c r="AA72" s="2" t="b">
        <f>IF(AA71=0,IF(achievement!X$96*$B72&gt;=1,achievement!X$97,0))</f>
        <v>0</v>
      </c>
      <c r="AB72" s="2" t="b">
        <f>IF(AB71=0,IF(achievement!Y$96*$B72&gt;=1,achievement!Y$97,0))</f>
        <v>0</v>
      </c>
      <c r="AC72" s="2" t="b">
        <f>IF(AC71=0,IF(achievement!Z$96*$B72&gt;=1,achievement!Z$97,0))</f>
        <v>0</v>
      </c>
      <c r="AD72" s="2" t="b">
        <f>IF(AD71=0,IF(achievement!AA$96*$B72&gt;=1,achievement!AA$97,0))</f>
        <v>0</v>
      </c>
      <c r="AE72" s="2" t="b">
        <f>IF(AE71=0,IF(achievement!AB$96*$B72&gt;=1,achievement!AB$97,0))</f>
        <v>0</v>
      </c>
      <c r="AF72" s="2" t="b">
        <f>IF(AF71=0,IF(achievement!AC$96*$B72&gt;=1,achievement!AC$97,0))</f>
        <v>0</v>
      </c>
      <c r="AG72" s="2" t="b">
        <f>IF(AG71=0,IF(achievement!AD$96*$B72&gt;=1,achievement!AD$97,0))</f>
        <v>0</v>
      </c>
      <c r="AH72" s="2" t="b">
        <f>IF(AH71=0,IF(achievement!AE$96*$B72&gt;=1,achievement!AE$97,0))</f>
        <v>0</v>
      </c>
      <c r="AI72" s="2" t="b">
        <f>IF(AI71=0,IF(achievement!AF$96*$B72&gt;=1,achievement!AF$97,0))</f>
        <v>0</v>
      </c>
      <c r="AJ72" s="2" t="b">
        <f>IF(AJ71=0,IF(achievement!AG$96*$B72&gt;=1,achievement!AG$97,0))</f>
        <v>0</v>
      </c>
      <c r="AK72" s="2" t="b">
        <f>IF(AK71=0,IF(achievement!AH$96*$B72&gt;=1,achievement!AH$97,0))</f>
        <v>0</v>
      </c>
      <c r="AL72" s="2" t="b">
        <f>IF(AL71=0,IF(achievement!AI$96*$B72&gt;=1,achievement!AI$97,0))</f>
        <v>0</v>
      </c>
      <c r="AM72" s="2" t="b">
        <f>IF(AM71=0,IF(achievement!AJ$96*$B72&gt;=1,achievement!AJ$97,0))</f>
        <v>0</v>
      </c>
      <c r="AN72" s="2" t="b">
        <f>IF(AN71=0,IF(achievement!AK$96*$B72&gt;=1,achievement!AK$97,0))</f>
        <v>0</v>
      </c>
      <c r="AO72" s="2" t="b">
        <f>IF(AO71=0,IF(achievement!AL$96*$B72&gt;=1,achievement!AL$97,0))</f>
        <v>0</v>
      </c>
      <c r="AP72" s="2" t="b">
        <f>IF(AP71=0,IF(achievement!AM$96*$B72&gt;=1,achievement!AM$97,0))</f>
        <v>0</v>
      </c>
      <c r="AQ72" s="2" t="b">
        <f>IF(AQ71=0,IF(achievement!AN$96*$B72&gt;=1,achievement!AN$97,0))</f>
        <v>0</v>
      </c>
      <c r="AR72" s="2" t="b">
        <f>IF(AR71=0,IF(achievement!AO$96*$B72&gt;=1,achievement!AO$97,0))</f>
        <v>0</v>
      </c>
      <c r="AS72" s="2" t="b">
        <f>IF(AS71=0,IF(achievement!AP$96*$B72&gt;=1,achievement!AP$97,0))</f>
        <v>0</v>
      </c>
      <c r="AT72" s="2" t="b">
        <f>IF(AT71=0,IF(achievement!AQ$96*$B72&gt;=1,achievement!AQ$97,0))</f>
        <v>0</v>
      </c>
      <c r="AU72" s="2" t="b">
        <f>IF(AU71=0,IF(achievement!AR$96*$B72&gt;=1,achievement!AR$97,0))</f>
        <v>0</v>
      </c>
      <c r="AV72" s="2" t="b">
        <f>IF(AV71=0,IF(achievement!AS$96*$B72&gt;=1,achievement!AS$97,0))</f>
        <v>0</v>
      </c>
      <c r="AW72" s="2"/>
      <c r="AX72" s="2"/>
      <c r="AY72" s="2"/>
    </row>
    <row r="73" s="1" customFormat="1" ht="18" customHeight="1" spans="2:51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422</v>
      </c>
      <c r="G73" s="2">
        <f t="shared" si="4"/>
        <v>0</v>
      </c>
      <c r="H73" s="2">
        <f t="shared" si="3"/>
        <v>2327</v>
      </c>
      <c r="I73" s="2" t="b">
        <f>IF(I72=0,IF($B73&gt;=achievement!F$96,achievement!F$97,0))</f>
        <v>0</v>
      </c>
      <c r="J73" s="2" t="b">
        <f>IF(J72=0,IF($B73&gt;=achievement!G$96,achievement!G$97,0))</f>
        <v>0</v>
      </c>
      <c r="K73" s="2" t="b">
        <f>IF(K72=0,IF($B73&gt;=achievement!H$96,achievement!H$97,0))</f>
        <v>0</v>
      </c>
      <c r="L73" s="2" t="b">
        <f>IF(L72=0,IF($B73&gt;=achievement!I$96,achievement!I$97,0))</f>
        <v>0</v>
      </c>
      <c r="M73" s="2">
        <f>IF(M72=0,IF($B73&gt;=achievement!J$96,achievement!J$97,0))</f>
        <v>0</v>
      </c>
      <c r="N73" s="2">
        <f>IF(N72=0,IF($B73&gt;=achievement!K$96,achievement!K$97,0))</f>
        <v>0</v>
      </c>
      <c r="O73" s="2">
        <f>IF(O72=0,IF($B73&gt;=achievement!L$96,achievement!L$97,0))</f>
        <v>0</v>
      </c>
      <c r="P73" s="2" t="b">
        <f>IF(P72=0,IF(achievement!M$96*$B73&gt;=1,achievement!M$97,0))</f>
        <v>0</v>
      </c>
      <c r="Q73" s="2" t="b">
        <f>IF(Q72=0,IF(achievement!N$96*$B73&gt;=1,achievement!N$97,0))</f>
        <v>0</v>
      </c>
      <c r="R73" s="2" t="b">
        <f>IF(R72=0,IF(achievement!O$96*$B73&gt;=1,achievement!O$97,0))</f>
        <v>0</v>
      </c>
      <c r="S73" s="2" t="b">
        <f>IF(S72=0,IF(achievement!P$96*$B73&gt;=1,achievement!P$97,0))</f>
        <v>0</v>
      </c>
      <c r="T73" s="2" t="b">
        <f>IF(T72=0,IF(achievement!Q$96*$B73&gt;=1,achievement!Q$97,0))</f>
        <v>0</v>
      </c>
      <c r="U73" s="2" t="b">
        <f>IF(U72=0,IF(achievement!R$96*$B73&gt;=1,achievement!R$97,0))</f>
        <v>0</v>
      </c>
      <c r="V73" s="2" t="b">
        <f>IF(V72=0,IF(achievement!S$96*$B73&gt;=1,achievement!S$97,0))</f>
        <v>0</v>
      </c>
      <c r="W73" s="2" t="b">
        <f>IF(W72=0,IF(achievement!T$96*$B73&gt;=1,achievement!T$97,0))</f>
        <v>0</v>
      </c>
      <c r="X73" s="2" t="b">
        <f>IF(X72=0,IF(achievement!U$96*$B73&gt;=1,achievement!U$97,0))</f>
        <v>0</v>
      </c>
      <c r="Y73" s="2" t="b">
        <f>IF(Y72=0,IF(achievement!V$96*$B73&gt;=1,achievement!V$97,0))</f>
        <v>0</v>
      </c>
      <c r="Z73" s="2" t="b">
        <f>IF(Z72=0,IF(achievement!W$96*$B73&gt;=1,achievement!W$97,0))</f>
        <v>0</v>
      </c>
      <c r="AA73" s="2" t="b">
        <f>IF(AA72=0,IF(achievement!X$96*$B73&gt;=1,achievement!X$97,0))</f>
        <v>0</v>
      </c>
      <c r="AB73" s="2" t="b">
        <f>IF(AB72=0,IF(achievement!Y$96*$B73&gt;=1,achievement!Y$97,0))</f>
        <v>0</v>
      </c>
      <c r="AC73" s="2" t="b">
        <f>IF(AC72=0,IF(achievement!Z$96*$B73&gt;=1,achievement!Z$97,0))</f>
        <v>0</v>
      </c>
      <c r="AD73" s="2" t="b">
        <f>IF(AD72=0,IF(achievement!AA$96*$B73&gt;=1,achievement!AA$97,0))</f>
        <v>0</v>
      </c>
      <c r="AE73" s="2" t="b">
        <f>IF(AE72=0,IF(achievement!AB$96*$B73&gt;=1,achievement!AB$97,0))</f>
        <v>0</v>
      </c>
      <c r="AF73" s="2" t="b">
        <f>IF(AF72=0,IF(achievement!AC$96*$B73&gt;=1,achievement!AC$97,0))</f>
        <v>0</v>
      </c>
      <c r="AG73" s="2" t="b">
        <f>IF(AG72=0,IF(achievement!AD$96*$B73&gt;=1,achievement!AD$97,0))</f>
        <v>0</v>
      </c>
      <c r="AH73" s="2" t="b">
        <f>IF(AH72=0,IF(achievement!AE$96*$B73&gt;=1,achievement!AE$97,0))</f>
        <v>0</v>
      </c>
      <c r="AI73" s="2" t="b">
        <f>IF(AI72=0,IF(achievement!AF$96*$B73&gt;=1,achievement!AF$97,0))</f>
        <v>0</v>
      </c>
      <c r="AJ73" s="2" t="b">
        <f>IF(AJ72=0,IF(achievement!AG$96*$B73&gt;=1,achievement!AG$97,0))</f>
        <v>0</v>
      </c>
      <c r="AK73" s="2" t="b">
        <f>IF(AK72=0,IF(achievement!AH$96*$B73&gt;=1,achievement!AH$97,0))</f>
        <v>0</v>
      </c>
      <c r="AL73" s="2" t="b">
        <f>IF(AL72=0,IF(achievement!AI$96*$B73&gt;=1,achievement!AI$97,0))</f>
        <v>0</v>
      </c>
      <c r="AM73" s="2" t="b">
        <f>IF(AM72=0,IF(achievement!AJ$96*$B73&gt;=1,achievement!AJ$97,0))</f>
        <v>0</v>
      </c>
      <c r="AN73" s="2" t="b">
        <f>IF(AN72=0,IF(achievement!AK$96*$B73&gt;=1,achievement!AK$97,0))</f>
        <v>0</v>
      </c>
      <c r="AO73" s="2" t="b">
        <f>IF(AO72=0,IF(achievement!AL$96*$B73&gt;=1,achievement!AL$97,0))</f>
        <v>0</v>
      </c>
      <c r="AP73" s="2" t="b">
        <f>IF(AP72=0,IF(achievement!AM$96*$B73&gt;=1,achievement!AM$97,0))</f>
        <v>0</v>
      </c>
      <c r="AQ73" s="2" t="b">
        <f>IF(AQ72=0,IF(achievement!AN$96*$B73&gt;=1,achievement!AN$97,0))</f>
        <v>0</v>
      </c>
      <c r="AR73" s="2" t="b">
        <f>IF(AR72=0,IF(achievement!AO$96*$B73&gt;=1,achievement!AO$97,0))</f>
        <v>0</v>
      </c>
      <c r="AS73" s="2" t="b">
        <f>IF(AS72=0,IF(achievement!AP$96*$B73&gt;=1,achievement!AP$97,0))</f>
        <v>0</v>
      </c>
      <c r="AT73" s="2" t="b">
        <f>IF(AT72=0,IF(achievement!AQ$96*$B73&gt;=1,achievement!AQ$97,0))</f>
        <v>0</v>
      </c>
      <c r="AU73" s="2" t="b">
        <f>IF(AU72=0,IF(achievement!AR$96*$B73&gt;=1,achievement!AR$97,0))</f>
        <v>0</v>
      </c>
      <c r="AV73" s="2" t="b">
        <f>IF(AV72=0,IF(achievement!AS$96*$B73&gt;=1,achievement!AS$97,0))</f>
        <v>0</v>
      </c>
      <c r="AW73" s="2"/>
      <c r="AX73" s="2"/>
      <c r="AY73" s="2"/>
    </row>
    <row r="74" s="1" customFormat="1" ht="18" customHeight="1" spans="2:51">
      <c r="B74" s="2">
        <v>49</v>
      </c>
      <c r="C74" s="2">
        <f t="shared" si="0"/>
        <v>49000</v>
      </c>
      <c r="D74" s="2">
        <f>ROUND($C$8*$C$5+$C$8*$C$4*(1-$L$5),0)</f>
        <v>88</v>
      </c>
      <c r="E74" s="2">
        <f t="shared" si="1"/>
        <v>4312</v>
      </c>
      <c r="F74" s="2">
        <f>ROUND(E74*VLOOKUP($B$10,总产出!$T$4:$U$14,2,FALSE),0)</f>
        <v>431</v>
      </c>
      <c r="G74" s="2">
        <f t="shared" si="4"/>
        <v>0</v>
      </c>
      <c r="H74" s="2">
        <f t="shared" si="3"/>
        <v>2327</v>
      </c>
      <c r="I74" s="2" t="b">
        <f>IF(I73=0,IF($B74&gt;=achievement!F$96,achievement!F$97,0))</f>
        <v>0</v>
      </c>
      <c r="J74" s="2" t="b">
        <f>IF(J73=0,IF($B74&gt;=achievement!G$96,achievement!G$97,0))</f>
        <v>0</v>
      </c>
      <c r="K74" s="2" t="b">
        <f>IF(K73=0,IF($B74&gt;=achievement!H$96,achievement!H$97,0))</f>
        <v>0</v>
      </c>
      <c r="L74" s="2" t="b">
        <f>IF(L73=0,IF($B74&gt;=achievement!I$96,achievement!I$97,0))</f>
        <v>0</v>
      </c>
      <c r="M74" s="2">
        <f>IF(M73=0,IF($B74&gt;=achievement!J$96,achievement!J$97,0))</f>
        <v>0</v>
      </c>
      <c r="N74" s="2">
        <f>IF(N73=0,IF($B74&gt;=achievement!K$96,achievement!K$97,0))</f>
        <v>0</v>
      </c>
      <c r="O74" s="2">
        <f>IF(O73=0,IF($B74&gt;=achievement!L$96,achievement!L$97,0))</f>
        <v>0</v>
      </c>
      <c r="P74" s="2" t="b">
        <f>IF(P73=0,IF(achievement!M$96*$B74&gt;=1,achievement!M$97,0))</f>
        <v>0</v>
      </c>
      <c r="Q74" s="2" t="b">
        <f>IF(Q73=0,IF(achievement!N$96*$B74&gt;=1,achievement!N$97,0))</f>
        <v>0</v>
      </c>
      <c r="R74" s="2" t="b">
        <f>IF(R73=0,IF(achievement!O$96*$B74&gt;=1,achievement!O$97,0))</f>
        <v>0</v>
      </c>
      <c r="S74" s="2" t="b">
        <f>IF(S73=0,IF(achievement!P$96*$B74&gt;=1,achievement!P$97,0))</f>
        <v>0</v>
      </c>
      <c r="T74" s="2" t="b">
        <f>IF(T73=0,IF(achievement!Q$96*$B74&gt;=1,achievement!Q$97,0))</f>
        <v>0</v>
      </c>
      <c r="U74" s="2" t="b">
        <f>IF(U73=0,IF(achievement!R$96*$B74&gt;=1,achievement!R$97,0))</f>
        <v>0</v>
      </c>
      <c r="V74" s="2" t="b">
        <f>IF(V73=0,IF(achievement!S$96*$B74&gt;=1,achievement!S$97,0))</f>
        <v>0</v>
      </c>
      <c r="W74" s="2" t="b">
        <f>IF(W73=0,IF(achievement!T$96*$B74&gt;=1,achievement!T$97,0))</f>
        <v>0</v>
      </c>
      <c r="X74" s="2" t="b">
        <f>IF(X73=0,IF(achievement!U$96*$B74&gt;=1,achievement!U$97,0))</f>
        <v>0</v>
      </c>
      <c r="Y74" s="2" t="b">
        <f>IF(Y73=0,IF(achievement!V$96*$B74&gt;=1,achievement!V$97,0))</f>
        <v>0</v>
      </c>
      <c r="Z74" s="2" t="b">
        <f>IF(Z73=0,IF(achievement!W$96*$B74&gt;=1,achievement!W$97,0))</f>
        <v>0</v>
      </c>
      <c r="AA74" s="2" t="b">
        <f>IF(AA73=0,IF(achievement!X$96*$B74&gt;=1,achievement!X$97,0))</f>
        <v>0</v>
      </c>
      <c r="AB74" s="2" t="b">
        <f>IF(AB73=0,IF(achievement!Y$96*$B74&gt;=1,achievement!Y$97,0))</f>
        <v>0</v>
      </c>
      <c r="AC74" s="2" t="b">
        <f>IF(AC73=0,IF(achievement!Z$96*$B74&gt;=1,achievement!Z$97,0))</f>
        <v>0</v>
      </c>
      <c r="AD74" s="2" t="b">
        <f>IF(AD73=0,IF(achievement!AA$96*$B74&gt;=1,achievement!AA$97,0))</f>
        <v>0</v>
      </c>
      <c r="AE74" s="2" t="b">
        <f>IF(AE73=0,IF(achievement!AB$96*$B74&gt;=1,achievement!AB$97,0))</f>
        <v>0</v>
      </c>
      <c r="AF74" s="2" t="b">
        <f>IF(AF73=0,IF(achievement!AC$96*$B74&gt;=1,achievement!AC$97,0))</f>
        <v>0</v>
      </c>
      <c r="AG74" s="2" t="b">
        <f>IF(AG73=0,IF(achievement!AD$96*$B74&gt;=1,achievement!AD$97,0))</f>
        <v>0</v>
      </c>
      <c r="AH74" s="2" t="b">
        <f>IF(AH73=0,IF(achievement!AE$96*$B74&gt;=1,achievement!AE$97,0))</f>
        <v>0</v>
      </c>
      <c r="AI74" s="2" t="b">
        <f>IF(AI73=0,IF(achievement!AF$96*$B74&gt;=1,achievement!AF$97,0))</f>
        <v>0</v>
      </c>
      <c r="AJ74" s="2" t="b">
        <f>IF(AJ73=0,IF(achievement!AG$96*$B74&gt;=1,achievement!AG$97,0))</f>
        <v>0</v>
      </c>
      <c r="AK74" s="2" t="b">
        <f>IF(AK73=0,IF(achievement!AH$96*$B74&gt;=1,achievement!AH$97,0))</f>
        <v>0</v>
      </c>
      <c r="AL74" s="2" t="b">
        <f>IF(AL73=0,IF(achievement!AI$96*$B74&gt;=1,achievement!AI$97,0))</f>
        <v>0</v>
      </c>
      <c r="AM74" s="2" t="b">
        <f>IF(AM73=0,IF(achievement!AJ$96*$B74&gt;=1,achievement!AJ$97,0))</f>
        <v>0</v>
      </c>
      <c r="AN74" s="2" t="b">
        <f>IF(AN73=0,IF(achievement!AK$96*$B74&gt;=1,achievement!AK$97,0))</f>
        <v>0</v>
      </c>
      <c r="AO74" s="2" t="b">
        <f>IF(AO73=0,IF(achievement!AL$96*$B74&gt;=1,achievement!AL$97,0))</f>
        <v>0</v>
      </c>
      <c r="AP74" s="2" t="b">
        <f>IF(AP73=0,IF(achievement!AM$96*$B74&gt;=1,achievement!AM$97,0))</f>
        <v>0</v>
      </c>
      <c r="AQ74" s="2" t="b">
        <f>IF(AQ73=0,IF(achievement!AN$96*$B74&gt;=1,achievement!AN$97,0))</f>
        <v>0</v>
      </c>
      <c r="AR74" s="2" t="b">
        <f>IF(AR73=0,IF(achievement!AO$96*$B74&gt;=1,achievement!AO$97,0))</f>
        <v>0</v>
      </c>
      <c r="AS74" s="2" t="b">
        <f>IF(AS73=0,IF(achievement!AP$96*$B74&gt;=1,achievement!AP$97,0))</f>
        <v>0</v>
      </c>
      <c r="AT74" s="2" t="b">
        <f>IF(AT73=0,IF(achievement!AQ$96*$B74&gt;=1,achievement!AQ$97,0))</f>
        <v>0</v>
      </c>
      <c r="AU74" s="2" t="b">
        <f>IF(AU73=0,IF(achievement!AR$96*$B74&gt;=1,achievement!AR$97,0))</f>
        <v>0</v>
      </c>
      <c r="AV74" s="2" t="b">
        <f>IF(AV73=0,IF(achievement!AS$96*$B74&gt;=1,achievement!AS$97,0))</f>
        <v>0</v>
      </c>
      <c r="AW74" s="2"/>
      <c r="AX74" s="2"/>
      <c r="AY74" s="2"/>
    </row>
    <row r="75" s="1" customFormat="1" ht="18" customHeight="1" spans="2:51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440</v>
      </c>
      <c r="G75" s="2">
        <f t="shared" si="4"/>
        <v>0</v>
      </c>
      <c r="H75" s="2">
        <f t="shared" si="3"/>
        <v>2327</v>
      </c>
      <c r="I75" s="2" t="b">
        <f>IF(I74=0,IF($B75&gt;=achievement!F$96,achievement!F$97,0))</f>
        <v>0</v>
      </c>
      <c r="J75" s="2" t="b">
        <f>IF(J74=0,IF($B75&gt;=achievement!G$96,achievement!G$97,0))</f>
        <v>0</v>
      </c>
      <c r="K75" s="2" t="b">
        <f>IF(K74=0,IF($B75&gt;=achievement!H$96,achievement!H$97,0))</f>
        <v>0</v>
      </c>
      <c r="L75" s="2" t="b">
        <f>IF(L74=0,IF($B75&gt;=achievement!I$96,achievement!I$97,0))</f>
        <v>0</v>
      </c>
      <c r="M75" s="2">
        <f>IF(M74=0,IF($B75&gt;=achievement!J$96,achievement!J$97,0))</f>
        <v>0</v>
      </c>
      <c r="N75" s="2">
        <f>IF(N74=0,IF($B75&gt;=achievement!K$96,achievement!K$97,0))</f>
        <v>0</v>
      </c>
      <c r="O75" s="2">
        <f>IF(O74=0,IF($B75&gt;=achievement!L$96,achievement!L$97,0))</f>
        <v>0</v>
      </c>
      <c r="P75" s="2" t="b">
        <f>IF(P74=0,IF(achievement!M$96*$B75&gt;=1,achievement!M$97,0))</f>
        <v>0</v>
      </c>
      <c r="Q75" s="2" t="b">
        <f>IF(Q74=0,IF(achievement!N$96*$B75&gt;=1,achievement!N$97,0))</f>
        <v>0</v>
      </c>
      <c r="R75" s="2" t="b">
        <f>IF(R74=0,IF(achievement!O$96*$B75&gt;=1,achievement!O$97,0))</f>
        <v>0</v>
      </c>
      <c r="S75" s="2" t="b">
        <f>IF(S74=0,IF(achievement!P$96*$B75&gt;=1,achievement!P$97,0))</f>
        <v>0</v>
      </c>
      <c r="T75" s="2" t="b">
        <f>IF(T74=0,IF(achievement!Q$96*$B75&gt;=1,achievement!Q$97,0))</f>
        <v>0</v>
      </c>
      <c r="U75" s="2" t="b">
        <f>IF(U74=0,IF(achievement!R$96*$B75&gt;=1,achievement!R$97,0))</f>
        <v>0</v>
      </c>
      <c r="V75" s="2" t="b">
        <f>IF(V74=0,IF(achievement!S$96*$B75&gt;=1,achievement!S$97,0))</f>
        <v>0</v>
      </c>
      <c r="W75" s="2" t="b">
        <f>IF(W74=0,IF(achievement!T$96*$B75&gt;=1,achievement!T$97,0))</f>
        <v>0</v>
      </c>
      <c r="X75" s="2" t="b">
        <f>IF(X74=0,IF(achievement!U$96*$B75&gt;=1,achievement!U$97,0))</f>
        <v>0</v>
      </c>
      <c r="Y75" s="2" t="b">
        <f>IF(Y74=0,IF(achievement!V$96*$B75&gt;=1,achievement!V$97,0))</f>
        <v>0</v>
      </c>
      <c r="Z75" s="2" t="b">
        <f>IF(Z74=0,IF(achievement!W$96*$B75&gt;=1,achievement!W$97,0))</f>
        <v>0</v>
      </c>
      <c r="AA75" s="2" t="b">
        <f>IF(AA74=0,IF(achievement!X$96*$B75&gt;=1,achievement!X$97,0))</f>
        <v>0</v>
      </c>
      <c r="AB75" s="2" t="b">
        <f>IF(AB74=0,IF(achievement!Y$96*$B75&gt;=1,achievement!Y$97,0))</f>
        <v>0</v>
      </c>
      <c r="AC75" s="2" t="b">
        <f>IF(AC74=0,IF(achievement!Z$96*$B75&gt;=1,achievement!Z$97,0))</f>
        <v>0</v>
      </c>
      <c r="AD75" s="2" t="b">
        <f>IF(AD74=0,IF(achievement!AA$96*$B75&gt;=1,achievement!AA$97,0))</f>
        <v>0</v>
      </c>
      <c r="AE75" s="2" t="b">
        <f>IF(AE74=0,IF(achievement!AB$96*$B75&gt;=1,achievement!AB$97,0))</f>
        <v>0</v>
      </c>
      <c r="AF75" s="2" t="b">
        <f>IF(AF74=0,IF(achievement!AC$96*$B75&gt;=1,achievement!AC$97,0))</f>
        <v>0</v>
      </c>
      <c r="AG75" s="2" t="b">
        <f>IF(AG74=0,IF(achievement!AD$96*$B75&gt;=1,achievement!AD$97,0))</f>
        <v>0</v>
      </c>
      <c r="AH75" s="2" t="b">
        <f>IF(AH74=0,IF(achievement!AE$96*$B75&gt;=1,achievement!AE$97,0))</f>
        <v>0</v>
      </c>
      <c r="AI75" s="2" t="b">
        <f>IF(AI74=0,IF(achievement!AF$96*$B75&gt;=1,achievement!AF$97,0))</f>
        <v>0</v>
      </c>
      <c r="AJ75" s="2" t="b">
        <f>IF(AJ74=0,IF(achievement!AG$96*$B75&gt;=1,achievement!AG$97,0))</f>
        <v>0</v>
      </c>
      <c r="AK75" s="2" t="b">
        <f>IF(AK74=0,IF(achievement!AH$96*$B75&gt;=1,achievement!AH$97,0))</f>
        <v>0</v>
      </c>
      <c r="AL75" s="2" t="b">
        <f>IF(AL74=0,IF(achievement!AI$96*$B75&gt;=1,achievement!AI$97,0))</f>
        <v>0</v>
      </c>
      <c r="AM75" s="2" t="b">
        <f>IF(AM74=0,IF(achievement!AJ$96*$B75&gt;=1,achievement!AJ$97,0))</f>
        <v>0</v>
      </c>
      <c r="AN75" s="2" t="b">
        <f>IF(AN74=0,IF(achievement!AK$96*$B75&gt;=1,achievement!AK$97,0))</f>
        <v>0</v>
      </c>
      <c r="AO75" s="2" t="b">
        <f>IF(AO74=0,IF(achievement!AL$96*$B75&gt;=1,achievement!AL$97,0))</f>
        <v>0</v>
      </c>
      <c r="AP75" s="2" t="b">
        <f>IF(AP74=0,IF(achievement!AM$96*$B75&gt;=1,achievement!AM$97,0))</f>
        <v>0</v>
      </c>
      <c r="AQ75" s="2" t="b">
        <f>IF(AQ74=0,IF(achievement!AN$96*$B75&gt;=1,achievement!AN$97,0))</f>
        <v>0</v>
      </c>
      <c r="AR75" s="2" t="b">
        <f>IF(AR74=0,IF(achievement!AO$96*$B75&gt;=1,achievement!AO$97,0))</f>
        <v>0</v>
      </c>
      <c r="AS75" s="2" t="b">
        <f>IF(AS74=0,IF(achievement!AP$96*$B75&gt;=1,achievement!AP$97,0))</f>
        <v>0</v>
      </c>
      <c r="AT75" s="2" t="b">
        <f>IF(AT74=0,IF(achievement!AQ$96*$B75&gt;=1,achievement!AQ$97,0))</f>
        <v>0</v>
      </c>
      <c r="AU75" s="2" t="b">
        <f>IF(AU74=0,IF(achievement!AR$96*$B75&gt;=1,achievement!AR$97,0))</f>
        <v>0</v>
      </c>
      <c r="AV75" s="2" t="b">
        <f>IF(AV74=0,IF(achievement!AS$96*$B75&gt;=1,achievement!AS$97,0))</f>
        <v>0</v>
      </c>
      <c r="AW75" s="2"/>
      <c r="AX75" s="2"/>
      <c r="AY75" s="2"/>
    </row>
    <row r="76" s="1" customFormat="1" ht="18" customHeight="1" spans="2:51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449</v>
      </c>
      <c r="G76" s="2">
        <f t="shared" si="4"/>
        <v>0</v>
      </c>
      <c r="H76" s="2">
        <f t="shared" si="3"/>
        <v>2327</v>
      </c>
      <c r="I76" s="2" t="b">
        <f>IF(I75=0,IF($B76&gt;=achievement!F$96,achievement!F$97,0))</f>
        <v>0</v>
      </c>
      <c r="J76" s="2" t="b">
        <f>IF(J75=0,IF($B76&gt;=achievement!G$96,achievement!G$97,0))</f>
        <v>0</v>
      </c>
      <c r="K76" s="2" t="b">
        <f>IF(K75=0,IF($B76&gt;=achievement!H$96,achievement!H$97,0))</f>
        <v>0</v>
      </c>
      <c r="L76" s="2" t="b">
        <f>IF(L75=0,IF($B76&gt;=achievement!I$96,achievement!I$97,0))</f>
        <v>0</v>
      </c>
      <c r="M76" s="2">
        <f>IF(M75=0,IF($B76&gt;=achievement!J$96,achievement!J$97,0))</f>
        <v>0</v>
      </c>
      <c r="N76" s="2">
        <f>IF(N75=0,IF($B76&gt;=achievement!K$96,achievement!K$97,0))</f>
        <v>0</v>
      </c>
      <c r="O76" s="2">
        <f>IF(O75=0,IF($B76&gt;=achievement!L$96,achievement!L$97,0))</f>
        <v>0</v>
      </c>
      <c r="P76" s="2" t="b">
        <f>IF(P75=0,IF(achievement!M$96*$B76&gt;=1,achievement!M$97,0))</f>
        <v>0</v>
      </c>
      <c r="Q76" s="2" t="b">
        <f>IF(Q75=0,IF(achievement!N$96*$B76&gt;=1,achievement!N$97,0))</f>
        <v>0</v>
      </c>
      <c r="R76" s="2" t="b">
        <f>IF(R75=0,IF(achievement!O$96*$B76&gt;=1,achievement!O$97,0))</f>
        <v>0</v>
      </c>
      <c r="S76" s="2" t="b">
        <f>IF(S75=0,IF(achievement!P$96*$B76&gt;=1,achievement!P$97,0))</f>
        <v>0</v>
      </c>
      <c r="T76" s="2" t="b">
        <f>IF(T75=0,IF(achievement!Q$96*$B76&gt;=1,achievement!Q$97,0))</f>
        <v>0</v>
      </c>
      <c r="U76" s="2" t="b">
        <f>IF(U75=0,IF(achievement!R$96*$B76&gt;=1,achievement!R$97,0))</f>
        <v>0</v>
      </c>
      <c r="V76" s="2" t="b">
        <f>IF(V75=0,IF(achievement!S$96*$B76&gt;=1,achievement!S$97,0))</f>
        <v>0</v>
      </c>
      <c r="W76" s="2" t="b">
        <f>IF(W75=0,IF(achievement!T$96*$B76&gt;=1,achievement!T$97,0))</f>
        <v>0</v>
      </c>
      <c r="X76" s="2" t="b">
        <f>IF(X75=0,IF(achievement!U$96*$B76&gt;=1,achievement!U$97,0))</f>
        <v>0</v>
      </c>
      <c r="Y76" s="2" t="b">
        <f>IF(Y75=0,IF(achievement!V$96*$B76&gt;=1,achievement!V$97,0))</f>
        <v>0</v>
      </c>
      <c r="Z76" s="2" t="b">
        <f>IF(Z75=0,IF(achievement!W$96*$B76&gt;=1,achievement!W$97,0))</f>
        <v>0</v>
      </c>
      <c r="AA76" s="2" t="b">
        <f>IF(AA75=0,IF(achievement!X$96*$B76&gt;=1,achievement!X$97,0))</f>
        <v>0</v>
      </c>
      <c r="AB76" s="2" t="b">
        <f>IF(AB75=0,IF(achievement!Y$96*$B76&gt;=1,achievement!Y$97,0))</f>
        <v>0</v>
      </c>
      <c r="AC76" s="2" t="b">
        <f>IF(AC75=0,IF(achievement!Z$96*$B76&gt;=1,achievement!Z$97,0))</f>
        <v>0</v>
      </c>
      <c r="AD76" s="2" t="b">
        <f>IF(AD75=0,IF(achievement!AA$96*$B76&gt;=1,achievement!AA$97,0))</f>
        <v>0</v>
      </c>
      <c r="AE76" s="2" t="b">
        <f>IF(AE75=0,IF(achievement!AB$96*$B76&gt;=1,achievement!AB$97,0))</f>
        <v>0</v>
      </c>
      <c r="AF76" s="2" t="b">
        <f>IF(AF75=0,IF(achievement!AC$96*$B76&gt;=1,achievement!AC$97,0))</f>
        <v>0</v>
      </c>
      <c r="AG76" s="2" t="b">
        <f>IF(AG75=0,IF(achievement!AD$96*$B76&gt;=1,achievement!AD$97,0))</f>
        <v>0</v>
      </c>
      <c r="AH76" s="2" t="b">
        <f>IF(AH75=0,IF(achievement!AE$96*$B76&gt;=1,achievement!AE$97,0))</f>
        <v>0</v>
      </c>
      <c r="AI76" s="2" t="b">
        <f>IF(AI75=0,IF(achievement!AF$96*$B76&gt;=1,achievement!AF$97,0))</f>
        <v>0</v>
      </c>
      <c r="AJ76" s="2" t="b">
        <f>IF(AJ75=0,IF(achievement!AG$96*$B76&gt;=1,achievement!AG$97,0))</f>
        <v>0</v>
      </c>
      <c r="AK76" s="2" t="b">
        <f>IF(AK75=0,IF(achievement!AH$96*$B76&gt;=1,achievement!AH$97,0))</f>
        <v>0</v>
      </c>
      <c r="AL76" s="2" t="b">
        <f>IF(AL75=0,IF(achievement!AI$96*$B76&gt;=1,achievement!AI$97,0))</f>
        <v>0</v>
      </c>
      <c r="AM76" s="2" t="b">
        <f>IF(AM75=0,IF(achievement!AJ$96*$B76&gt;=1,achievement!AJ$97,0))</f>
        <v>0</v>
      </c>
      <c r="AN76" s="2" t="b">
        <f>IF(AN75=0,IF(achievement!AK$96*$B76&gt;=1,achievement!AK$97,0))</f>
        <v>0</v>
      </c>
      <c r="AO76" s="2" t="b">
        <f>IF(AO75=0,IF(achievement!AL$96*$B76&gt;=1,achievement!AL$97,0))</f>
        <v>0</v>
      </c>
      <c r="AP76" s="2" t="b">
        <f>IF(AP75=0,IF(achievement!AM$96*$B76&gt;=1,achievement!AM$97,0))</f>
        <v>0</v>
      </c>
      <c r="AQ76" s="2" t="b">
        <f>IF(AQ75=0,IF(achievement!AN$96*$B76&gt;=1,achievement!AN$97,0))</f>
        <v>0</v>
      </c>
      <c r="AR76" s="2" t="b">
        <f>IF(AR75=0,IF(achievement!AO$96*$B76&gt;=1,achievement!AO$97,0))</f>
        <v>0</v>
      </c>
      <c r="AS76" s="2" t="b">
        <f>IF(AS75=0,IF(achievement!AP$96*$B76&gt;=1,achievement!AP$97,0))</f>
        <v>0</v>
      </c>
      <c r="AT76" s="2" t="b">
        <f>IF(AT75=0,IF(achievement!AQ$96*$B76&gt;=1,achievement!AQ$97,0))</f>
        <v>0</v>
      </c>
      <c r="AU76" s="2" t="b">
        <f>IF(AU75=0,IF(achievement!AR$96*$B76&gt;=1,achievement!AR$97,0))</f>
        <v>0</v>
      </c>
      <c r="AV76" s="2" t="b">
        <f>IF(AV75=0,IF(achievement!AS$96*$B76&gt;=1,achievement!AS$97,0))</f>
        <v>0</v>
      </c>
      <c r="AW76" s="2"/>
      <c r="AX76" s="2"/>
      <c r="AY76" s="2"/>
    </row>
    <row r="77" s="1" customFormat="1" ht="18" customHeight="1" spans="2:51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458</v>
      </c>
      <c r="G77" s="2">
        <f t="shared" si="4"/>
        <v>0</v>
      </c>
      <c r="H77" s="2">
        <f t="shared" si="3"/>
        <v>2327</v>
      </c>
      <c r="I77" s="2" t="b">
        <f>IF(I76=0,IF($B77&gt;=achievement!F$96,achievement!F$97,0))</f>
        <v>0</v>
      </c>
      <c r="J77" s="2" t="b">
        <f>IF(J76=0,IF($B77&gt;=achievement!G$96,achievement!G$97,0))</f>
        <v>0</v>
      </c>
      <c r="K77" s="2" t="b">
        <f>IF(K76=0,IF($B77&gt;=achievement!H$96,achievement!H$97,0))</f>
        <v>0</v>
      </c>
      <c r="L77" s="2" t="b">
        <f>IF(L76=0,IF($B77&gt;=achievement!I$96,achievement!I$97,0))</f>
        <v>0</v>
      </c>
      <c r="M77" s="2">
        <f>IF(M76=0,IF($B77&gt;=achievement!J$96,achievement!J$97,0))</f>
        <v>0</v>
      </c>
      <c r="N77" s="2">
        <f>IF(N76=0,IF($B77&gt;=achievement!K$96,achievement!K$97,0))</f>
        <v>0</v>
      </c>
      <c r="O77" s="2">
        <f>IF(O76=0,IF($B77&gt;=achievement!L$96,achievement!L$97,0))</f>
        <v>0</v>
      </c>
      <c r="P77" s="2" t="b">
        <f>IF(P76=0,IF(achievement!M$96*$B77&gt;=1,achievement!M$97,0))</f>
        <v>0</v>
      </c>
      <c r="Q77" s="2" t="b">
        <f>IF(Q76=0,IF(achievement!N$96*$B77&gt;=1,achievement!N$97,0))</f>
        <v>0</v>
      </c>
      <c r="R77" s="2" t="b">
        <f>IF(R76=0,IF(achievement!O$96*$B77&gt;=1,achievement!O$97,0))</f>
        <v>0</v>
      </c>
      <c r="S77" s="2" t="b">
        <f>IF(S76=0,IF(achievement!P$96*$B77&gt;=1,achievement!P$97,0))</f>
        <v>0</v>
      </c>
      <c r="T77" s="2" t="b">
        <f>IF(T76=0,IF(achievement!Q$96*$B77&gt;=1,achievement!Q$97,0))</f>
        <v>0</v>
      </c>
      <c r="U77" s="2" t="b">
        <f>IF(U76=0,IF(achievement!R$96*$B77&gt;=1,achievement!R$97,0))</f>
        <v>0</v>
      </c>
      <c r="V77" s="2" t="b">
        <f>IF(V76=0,IF(achievement!S$96*$B77&gt;=1,achievement!S$97,0))</f>
        <v>0</v>
      </c>
      <c r="W77" s="2" t="b">
        <f>IF(W76=0,IF(achievement!T$96*$B77&gt;=1,achievement!T$97,0))</f>
        <v>0</v>
      </c>
      <c r="X77" s="2" t="b">
        <f>IF(X76=0,IF(achievement!U$96*$B77&gt;=1,achievement!U$97,0))</f>
        <v>0</v>
      </c>
      <c r="Y77" s="2" t="b">
        <f>IF(Y76=0,IF(achievement!V$96*$B77&gt;=1,achievement!V$97,0))</f>
        <v>0</v>
      </c>
      <c r="Z77" s="2" t="b">
        <f>IF(Z76=0,IF(achievement!W$96*$B77&gt;=1,achievement!W$97,0))</f>
        <v>0</v>
      </c>
      <c r="AA77" s="2" t="b">
        <f>IF(AA76=0,IF(achievement!X$96*$B77&gt;=1,achievement!X$97,0))</f>
        <v>0</v>
      </c>
      <c r="AB77" s="2" t="b">
        <f>IF(AB76=0,IF(achievement!Y$96*$B77&gt;=1,achievement!Y$97,0))</f>
        <v>0</v>
      </c>
      <c r="AC77" s="2" t="b">
        <f>IF(AC76=0,IF(achievement!Z$96*$B77&gt;=1,achievement!Z$97,0))</f>
        <v>0</v>
      </c>
      <c r="AD77" s="2" t="b">
        <f>IF(AD76=0,IF(achievement!AA$96*$B77&gt;=1,achievement!AA$97,0))</f>
        <v>0</v>
      </c>
      <c r="AE77" s="2" t="b">
        <f>IF(AE76=0,IF(achievement!AB$96*$B77&gt;=1,achievement!AB$97,0))</f>
        <v>0</v>
      </c>
      <c r="AF77" s="2" t="b">
        <f>IF(AF76=0,IF(achievement!AC$96*$B77&gt;=1,achievement!AC$97,0))</f>
        <v>0</v>
      </c>
      <c r="AG77" s="2" t="b">
        <f>IF(AG76=0,IF(achievement!AD$96*$B77&gt;=1,achievement!AD$97,0))</f>
        <v>0</v>
      </c>
      <c r="AH77" s="2" t="b">
        <f>IF(AH76=0,IF(achievement!AE$96*$B77&gt;=1,achievement!AE$97,0))</f>
        <v>0</v>
      </c>
      <c r="AI77" s="2" t="b">
        <f>IF(AI76=0,IF(achievement!AF$96*$B77&gt;=1,achievement!AF$97,0))</f>
        <v>0</v>
      </c>
      <c r="AJ77" s="2" t="b">
        <f>IF(AJ76=0,IF(achievement!AG$96*$B77&gt;=1,achievement!AG$97,0))</f>
        <v>0</v>
      </c>
      <c r="AK77" s="2" t="b">
        <f>IF(AK76=0,IF(achievement!AH$96*$B77&gt;=1,achievement!AH$97,0))</f>
        <v>0</v>
      </c>
      <c r="AL77" s="2" t="b">
        <f>IF(AL76=0,IF(achievement!AI$96*$B77&gt;=1,achievement!AI$97,0))</f>
        <v>0</v>
      </c>
      <c r="AM77" s="2" t="b">
        <f>IF(AM76=0,IF(achievement!AJ$96*$B77&gt;=1,achievement!AJ$97,0))</f>
        <v>0</v>
      </c>
      <c r="AN77" s="2" t="b">
        <f>IF(AN76=0,IF(achievement!AK$96*$B77&gt;=1,achievement!AK$97,0))</f>
        <v>0</v>
      </c>
      <c r="AO77" s="2" t="b">
        <f>IF(AO76=0,IF(achievement!AL$96*$B77&gt;=1,achievement!AL$97,0))</f>
        <v>0</v>
      </c>
      <c r="AP77" s="2" t="b">
        <f>IF(AP76=0,IF(achievement!AM$96*$B77&gt;=1,achievement!AM$97,0))</f>
        <v>0</v>
      </c>
      <c r="AQ77" s="2" t="b">
        <f>IF(AQ76=0,IF(achievement!AN$96*$B77&gt;=1,achievement!AN$97,0))</f>
        <v>0</v>
      </c>
      <c r="AR77" s="2" t="b">
        <f>IF(AR76=0,IF(achievement!AO$96*$B77&gt;=1,achievement!AO$97,0))</f>
        <v>0</v>
      </c>
      <c r="AS77" s="2" t="b">
        <f>IF(AS76=0,IF(achievement!AP$96*$B77&gt;=1,achievement!AP$97,0))</f>
        <v>0</v>
      </c>
      <c r="AT77" s="2" t="b">
        <f>IF(AT76=0,IF(achievement!AQ$96*$B77&gt;=1,achievement!AQ$97,0))</f>
        <v>0</v>
      </c>
      <c r="AU77" s="2" t="b">
        <f>IF(AU76=0,IF(achievement!AR$96*$B77&gt;=1,achievement!AR$97,0))</f>
        <v>0</v>
      </c>
      <c r="AV77" s="2" t="b">
        <f>IF(AV76=0,IF(achievement!AS$96*$B77&gt;=1,achievement!AS$97,0))</f>
        <v>0</v>
      </c>
      <c r="AW77" s="2"/>
      <c r="AX77" s="2"/>
      <c r="AY77" s="2"/>
    </row>
    <row r="78" s="1" customFormat="1" ht="18" customHeight="1" spans="2:51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466</v>
      </c>
      <c r="G78" s="2">
        <f t="shared" si="4"/>
        <v>0</v>
      </c>
      <c r="H78" s="2">
        <f t="shared" si="3"/>
        <v>2327</v>
      </c>
      <c r="I78" s="2" t="b">
        <f>IF(I77=0,IF($B78&gt;=achievement!F$96,achievement!F$97,0))</f>
        <v>0</v>
      </c>
      <c r="J78" s="2" t="b">
        <f>IF(J77=0,IF($B78&gt;=achievement!G$96,achievement!G$97,0))</f>
        <v>0</v>
      </c>
      <c r="K78" s="2" t="b">
        <f>IF(K77=0,IF($B78&gt;=achievement!H$96,achievement!H$97,0))</f>
        <v>0</v>
      </c>
      <c r="L78" s="2" t="b">
        <f>IF(L77=0,IF($B78&gt;=achievement!I$96,achievement!I$97,0))</f>
        <v>0</v>
      </c>
      <c r="M78" s="2">
        <f>IF(M77=0,IF($B78&gt;=achievement!J$96,achievement!J$97,0))</f>
        <v>0</v>
      </c>
      <c r="N78" s="2">
        <f>IF(N77=0,IF($B78&gt;=achievement!K$96,achievement!K$97,0))</f>
        <v>0</v>
      </c>
      <c r="O78" s="2">
        <f>IF(O77=0,IF($B78&gt;=achievement!L$96,achievement!L$97,0))</f>
        <v>0</v>
      </c>
      <c r="P78" s="2" t="b">
        <f>IF(P77=0,IF(achievement!M$96*$B78&gt;=1,achievement!M$97,0))</f>
        <v>0</v>
      </c>
      <c r="Q78" s="2" t="b">
        <f>IF(Q77=0,IF(achievement!N$96*$B78&gt;=1,achievement!N$97,0))</f>
        <v>0</v>
      </c>
      <c r="R78" s="2" t="b">
        <f>IF(R77=0,IF(achievement!O$96*$B78&gt;=1,achievement!O$97,0))</f>
        <v>0</v>
      </c>
      <c r="S78" s="2" t="b">
        <f>IF(S77=0,IF(achievement!P$96*$B78&gt;=1,achievement!P$97,0))</f>
        <v>0</v>
      </c>
      <c r="T78" s="2" t="b">
        <f>IF(T77=0,IF(achievement!Q$96*$B78&gt;=1,achievement!Q$97,0))</f>
        <v>0</v>
      </c>
      <c r="U78" s="2" t="b">
        <f>IF(U77=0,IF(achievement!R$96*$B78&gt;=1,achievement!R$97,0))</f>
        <v>0</v>
      </c>
      <c r="V78" s="2" t="b">
        <f>IF(V77=0,IF(achievement!S$96*$B78&gt;=1,achievement!S$97,0))</f>
        <v>0</v>
      </c>
      <c r="W78" s="2" t="b">
        <f>IF(W77=0,IF(achievement!T$96*$B78&gt;=1,achievement!T$97,0))</f>
        <v>0</v>
      </c>
      <c r="X78" s="2" t="b">
        <f>IF(X77=0,IF(achievement!U$96*$B78&gt;=1,achievement!U$97,0))</f>
        <v>0</v>
      </c>
      <c r="Y78" s="2" t="b">
        <f>IF(Y77=0,IF(achievement!V$96*$B78&gt;=1,achievement!V$97,0))</f>
        <v>0</v>
      </c>
      <c r="Z78" s="2" t="b">
        <f>IF(Z77=0,IF(achievement!W$96*$B78&gt;=1,achievement!W$97,0))</f>
        <v>0</v>
      </c>
      <c r="AA78" s="2" t="b">
        <f>IF(AA77=0,IF(achievement!X$96*$B78&gt;=1,achievement!X$97,0))</f>
        <v>0</v>
      </c>
      <c r="AB78" s="2" t="b">
        <f>IF(AB77=0,IF(achievement!Y$96*$B78&gt;=1,achievement!Y$97,0))</f>
        <v>0</v>
      </c>
      <c r="AC78" s="2" t="b">
        <f>IF(AC77=0,IF(achievement!Z$96*$B78&gt;=1,achievement!Z$97,0))</f>
        <v>0</v>
      </c>
      <c r="AD78" s="2" t="b">
        <f>IF(AD77=0,IF(achievement!AA$96*$B78&gt;=1,achievement!AA$97,0))</f>
        <v>0</v>
      </c>
      <c r="AE78" s="2" t="b">
        <f>IF(AE77=0,IF(achievement!AB$96*$B78&gt;=1,achievement!AB$97,0))</f>
        <v>0</v>
      </c>
      <c r="AF78" s="2" t="b">
        <f>IF(AF77=0,IF(achievement!AC$96*$B78&gt;=1,achievement!AC$97,0))</f>
        <v>0</v>
      </c>
      <c r="AG78" s="2" t="b">
        <f>IF(AG77=0,IF(achievement!AD$96*$B78&gt;=1,achievement!AD$97,0))</f>
        <v>0</v>
      </c>
      <c r="AH78" s="2" t="b">
        <f>IF(AH77=0,IF(achievement!AE$96*$B78&gt;=1,achievement!AE$97,0))</f>
        <v>0</v>
      </c>
      <c r="AI78" s="2" t="b">
        <f>IF(AI77=0,IF(achievement!AF$96*$B78&gt;=1,achievement!AF$97,0))</f>
        <v>0</v>
      </c>
      <c r="AJ78" s="2" t="b">
        <f>IF(AJ77=0,IF(achievement!AG$96*$B78&gt;=1,achievement!AG$97,0))</f>
        <v>0</v>
      </c>
      <c r="AK78" s="2" t="b">
        <f>IF(AK77=0,IF(achievement!AH$96*$B78&gt;=1,achievement!AH$97,0))</f>
        <v>0</v>
      </c>
      <c r="AL78" s="2" t="b">
        <f>IF(AL77=0,IF(achievement!AI$96*$B78&gt;=1,achievement!AI$97,0))</f>
        <v>0</v>
      </c>
      <c r="AM78" s="2" t="b">
        <f>IF(AM77=0,IF(achievement!AJ$96*$B78&gt;=1,achievement!AJ$97,0))</f>
        <v>0</v>
      </c>
      <c r="AN78" s="2" t="b">
        <f>IF(AN77=0,IF(achievement!AK$96*$B78&gt;=1,achievement!AK$97,0))</f>
        <v>0</v>
      </c>
      <c r="AO78" s="2" t="b">
        <f>IF(AO77=0,IF(achievement!AL$96*$B78&gt;=1,achievement!AL$97,0))</f>
        <v>0</v>
      </c>
      <c r="AP78" s="2" t="b">
        <f>IF(AP77=0,IF(achievement!AM$96*$B78&gt;=1,achievement!AM$97,0))</f>
        <v>0</v>
      </c>
      <c r="AQ78" s="2" t="b">
        <f>IF(AQ77=0,IF(achievement!AN$96*$B78&gt;=1,achievement!AN$97,0))</f>
        <v>0</v>
      </c>
      <c r="AR78" s="2" t="b">
        <f>IF(AR77=0,IF(achievement!AO$96*$B78&gt;=1,achievement!AO$97,0))</f>
        <v>0</v>
      </c>
      <c r="AS78" s="2" t="b">
        <f>IF(AS77=0,IF(achievement!AP$96*$B78&gt;=1,achievement!AP$97,0))</f>
        <v>0</v>
      </c>
      <c r="AT78" s="2" t="b">
        <f>IF(AT77=0,IF(achievement!AQ$96*$B78&gt;=1,achievement!AQ$97,0))</f>
        <v>0</v>
      </c>
      <c r="AU78" s="2" t="b">
        <f>IF(AU77=0,IF(achievement!AR$96*$B78&gt;=1,achievement!AR$97,0))</f>
        <v>0</v>
      </c>
      <c r="AV78" s="2" t="b">
        <f>IF(AV77=0,IF(achievement!AS$96*$B78&gt;=1,achievement!AS$97,0))</f>
        <v>0</v>
      </c>
      <c r="AW78" s="2"/>
      <c r="AX78" s="2"/>
      <c r="AY78" s="2"/>
    </row>
    <row r="79" s="1" customFormat="1" ht="18" customHeight="1" spans="2:51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475</v>
      </c>
      <c r="G79" s="2">
        <f t="shared" si="4"/>
        <v>0</v>
      </c>
      <c r="H79" s="2">
        <f t="shared" si="3"/>
        <v>2327</v>
      </c>
      <c r="I79" s="2" t="b">
        <f>IF(I78=0,IF($B79&gt;=achievement!F$96,achievement!F$97,0))</f>
        <v>0</v>
      </c>
      <c r="J79" s="2" t="b">
        <f>IF(J78=0,IF($B79&gt;=achievement!G$96,achievement!G$97,0))</f>
        <v>0</v>
      </c>
      <c r="K79" s="2" t="b">
        <f>IF(K78=0,IF($B79&gt;=achievement!H$96,achievement!H$97,0))</f>
        <v>0</v>
      </c>
      <c r="L79" s="2" t="b">
        <f>IF(L78=0,IF($B79&gt;=achievement!I$96,achievement!I$97,0))</f>
        <v>0</v>
      </c>
      <c r="M79" s="2">
        <f>IF(M78=0,IF($B79&gt;=achievement!J$96,achievement!J$97,0))</f>
        <v>0</v>
      </c>
      <c r="N79" s="2">
        <f>IF(N78=0,IF($B79&gt;=achievement!K$96,achievement!K$97,0))</f>
        <v>0</v>
      </c>
      <c r="O79" s="2">
        <f>IF(O78=0,IF($B79&gt;=achievement!L$96,achievement!L$97,0))</f>
        <v>0</v>
      </c>
      <c r="P79" s="2" t="b">
        <f>IF(P78=0,IF(achievement!M$96*$B79&gt;=1,achievement!M$97,0))</f>
        <v>0</v>
      </c>
      <c r="Q79" s="2" t="b">
        <f>IF(Q78=0,IF(achievement!N$96*$B79&gt;=1,achievement!N$97,0))</f>
        <v>0</v>
      </c>
      <c r="R79" s="2" t="b">
        <f>IF(R78=0,IF(achievement!O$96*$B79&gt;=1,achievement!O$97,0))</f>
        <v>0</v>
      </c>
      <c r="S79" s="2" t="b">
        <f>IF(S78=0,IF(achievement!P$96*$B79&gt;=1,achievement!P$97,0))</f>
        <v>0</v>
      </c>
      <c r="T79" s="2" t="b">
        <f>IF(T78=0,IF(achievement!Q$96*$B79&gt;=1,achievement!Q$97,0))</f>
        <v>0</v>
      </c>
      <c r="U79" s="2" t="b">
        <f>IF(U78=0,IF(achievement!R$96*$B79&gt;=1,achievement!R$97,0))</f>
        <v>0</v>
      </c>
      <c r="V79" s="2" t="b">
        <f>IF(V78=0,IF(achievement!S$96*$B79&gt;=1,achievement!S$97,0))</f>
        <v>0</v>
      </c>
      <c r="W79" s="2" t="b">
        <f>IF(W78=0,IF(achievement!T$96*$B79&gt;=1,achievement!T$97,0))</f>
        <v>0</v>
      </c>
      <c r="X79" s="2" t="b">
        <f>IF(X78=0,IF(achievement!U$96*$B79&gt;=1,achievement!U$97,0))</f>
        <v>0</v>
      </c>
      <c r="Y79" s="2" t="b">
        <f>IF(Y78=0,IF(achievement!V$96*$B79&gt;=1,achievement!V$97,0))</f>
        <v>0</v>
      </c>
      <c r="Z79" s="2" t="b">
        <f>IF(Z78=0,IF(achievement!W$96*$B79&gt;=1,achievement!W$97,0))</f>
        <v>0</v>
      </c>
      <c r="AA79" s="2" t="b">
        <f>IF(AA78=0,IF(achievement!X$96*$B79&gt;=1,achievement!X$97,0))</f>
        <v>0</v>
      </c>
      <c r="AB79" s="2" t="b">
        <f>IF(AB78=0,IF(achievement!Y$96*$B79&gt;=1,achievement!Y$97,0))</f>
        <v>0</v>
      </c>
      <c r="AC79" s="2" t="b">
        <f>IF(AC78=0,IF(achievement!Z$96*$B79&gt;=1,achievement!Z$97,0))</f>
        <v>0</v>
      </c>
      <c r="AD79" s="2" t="b">
        <f>IF(AD78=0,IF(achievement!AA$96*$B79&gt;=1,achievement!AA$97,0))</f>
        <v>0</v>
      </c>
      <c r="AE79" s="2" t="b">
        <f>IF(AE78=0,IF(achievement!AB$96*$B79&gt;=1,achievement!AB$97,0))</f>
        <v>0</v>
      </c>
      <c r="AF79" s="2" t="b">
        <f>IF(AF78=0,IF(achievement!AC$96*$B79&gt;=1,achievement!AC$97,0))</f>
        <v>0</v>
      </c>
      <c r="AG79" s="2" t="b">
        <f>IF(AG78=0,IF(achievement!AD$96*$B79&gt;=1,achievement!AD$97,0))</f>
        <v>0</v>
      </c>
      <c r="AH79" s="2" t="b">
        <f>IF(AH78=0,IF(achievement!AE$96*$B79&gt;=1,achievement!AE$97,0))</f>
        <v>0</v>
      </c>
      <c r="AI79" s="2" t="b">
        <f>IF(AI78=0,IF(achievement!AF$96*$B79&gt;=1,achievement!AF$97,0))</f>
        <v>0</v>
      </c>
      <c r="AJ79" s="2" t="b">
        <f>IF(AJ78=0,IF(achievement!AG$96*$B79&gt;=1,achievement!AG$97,0))</f>
        <v>0</v>
      </c>
      <c r="AK79" s="2" t="b">
        <f>IF(AK78=0,IF(achievement!AH$96*$B79&gt;=1,achievement!AH$97,0))</f>
        <v>0</v>
      </c>
      <c r="AL79" s="2" t="b">
        <f>IF(AL78=0,IF(achievement!AI$96*$B79&gt;=1,achievement!AI$97,0))</f>
        <v>0</v>
      </c>
      <c r="AM79" s="2" t="b">
        <f>IF(AM78=0,IF(achievement!AJ$96*$B79&gt;=1,achievement!AJ$97,0))</f>
        <v>0</v>
      </c>
      <c r="AN79" s="2" t="b">
        <f>IF(AN78=0,IF(achievement!AK$96*$B79&gt;=1,achievement!AK$97,0))</f>
        <v>0</v>
      </c>
      <c r="AO79" s="2" t="b">
        <f>IF(AO78=0,IF(achievement!AL$96*$B79&gt;=1,achievement!AL$97,0))</f>
        <v>0</v>
      </c>
      <c r="AP79" s="2" t="b">
        <f>IF(AP78=0,IF(achievement!AM$96*$B79&gt;=1,achievement!AM$97,0))</f>
        <v>0</v>
      </c>
      <c r="AQ79" s="2" t="b">
        <f>IF(AQ78=0,IF(achievement!AN$96*$B79&gt;=1,achievement!AN$97,0))</f>
        <v>0</v>
      </c>
      <c r="AR79" s="2" t="b">
        <f>IF(AR78=0,IF(achievement!AO$96*$B79&gt;=1,achievement!AO$97,0))</f>
        <v>0</v>
      </c>
      <c r="AS79" s="2" t="b">
        <f>IF(AS78=0,IF(achievement!AP$96*$B79&gt;=1,achievement!AP$97,0))</f>
        <v>0</v>
      </c>
      <c r="AT79" s="2" t="b">
        <f>IF(AT78=0,IF(achievement!AQ$96*$B79&gt;=1,achievement!AQ$97,0))</f>
        <v>0</v>
      </c>
      <c r="AU79" s="2" t="b">
        <f>IF(AU78=0,IF(achievement!AR$96*$B79&gt;=1,achievement!AR$97,0))</f>
        <v>0</v>
      </c>
      <c r="AV79" s="2" t="b">
        <f>IF(AV78=0,IF(achievement!AS$96*$B79&gt;=1,achievement!AS$97,0))</f>
        <v>0</v>
      </c>
      <c r="AW79" s="2"/>
      <c r="AX79" s="2"/>
      <c r="AY79" s="2"/>
    </row>
    <row r="80" s="1" customFormat="1" ht="18" customHeight="1" spans="2:51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484</v>
      </c>
      <c r="G80" s="2">
        <f t="shared" si="4"/>
        <v>0</v>
      </c>
      <c r="H80" s="2">
        <f t="shared" si="3"/>
        <v>2327</v>
      </c>
      <c r="I80" s="2" t="b">
        <f>IF(I79=0,IF($B80&gt;=achievement!F$96,achievement!F$97,0))</f>
        <v>0</v>
      </c>
      <c r="J80" s="2" t="b">
        <f>IF(J79=0,IF($B80&gt;=achievement!G$96,achievement!G$97,0))</f>
        <v>0</v>
      </c>
      <c r="K80" s="2" t="b">
        <f>IF(K79=0,IF($B80&gt;=achievement!H$96,achievement!H$97,0))</f>
        <v>0</v>
      </c>
      <c r="L80" s="2" t="b">
        <f>IF(L79=0,IF($B80&gt;=achievement!I$96,achievement!I$97,0))</f>
        <v>0</v>
      </c>
      <c r="M80" s="2">
        <f>IF(M79=0,IF($B80&gt;=achievement!J$96,achievement!J$97,0))</f>
        <v>0</v>
      </c>
      <c r="N80" s="2">
        <f>IF(N79=0,IF($B80&gt;=achievement!K$96,achievement!K$97,0))</f>
        <v>0</v>
      </c>
      <c r="O80" s="2">
        <f>IF(O79=0,IF($B80&gt;=achievement!L$96,achievement!L$97,0))</f>
        <v>0</v>
      </c>
      <c r="P80" s="2" t="b">
        <f>IF(P79=0,IF(achievement!M$96*$B80&gt;=1,achievement!M$97,0))</f>
        <v>0</v>
      </c>
      <c r="Q80" s="2" t="b">
        <f>IF(Q79=0,IF(achievement!N$96*$B80&gt;=1,achievement!N$97,0))</f>
        <v>0</v>
      </c>
      <c r="R80" s="2" t="b">
        <f>IF(R79=0,IF(achievement!O$96*$B80&gt;=1,achievement!O$97,0))</f>
        <v>0</v>
      </c>
      <c r="S80" s="2" t="b">
        <f>IF(S79=0,IF(achievement!P$96*$B80&gt;=1,achievement!P$97,0))</f>
        <v>0</v>
      </c>
      <c r="T80" s="2" t="b">
        <f>IF(T79=0,IF(achievement!Q$96*$B80&gt;=1,achievement!Q$97,0))</f>
        <v>0</v>
      </c>
      <c r="U80" s="2" t="b">
        <f>IF(U79=0,IF(achievement!R$96*$B80&gt;=1,achievement!R$97,0))</f>
        <v>0</v>
      </c>
      <c r="V80" s="2" t="b">
        <f>IF(V79=0,IF(achievement!S$96*$B80&gt;=1,achievement!S$97,0))</f>
        <v>0</v>
      </c>
      <c r="W80" s="2" t="b">
        <f>IF(W79=0,IF(achievement!T$96*$B80&gt;=1,achievement!T$97,0))</f>
        <v>0</v>
      </c>
      <c r="X80" s="2" t="b">
        <f>IF(X79=0,IF(achievement!U$96*$B80&gt;=1,achievement!U$97,0))</f>
        <v>0</v>
      </c>
      <c r="Y80" s="2" t="b">
        <f>IF(Y79=0,IF(achievement!V$96*$B80&gt;=1,achievement!V$97,0))</f>
        <v>0</v>
      </c>
      <c r="Z80" s="2" t="b">
        <f>IF(Z79=0,IF(achievement!W$96*$B80&gt;=1,achievement!W$97,0))</f>
        <v>0</v>
      </c>
      <c r="AA80" s="2" t="b">
        <f>IF(AA79=0,IF(achievement!X$96*$B80&gt;=1,achievement!X$97,0))</f>
        <v>0</v>
      </c>
      <c r="AB80" s="2" t="b">
        <f>IF(AB79=0,IF(achievement!Y$96*$B80&gt;=1,achievement!Y$97,0))</f>
        <v>0</v>
      </c>
      <c r="AC80" s="2" t="b">
        <f>IF(AC79=0,IF(achievement!Z$96*$B80&gt;=1,achievement!Z$97,0))</f>
        <v>0</v>
      </c>
      <c r="AD80" s="2" t="b">
        <f>IF(AD79=0,IF(achievement!AA$96*$B80&gt;=1,achievement!AA$97,0))</f>
        <v>0</v>
      </c>
      <c r="AE80" s="2" t="b">
        <f>IF(AE79=0,IF(achievement!AB$96*$B80&gt;=1,achievement!AB$97,0))</f>
        <v>0</v>
      </c>
      <c r="AF80" s="2" t="b">
        <f>IF(AF79=0,IF(achievement!AC$96*$B80&gt;=1,achievement!AC$97,0))</f>
        <v>0</v>
      </c>
      <c r="AG80" s="2" t="b">
        <f>IF(AG79=0,IF(achievement!AD$96*$B80&gt;=1,achievement!AD$97,0))</f>
        <v>0</v>
      </c>
      <c r="AH80" s="2" t="b">
        <f>IF(AH79=0,IF(achievement!AE$96*$B80&gt;=1,achievement!AE$97,0))</f>
        <v>0</v>
      </c>
      <c r="AI80" s="2" t="b">
        <f>IF(AI79=0,IF(achievement!AF$96*$B80&gt;=1,achievement!AF$97,0))</f>
        <v>0</v>
      </c>
      <c r="AJ80" s="2" t="b">
        <f>IF(AJ79=0,IF(achievement!AG$96*$B80&gt;=1,achievement!AG$97,0))</f>
        <v>0</v>
      </c>
      <c r="AK80" s="2" t="b">
        <f>IF(AK79=0,IF(achievement!AH$96*$B80&gt;=1,achievement!AH$97,0))</f>
        <v>0</v>
      </c>
      <c r="AL80" s="2" t="b">
        <f>IF(AL79=0,IF(achievement!AI$96*$B80&gt;=1,achievement!AI$97,0))</f>
        <v>0</v>
      </c>
      <c r="AM80" s="2" t="b">
        <f>IF(AM79=0,IF(achievement!AJ$96*$B80&gt;=1,achievement!AJ$97,0))</f>
        <v>0</v>
      </c>
      <c r="AN80" s="2" t="b">
        <f>IF(AN79=0,IF(achievement!AK$96*$B80&gt;=1,achievement!AK$97,0))</f>
        <v>0</v>
      </c>
      <c r="AO80" s="2" t="b">
        <f>IF(AO79=0,IF(achievement!AL$96*$B80&gt;=1,achievement!AL$97,0))</f>
        <v>0</v>
      </c>
      <c r="AP80" s="2" t="b">
        <f>IF(AP79=0,IF(achievement!AM$96*$B80&gt;=1,achievement!AM$97,0))</f>
        <v>0</v>
      </c>
      <c r="AQ80" s="2" t="b">
        <f>IF(AQ79=0,IF(achievement!AN$96*$B80&gt;=1,achievement!AN$97,0))</f>
        <v>0</v>
      </c>
      <c r="AR80" s="2" t="b">
        <f>IF(AR79=0,IF(achievement!AO$96*$B80&gt;=1,achievement!AO$97,0))</f>
        <v>0</v>
      </c>
      <c r="AS80" s="2" t="b">
        <f>IF(AS79=0,IF(achievement!AP$96*$B80&gt;=1,achievement!AP$97,0))</f>
        <v>0</v>
      </c>
      <c r="AT80" s="2" t="b">
        <f>IF(AT79=0,IF(achievement!AQ$96*$B80&gt;=1,achievement!AQ$97,0))</f>
        <v>0</v>
      </c>
      <c r="AU80" s="2" t="b">
        <f>IF(AU79=0,IF(achievement!AR$96*$B80&gt;=1,achievement!AR$97,0))</f>
        <v>0</v>
      </c>
      <c r="AV80" s="2" t="b">
        <f>IF(AV79=0,IF(achievement!AS$96*$B80&gt;=1,achievement!AS$97,0))</f>
        <v>0</v>
      </c>
      <c r="AW80" s="2"/>
      <c r="AX80" s="2"/>
      <c r="AY80" s="2"/>
    </row>
    <row r="81" s="1" customFormat="1" ht="18" customHeight="1" spans="2:51">
      <c r="B81" s="2">
        <v>56</v>
      </c>
      <c r="C81" s="2">
        <f t="shared" si="0"/>
        <v>56000</v>
      </c>
      <c r="D81" s="2">
        <f>ROUND($C$8*$C$5+$C$8*$C$4*(1-$L$5),0)</f>
        <v>88</v>
      </c>
      <c r="E81" s="2">
        <f t="shared" si="1"/>
        <v>4928</v>
      </c>
      <c r="F81" s="2">
        <f>ROUND(E81*VLOOKUP($B$10,总产出!$T$4:$U$14,2,FALSE),0)</f>
        <v>493</v>
      </c>
      <c r="G81" s="2">
        <f t="shared" si="4"/>
        <v>0</v>
      </c>
      <c r="H81" s="2">
        <f t="shared" si="3"/>
        <v>2327</v>
      </c>
      <c r="I81" s="2" t="b">
        <f>IF(I80=0,IF($B81&gt;=achievement!F$96,achievement!F$97,0))</f>
        <v>0</v>
      </c>
      <c r="J81" s="2" t="b">
        <f>IF(J80=0,IF($B81&gt;=achievement!G$96,achievement!G$97,0))</f>
        <v>0</v>
      </c>
      <c r="K81" s="2" t="b">
        <f>IF(K80=0,IF($B81&gt;=achievement!H$96,achievement!H$97,0))</f>
        <v>0</v>
      </c>
      <c r="L81" s="2" t="b">
        <f>IF(L80=0,IF($B81&gt;=achievement!I$96,achievement!I$97,0))</f>
        <v>0</v>
      </c>
      <c r="M81" s="2">
        <f>IF(M80=0,IF($B81&gt;=achievement!J$96,achievement!J$97,0))</f>
        <v>0</v>
      </c>
      <c r="N81" s="2">
        <f>IF(N80=0,IF($B81&gt;=achievement!K$96,achievement!K$97,0))</f>
        <v>0</v>
      </c>
      <c r="O81" s="2">
        <f>IF(O80=0,IF($B81&gt;=achievement!L$96,achievement!L$97,0))</f>
        <v>0</v>
      </c>
      <c r="P81" s="2" t="b">
        <f>IF(P80=0,IF(achievement!M$96*$B81&gt;=1,achievement!M$97,0))</f>
        <v>0</v>
      </c>
      <c r="Q81" s="2" t="b">
        <f>IF(Q80=0,IF(achievement!N$96*$B81&gt;=1,achievement!N$97,0))</f>
        <v>0</v>
      </c>
      <c r="R81" s="2" t="b">
        <f>IF(R80=0,IF(achievement!O$96*$B81&gt;=1,achievement!O$97,0))</f>
        <v>0</v>
      </c>
      <c r="S81" s="2" t="b">
        <f>IF(S80=0,IF(achievement!P$96*$B81&gt;=1,achievement!P$97,0))</f>
        <v>0</v>
      </c>
      <c r="T81" s="2" t="b">
        <f>IF(T80=0,IF(achievement!Q$96*$B81&gt;=1,achievement!Q$97,0))</f>
        <v>0</v>
      </c>
      <c r="U81" s="2" t="b">
        <f>IF(U80=0,IF(achievement!R$96*$B81&gt;=1,achievement!R$97,0))</f>
        <v>0</v>
      </c>
      <c r="V81" s="2" t="b">
        <f>IF(V80=0,IF(achievement!S$96*$B81&gt;=1,achievement!S$97,0))</f>
        <v>0</v>
      </c>
      <c r="W81" s="2" t="b">
        <f>IF(W80=0,IF(achievement!T$96*$B81&gt;=1,achievement!T$97,0))</f>
        <v>0</v>
      </c>
      <c r="X81" s="2" t="b">
        <f>IF(X80=0,IF(achievement!U$96*$B81&gt;=1,achievement!U$97,0))</f>
        <v>0</v>
      </c>
      <c r="Y81" s="2" t="b">
        <f>IF(Y80=0,IF(achievement!V$96*$B81&gt;=1,achievement!V$97,0))</f>
        <v>0</v>
      </c>
      <c r="Z81" s="2" t="b">
        <f>IF(Z80=0,IF(achievement!W$96*$B81&gt;=1,achievement!W$97,0))</f>
        <v>0</v>
      </c>
      <c r="AA81" s="2" t="b">
        <f>IF(AA80=0,IF(achievement!X$96*$B81&gt;=1,achievement!X$97,0))</f>
        <v>0</v>
      </c>
      <c r="AB81" s="2" t="b">
        <f>IF(AB80=0,IF(achievement!Y$96*$B81&gt;=1,achievement!Y$97,0))</f>
        <v>0</v>
      </c>
      <c r="AC81" s="2" t="b">
        <f>IF(AC80=0,IF(achievement!Z$96*$B81&gt;=1,achievement!Z$97,0))</f>
        <v>0</v>
      </c>
      <c r="AD81" s="2" t="b">
        <f>IF(AD80=0,IF(achievement!AA$96*$B81&gt;=1,achievement!AA$97,0))</f>
        <v>0</v>
      </c>
      <c r="AE81" s="2" t="b">
        <f>IF(AE80=0,IF(achievement!AB$96*$B81&gt;=1,achievement!AB$97,0))</f>
        <v>0</v>
      </c>
      <c r="AF81" s="2" t="b">
        <f>IF(AF80=0,IF(achievement!AC$96*$B81&gt;=1,achievement!AC$97,0))</f>
        <v>0</v>
      </c>
      <c r="AG81" s="2" t="b">
        <f>IF(AG80=0,IF(achievement!AD$96*$B81&gt;=1,achievement!AD$97,0))</f>
        <v>0</v>
      </c>
      <c r="AH81" s="2" t="b">
        <f>IF(AH80=0,IF(achievement!AE$96*$B81&gt;=1,achievement!AE$97,0))</f>
        <v>0</v>
      </c>
      <c r="AI81" s="2" t="b">
        <f>IF(AI80=0,IF(achievement!AF$96*$B81&gt;=1,achievement!AF$97,0))</f>
        <v>0</v>
      </c>
      <c r="AJ81" s="2" t="b">
        <f>IF(AJ80=0,IF(achievement!AG$96*$B81&gt;=1,achievement!AG$97,0))</f>
        <v>0</v>
      </c>
      <c r="AK81" s="2" t="b">
        <f>IF(AK80=0,IF(achievement!AH$96*$B81&gt;=1,achievement!AH$97,0))</f>
        <v>0</v>
      </c>
      <c r="AL81" s="2" t="b">
        <f>IF(AL80=0,IF(achievement!AI$96*$B81&gt;=1,achievement!AI$97,0))</f>
        <v>0</v>
      </c>
      <c r="AM81" s="2" t="b">
        <f>IF(AM80=0,IF(achievement!AJ$96*$B81&gt;=1,achievement!AJ$97,0))</f>
        <v>0</v>
      </c>
      <c r="AN81" s="2" t="b">
        <f>IF(AN80=0,IF(achievement!AK$96*$B81&gt;=1,achievement!AK$97,0))</f>
        <v>0</v>
      </c>
      <c r="AO81" s="2" t="b">
        <f>IF(AO80=0,IF(achievement!AL$96*$B81&gt;=1,achievement!AL$97,0))</f>
        <v>0</v>
      </c>
      <c r="AP81" s="2" t="b">
        <f>IF(AP80=0,IF(achievement!AM$96*$B81&gt;=1,achievement!AM$97,0))</f>
        <v>0</v>
      </c>
      <c r="AQ81" s="2" t="b">
        <f>IF(AQ80=0,IF(achievement!AN$96*$B81&gt;=1,achievement!AN$97,0))</f>
        <v>0</v>
      </c>
      <c r="AR81" s="2" t="b">
        <f>IF(AR80=0,IF(achievement!AO$96*$B81&gt;=1,achievement!AO$97,0))</f>
        <v>0</v>
      </c>
      <c r="AS81" s="2" t="b">
        <f>IF(AS80=0,IF(achievement!AP$96*$B81&gt;=1,achievement!AP$97,0))</f>
        <v>0</v>
      </c>
      <c r="AT81" s="2" t="b">
        <f>IF(AT80=0,IF(achievement!AQ$96*$B81&gt;=1,achievement!AQ$97,0))</f>
        <v>0</v>
      </c>
      <c r="AU81" s="2" t="b">
        <f>IF(AU80=0,IF(achievement!AR$96*$B81&gt;=1,achievement!AR$97,0))</f>
        <v>0</v>
      </c>
      <c r="AV81" s="2" t="b">
        <f>IF(AV80=0,IF(achievement!AS$96*$B81&gt;=1,achievement!AS$97,0))</f>
        <v>0</v>
      </c>
      <c r="AW81" s="2"/>
      <c r="AX81" s="2"/>
      <c r="AY81" s="2"/>
    </row>
    <row r="82" s="1" customFormat="1" ht="18" customHeight="1" spans="2:51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502</v>
      </c>
      <c r="G82" s="2">
        <f t="shared" si="4"/>
        <v>0</v>
      </c>
      <c r="H82" s="2">
        <f t="shared" si="3"/>
        <v>2327</v>
      </c>
      <c r="I82" s="2" t="b">
        <f>IF(I81=0,IF($B82&gt;=achievement!F$96,achievement!F$97,0))</f>
        <v>0</v>
      </c>
      <c r="J82" s="2" t="b">
        <f>IF(J81=0,IF($B82&gt;=achievement!G$96,achievement!G$97,0))</f>
        <v>0</v>
      </c>
      <c r="K82" s="2" t="b">
        <f>IF(K81=0,IF($B82&gt;=achievement!H$96,achievement!H$97,0))</f>
        <v>0</v>
      </c>
      <c r="L82" s="2" t="b">
        <f>IF(L81=0,IF($B82&gt;=achievement!I$96,achievement!I$97,0))</f>
        <v>0</v>
      </c>
      <c r="M82" s="2">
        <f>IF(M81=0,IF($B82&gt;=achievement!J$96,achievement!J$97,0))</f>
        <v>0</v>
      </c>
      <c r="N82" s="2">
        <f>IF(N81=0,IF($B82&gt;=achievement!K$96,achievement!K$97,0))</f>
        <v>0</v>
      </c>
      <c r="O82" s="2">
        <f>IF(O81=0,IF($B82&gt;=achievement!L$96,achievement!L$97,0))</f>
        <v>0</v>
      </c>
      <c r="P82" s="2" t="b">
        <f>IF(P81=0,IF(achievement!M$96*$B82&gt;=1,achievement!M$97,0))</f>
        <v>0</v>
      </c>
      <c r="Q82" s="2" t="b">
        <f>IF(Q81=0,IF(achievement!N$96*$B82&gt;=1,achievement!N$97,0))</f>
        <v>0</v>
      </c>
      <c r="R82" s="2" t="b">
        <f>IF(R81=0,IF(achievement!O$96*$B82&gt;=1,achievement!O$97,0))</f>
        <v>0</v>
      </c>
      <c r="S82" s="2" t="b">
        <f>IF(S81=0,IF(achievement!P$96*$B82&gt;=1,achievement!P$97,0))</f>
        <v>0</v>
      </c>
      <c r="T82" s="2" t="b">
        <f>IF(T81=0,IF(achievement!Q$96*$B82&gt;=1,achievement!Q$97,0))</f>
        <v>0</v>
      </c>
      <c r="U82" s="2" t="b">
        <f>IF(U81=0,IF(achievement!R$96*$B82&gt;=1,achievement!R$97,0))</f>
        <v>0</v>
      </c>
      <c r="V82" s="2" t="b">
        <f>IF(V81=0,IF(achievement!S$96*$B82&gt;=1,achievement!S$97,0))</f>
        <v>0</v>
      </c>
      <c r="W82" s="2" t="b">
        <f>IF(W81=0,IF(achievement!T$96*$B82&gt;=1,achievement!T$97,0))</f>
        <v>0</v>
      </c>
      <c r="X82" s="2" t="b">
        <f>IF(X81=0,IF(achievement!U$96*$B82&gt;=1,achievement!U$97,0))</f>
        <v>0</v>
      </c>
      <c r="Y82" s="2" t="b">
        <f>IF(Y81=0,IF(achievement!V$96*$B82&gt;=1,achievement!V$97,0))</f>
        <v>0</v>
      </c>
      <c r="Z82" s="2" t="b">
        <f>IF(Z81=0,IF(achievement!W$96*$B82&gt;=1,achievement!W$97,0))</f>
        <v>0</v>
      </c>
      <c r="AA82" s="2" t="b">
        <f>IF(AA81=0,IF(achievement!X$96*$B82&gt;=1,achievement!X$97,0))</f>
        <v>0</v>
      </c>
      <c r="AB82" s="2" t="b">
        <f>IF(AB81=0,IF(achievement!Y$96*$B82&gt;=1,achievement!Y$97,0))</f>
        <v>0</v>
      </c>
      <c r="AC82" s="2" t="b">
        <f>IF(AC81=0,IF(achievement!Z$96*$B82&gt;=1,achievement!Z$97,0))</f>
        <v>0</v>
      </c>
      <c r="AD82" s="2" t="b">
        <f>IF(AD81=0,IF(achievement!AA$96*$B82&gt;=1,achievement!AA$97,0))</f>
        <v>0</v>
      </c>
      <c r="AE82" s="2" t="b">
        <f>IF(AE81=0,IF(achievement!AB$96*$B82&gt;=1,achievement!AB$97,0))</f>
        <v>0</v>
      </c>
      <c r="AF82" s="2" t="b">
        <f>IF(AF81=0,IF(achievement!AC$96*$B82&gt;=1,achievement!AC$97,0))</f>
        <v>0</v>
      </c>
      <c r="AG82" s="2" t="b">
        <f>IF(AG81=0,IF(achievement!AD$96*$B82&gt;=1,achievement!AD$97,0))</f>
        <v>0</v>
      </c>
      <c r="AH82" s="2" t="b">
        <f>IF(AH81=0,IF(achievement!AE$96*$B82&gt;=1,achievement!AE$97,0))</f>
        <v>0</v>
      </c>
      <c r="AI82" s="2" t="b">
        <f>IF(AI81=0,IF(achievement!AF$96*$B82&gt;=1,achievement!AF$97,0))</f>
        <v>0</v>
      </c>
      <c r="AJ82" s="2" t="b">
        <f>IF(AJ81=0,IF(achievement!AG$96*$B82&gt;=1,achievement!AG$97,0))</f>
        <v>0</v>
      </c>
      <c r="AK82" s="2" t="b">
        <f>IF(AK81=0,IF(achievement!AH$96*$B82&gt;=1,achievement!AH$97,0))</f>
        <v>0</v>
      </c>
      <c r="AL82" s="2" t="b">
        <f>IF(AL81=0,IF(achievement!AI$96*$B82&gt;=1,achievement!AI$97,0))</f>
        <v>0</v>
      </c>
      <c r="AM82" s="2" t="b">
        <f>IF(AM81=0,IF(achievement!AJ$96*$B82&gt;=1,achievement!AJ$97,0))</f>
        <v>0</v>
      </c>
      <c r="AN82" s="2" t="b">
        <f>IF(AN81=0,IF(achievement!AK$96*$B82&gt;=1,achievement!AK$97,0))</f>
        <v>0</v>
      </c>
      <c r="AO82" s="2" t="b">
        <f>IF(AO81=0,IF(achievement!AL$96*$B82&gt;=1,achievement!AL$97,0))</f>
        <v>0</v>
      </c>
      <c r="AP82" s="2" t="b">
        <f>IF(AP81=0,IF(achievement!AM$96*$B82&gt;=1,achievement!AM$97,0))</f>
        <v>0</v>
      </c>
      <c r="AQ82" s="2" t="b">
        <f>IF(AQ81=0,IF(achievement!AN$96*$B82&gt;=1,achievement!AN$97,0))</f>
        <v>0</v>
      </c>
      <c r="AR82" s="2" t="b">
        <f>IF(AR81=0,IF(achievement!AO$96*$B82&gt;=1,achievement!AO$97,0))</f>
        <v>0</v>
      </c>
      <c r="AS82" s="2" t="b">
        <f>IF(AS81=0,IF(achievement!AP$96*$B82&gt;=1,achievement!AP$97,0))</f>
        <v>0</v>
      </c>
      <c r="AT82" s="2" t="b">
        <f>IF(AT81=0,IF(achievement!AQ$96*$B82&gt;=1,achievement!AQ$97,0))</f>
        <v>0</v>
      </c>
      <c r="AU82" s="2" t="b">
        <f>IF(AU81=0,IF(achievement!AR$96*$B82&gt;=1,achievement!AR$97,0))</f>
        <v>0</v>
      </c>
      <c r="AV82" s="2" t="b">
        <f>IF(AV81=0,IF(achievement!AS$96*$B82&gt;=1,achievement!AS$97,0))</f>
        <v>0</v>
      </c>
      <c r="AW82" s="2"/>
      <c r="AX82" s="2"/>
      <c r="AY82" s="2"/>
    </row>
    <row r="83" s="1" customFormat="1" ht="18" customHeight="1" spans="2:51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510</v>
      </c>
      <c r="G83" s="2">
        <f t="shared" si="4"/>
        <v>0</v>
      </c>
      <c r="H83" s="2">
        <f t="shared" si="3"/>
        <v>2327</v>
      </c>
      <c r="I83" s="2" t="b">
        <f>IF(I82=0,IF($B83&gt;=achievement!F$96,achievement!F$97,0))</f>
        <v>0</v>
      </c>
      <c r="J83" s="2" t="b">
        <f>IF(J82=0,IF($B83&gt;=achievement!G$96,achievement!G$97,0))</f>
        <v>0</v>
      </c>
      <c r="K83" s="2" t="b">
        <f>IF(K82=0,IF($B83&gt;=achievement!H$96,achievement!H$97,0))</f>
        <v>0</v>
      </c>
      <c r="L83" s="2" t="b">
        <f>IF(L82=0,IF($B83&gt;=achievement!I$96,achievement!I$97,0))</f>
        <v>0</v>
      </c>
      <c r="M83" s="2">
        <f>IF(M82=0,IF($B83&gt;=achievement!J$96,achievement!J$97,0))</f>
        <v>0</v>
      </c>
      <c r="N83" s="2">
        <f>IF(N82=0,IF($B83&gt;=achievement!K$96,achievement!K$97,0))</f>
        <v>0</v>
      </c>
      <c r="O83" s="2">
        <f>IF(O82=0,IF($B83&gt;=achievement!L$96,achievement!L$97,0))</f>
        <v>0</v>
      </c>
      <c r="P83" s="2" t="b">
        <f>IF(P82=0,IF(achievement!M$96*$B83&gt;=1,achievement!M$97,0))</f>
        <v>0</v>
      </c>
      <c r="Q83" s="2" t="b">
        <f>IF(Q82=0,IF(achievement!N$96*$B83&gt;=1,achievement!N$97,0))</f>
        <v>0</v>
      </c>
      <c r="R83" s="2" t="b">
        <f>IF(R82=0,IF(achievement!O$96*$B83&gt;=1,achievement!O$97,0))</f>
        <v>0</v>
      </c>
      <c r="S83" s="2" t="b">
        <f>IF(S82=0,IF(achievement!P$96*$B83&gt;=1,achievement!P$97,0))</f>
        <v>0</v>
      </c>
      <c r="T83" s="2" t="b">
        <f>IF(T82=0,IF(achievement!Q$96*$B83&gt;=1,achievement!Q$97,0))</f>
        <v>0</v>
      </c>
      <c r="U83" s="2" t="b">
        <f>IF(U82=0,IF(achievement!R$96*$B83&gt;=1,achievement!R$97,0))</f>
        <v>0</v>
      </c>
      <c r="V83" s="2" t="b">
        <f>IF(V82=0,IF(achievement!S$96*$B83&gt;=1,achievement!S$97,0))</f>
        <v>0</v>
      </c>
      <c r="W83" s="2" t="b">
        <f>IF(W82=0,IF(achievement!T$96*$B83&gt;=1,achievement!T$97,0))</f>
        <v>0</v>
      </c>
      <c r="X83" s="2" t="b">
        <f>IF(X82=0,IF(achievement!U$96*$B83&gt;=1,achievement!U$97,0))</f>
        <v>0</v>
      </c>
      <c r="Y83" s="2" t="b">
        <f>IF(Y82=0,IF(achievement!V$96*$B83&gt;=1,achievement!V$97,0))</f>
        <v>0</v>
      </c>
      <c r="Z83" s="2" t="b">
        <f>IF(Z82=0,IF(achievement!W$96*$B83&gt;=1,achievement!W$97,0))</f>
        <v>0</v>
      </c>
      <c r="AA83" s="2" t="b">
        <f>IF(AA82=0,IF(achievement!X$96*$B83&gt;=1,achievement!X$97,0))</f>
        <v>0</v>
      </c>
      <c r="AB83" s="2" t="b">
        <f>IF(AB82=0,IF(achievement!Y$96*$B83&gt;=1,achievement!Y$97,0))</f>
        <v>0</v>
      </c>
      <c r="AC83" s="2" t="b">
        <f>IF(AC82=0,IF(achievement!Z$96*$B83&gt;=1,achievement!Z$97,0))</f>
        <v>0</v>
      </c>
      <c r="AD83" s="2" t="b">
        <f>IF(AD82=0,IF(achievement!AA$96*$B83&gt;=1,achievement!AA$97,0))</f>
        <v>0</v>
      </c>
      <c r="AE83" s="2" t="b">
        <f>IF(AE82=0,IF(achievement!AB$96*$B83&gt;=1,achievement!AB$97,0))</f>
        <v>0</v>
      </c>
      <c r="AF83" s="2" t="b">
        <f>IF(AF82=0,IF(achievement!AC$96*$B83&gt;=1,achievement!AC$97,0))</f>
        <v>0</v>
      </c>
      <c r="AG83" s="2" t="b">
        <f>IF(AG82=0,IF(achievement!AD$96*$B83&gt;=1,achievement!AD$97,0))</f>
        <v>0</v>
      </c>
      <c r="AH83" s="2" t="b">
        <f>IF(AH82=0,IF(achievement!AE$96*$B83&gt;=1,achievement!AE$97,0))</f>
        <v>0</v>
      </c>
      <c r="AI83" s="2" t="b">
        <f>IF(AI82=0,IF(achievement!AF$96*$B83&gt;=1,achievement!AF$97,0))</f>
        <v>0</v>
      </c>
      <c r="AJ83" s="2" t="b">
        <f>IF(AJ82=0,IF(achievement!AG$96*$B83&gt;=1,achievement!AG$97,0))</f>
        <v>0</v>
      </c>
      <c r="AK83" s="2" t="b">
        <f>IF(AK82=0,IF(achievement!AH$96*$B83&gt;=1,achievement!AH$97,0))</f>
        <v>0</v>
      </c>
      <c r="AL83" s="2" t="b">
        <f>IF(AL82=0,IF(achievement!AI$96*$B83&gt;=1,achievement!AI$97,0))</f>
        <v>0</v>
      </c>
      <c r="AM83" s="2" t="b">
        <f>IF(AM82=0,IF(achievement!AJ$96*$B83&gt;=1,achievement!AJ$97,0))</f>
        <v>0</v>
      </c>
      <c r="AN83" s="2" t="b">
        <f>IF(AN82=0,IF(achievement!AK$96*$B83&gt;=1,achievement!AK$97,0))</f>
        <v>0</v>
      </c>
      <c r="AO83" s="2" t="b">
        <f>IF(AO82=0,IF(achievement!AL$96*$B83&gt;=1,achievement!AL$97,0))</f>
        <v>0</v>
      </c>
      <c r="AP83" s="2" t="b">
        <f>IF(AP82=0,IF(achievement!AM$96*$B83&gt;=1,achievement!AM$97,0))</f>
        <v>0</v>
      </c>
      <c r="AQ83" s="2" t="b">
        <f>IF(AQ82=0,IF(achievement!AN$96*$B83&gt;=1,achievement!AN$97,0))</f>
        <v>0</v>
      </c>
      <c r="AR83" s="2" t="b">
        <f>IF(AR82=0,IF(achievement!AO$96*$B83&gt;=1,achievement!AO$97,0))</f>
        <v>0</v>
      </c>
      <c r="AS83" s="2" t="b">
        <f>IF(AS82=0,IF(achievement!AP$96*$B83&gt;=1,achievement!AP$97,0))</f>
        <v>0</v>
      </c>
      <c r="AT83" s="2" t="b">
        <f>IF(AT82=0,IF(achievement!AQ$96*$B83&gt;=1,achievement!AQ$97,0))</f>
        <v>0</v>
      </c>
      <c r="AU83" s="2" t="b">
        <f>IF(AU82=0,IF(achievement!AR$96*$B83&gt;=1,achievement!AR$97,0))</f>
        <v>0</v>
      </c>
      <c r="AV83" s="2" t="b">
        <f>IF(AV82=0,IF(achievement!AS$96*$B83&gt;=1,achievement!AS$97,0))</f>
        <v>0</v>
      </c>
      <c r="AW83" s="2"/>
      <c r="AX83" s="2"/>
      <c r="AY83" s="2"/>
    </row>
    <row r="84" s="1" customFormat="1" ht="18" customHeight="1" spans="2:51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519</v>
      </c>
      <c r="G84" s="2">
        <f t="shared" si="4"/>
        <v>0</v>
      </c>
      <c r="H84" s="2">
        <f t="shared" si="3"/>
        <v>2327</v>
      </c>
      <c r="I84" s="2" t="b">
        <f>IF(I83=0,IF($B84&gt;=achievement!F$96,achievement!F$97,0))</f>
        <v>0</v>
      </c>
      <c r="J84" s="2" t="b">
        <f>IF(J83=0,IF($B84&gt;=achievement!G$96,achievement!G$97,0))</f>
        <v>0</v>
      </c>
      <c r="K84" s="2" t="b">
        <f>IF(K83=0,IF($B84&gt;=achievement!H$96,achievement!H$97,0))</f>
        <v>0</v>
      </c>
      <c r="L84" s="2" t="b">
        <f>IF(L83=0,IF($B84&gt;=achievement!I$96,achievement!I$97,0))</f>
        <v>0</v>
      </c>
      <c r="M84" s="2">
        <f>IF(M83=0,IF($B84&gt;=achievement!J$96,achievement!J$97,0))</f>
        <v>0</v>
      </c>
      <c r="N84" s="2">
        <f>IF(N83=0,IF($B84&gt;=achievement!K$96,achievement!K$97,0))</f>
        <v>0</v>
      </c>
      <c r="O84" s="2">
        <f>IF(O83=0,IF($B84&gt;=achievement!L$96,achievement!L$97,0))</f>
        <v>0</v>
      </c>
      <c r="P84" s="2" t="b">
        <f>IF(P83=0,IF(achievement!M$96*$B84&gt;=1,achievement!M$97,0))</f>
        <v>0</v>
      </c>
      <c r="Q84" s="2" t="b">
        <f>IF(Q83=0,IF(achievement!N$96*$B84&gt;=1,achievement!N$97,0))</f>
        <v>0</v>
      </c>
      <c r="R84" s="2" t="b">
        <f>IF(R83=0,IF(achievement!O$96*$B84&gt;=1,achievement!O$97,0))</f>
        <v>0</v>
      </c>
      <c r="S84" s="2" t="b">
        <f>IF(S83=0,IF(achievement!P$96*$B84&gt;=1,achievement!P$97,0))</f>
        <v>0</v>
      </c>
      <c r="T84" s="2" t="b">
        <f>IF(T83=0,IF(achievement!Q$96*$B84&gt;=1,achievement!Q$97,0))</f>
        <v>0</v>
      </c>
      <c r="U84" s="2" t="b">
        <f>IF(U83=0,IF(achievement!R$96*$B84&gt;=1,achievement!R$97,0))</f>
        <v>0</v>
      </c>
      <c r="V84" s="2" t="b">
        <f>IF(V83=0,IF(achievement!S$96*$B84&gt;=1,achievement!S$97,0))</f>
        <v>0</v>
      </c>
      <c r="W84" s="2" t="b">
        <f>IF(W83=0,IF(achievement!T$96*$B84&gt;=1,achievement!T$97,0))</f>
        <v>0</v>
      </c>
      <c r="X84" s="2" t="b">
        <f>IF(X83=0,IF(achievement!U$96*$B84&gt;=1,achievement!U$97,0))</f>
        <v>0</v>
      </c>
      <c r="Y84" s="2" t="b">
        <f>IF(Y83=0,IF(achievement!V$96*$B84&gt;=1,achievement!V$97,0))</f>
        <v>0</v>
      </c>
      <c r="Z84" s="2" t="b">
        <f>IF(Z83=0,IF(achievement!W$96*$B84&gt;=1,achievement!W$97,0))</f>
        <v>0</v>
      </c>
      <c r="AA84" s="2" t="b">
        <f>IF(AA83=0,IF(achievement!X$96*$B84&gt;=1,achievement!X$97,0))</f>
        <v>0</v>
      </c>
      <c r="AB84" s="2" t="b">
        <f>IF(AB83=0,IF(achievement!Y$96*$B84&gt;=1,achievement!Y$97,0))</f>
        <v>0</v>
      </c>
      <c r="AC84" s="2" t="b">
        <f>IF(AC83=0,IF(achievement!Z$96*$B84&gt;=1,achievement!Z$97,0))</f>
        <v>0</v>
      </c>
      <c r="AD84" s="2" t="b">
        <f>IF(AD83=0,IF(achievement!AA$96*$B84&gt;=1,achievement!AA$97,0))</f>
        <v>0</v>
      </c>
      <c r="AE84" s="2" t="b">
        <f>IF(AE83=0,IF(achievement!AB$96*$B84&gt;=1,achievement!AB$97,0))</f>
        <v>0</v>
      </c>
      <c r="AF84" s="2" t="b">
        <f>IF(AF83=0,IF(achievement!AC$96*$B84&gt;=1,achievement!AC$97,0))</f>
        <v>0</v>
      </c>
      <c r="AG84" s="2" t="b">
        <f>IF(AG83=0,IF(achievement!AD$96*$B84&gt;=1,achievement!AD$97,0))</f>
        <v>0</v>
      </c>
      <c r="AH84" s="2" t="b">
        <f>IF(AH83=0,IF(achievement!AE$96*$B84&gt;=1,achievement!AE$97,0))</f>
        <v>0</v>
      </c>
      <c r="AI84" s="2" t="b">
        <f>IF(AI83=0,IF(achievement!AF$96*$B84&gt;=1,achievement!AF$97,0))</f>
        <v>0</v>
      </c>
      <c r="AJ84" s="2" t="b">
        <f>IF(AJ83=0,IF(achievement!AG$96*$B84&gt;=1,achievement!AG$97,0))</f>
        <v>0</v>
      </c>
      <c r="AK84" s="2" t="b">
        <f>IF(AK83=0,IF(achievement!AH$96*$B84&gt;=1,achievement!AH$97,0))</f>
        <v>0</v>
      </c>
      <c r="AL84" s="2" t="b">
        <f>IF(AL83=0,IF(achievement!AI$96*$B84&gt;=1,achievement!AI$97,0))</f>
        <v>0</v>
      </c>
      <c r="AM84" s="2" t="b">
        <f>IF(AM83=0,IF(achievement!AJ$96*$B84&gt;=1,achievement!AJ$97,0))</f>
        <v>0</v>
      </c>
      <c r="AN84" s="2" t="b">
        <f>IF(AN83=0,IF(achievement!AK$96*$B84&gt;=1,achievement!AK$97,0))</f>
        <v>0</v>
      </c>
      <c r="AO84" s="2" t="b">
        <f>IF(AO83=0,IF(achievement!AL$96*$B84&gt;=1,achievement!AL$97,0))</f>
        <v>0</v>
      </c>
      <c r="AP84" s="2" t="b">
        <f>IF(AP83=0,IF(achievement!AM$96*$B84&gt;=1,achievement!AM$97,0))</f>
        <v>0</v>
      </c>
      <c r="AQ84" s="2" t="b">
        <f>IF(AQ83=0,IF(achievement!AN$96*$B84&gt;=1,achievement!AN$97,0))</f>
        <v>0</v>
      </c>
      <c r="AR84" s="2" t="b">
        <f>IF(AR83=0,IF(achievement!AO$96*$B84&gt;=1,achievement!AO$97,0))</f>
        <v>0</v>
      </c>
      <c r="AS84" s="2" t="b">
        <f>IF(AS83=0,IF(achievement!AP$96*$B84&gt;=1,achievement!AP$97,0))</f>
        <v>0</v>
      </c>
      <c r="AT84" s="2" t="b">
        <f>IF(AT83=0,IF(achievement!AQ$96*$B84&gt;=1,achievement!AQ$97,0))</f>
        <v>0</v>
      </c>
      <c r="AU84" s="2" t="b">
        <f>IF(AU83=0,IF(achievement!AR$96*$B84&gt;=1,achievement!AR$97,0))</f>
        <v>0</v>
      </c>
      <c r="AV84" s="2" t="b">
        <f>IF(AV83=0,IF(achievement!AS$96*$B84&gt;=1,achievement!AS$97,0))</f>
        <v>0</v>
      </c>
      <c r="AW84" s="2"/>
      <c r="AX84" s="2"/>
      <c r="AY84" s="2"/>
    </row>
    <row r="85" s="1" customFormat="1" ht="18" customHeight="1" spans="2:51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528</v>
      </c>
      <c r="G85" s="2">
        <f t="shared" si="4"/>
        <v>0</v>
      </c>
      <c r="H85" s="2">
        <f t="shared" si="3"/>
        <v>2327</v>
      </c>
      <c r="I85" s="2" t="b">
        <f>IF(I84=0,IF($B85&gt;=achievement!F$96,achievement!F$97,0))</f>
        <v>0</v>
      </c>
      <c r="J85" s="2" t="b">
        <f>IF(J84=0,IF($B85&gt;=achievement!G$96,achievement!G$97,0))</f>
        <v>0</v>
      </c>
      <c r="K85" s="2" t="b">
        <f>IF(K84=0,IF($B85&gt;=achievement!H$96,achievement!H$97,0))</f>
        <v>0</v>
      </c>
      <c r="L85" s="2" t="b">
        <f>IF(L84=0,IF($B85&gt;=achievement!I$96,achievement!I$97,0))</f>
        <v>0</v>
      </c>
      <c r="M85" s="2">
        <f>IF(M84=0,IF($B85&gt;=achievement!J$96,achievement!J$97,0))</f>
        <v>0</v>
      </c>
      <c r="N85" s="2">
        <f>IF(N84=0,IF($B85&gt;=achievement!K$96,achievement!K$97,0))</f>
        <v>0</v>
      </c>
      <c r="O85" s="2">
        <f>IF(O84=0,IF($B85&gt;=achievement!L$96,achievement!L$97,0))</f>
        <v>0</v>
      </c>
      <c r="P85" s="2" t="b">
        <f>IF(P84=0,IF(achievement!M$96*$B85&gt;=1,achievement!M$97,0))</f>
        <v>0</v>
      </c>
      <c r="Q85" s="2" t="b">
        <f>IF(Q84=0,IF(achievement!N$96*$B85&gt;=1,achievement!N$97,0))</f>
        <v>0</v>
      </c>
      <c r="R85" s="2" t="b">
        <f>IF(R84=0,IF(achievement!O$96*$B85&gt;=1,achievement!O$97,0))</f>
        <v>0</v>
      </c>
      <c r="S85" s="2" t="b">
        <f>IF(S84=0,IF(achievement!P$96*$B85&gt;=1,achievement!P$97,0))</f>
        <v>0</v>
      </c>
      <c r="T85" s="2" t="b">
        <f>IF(T84=0,IF(achievement!Q$96*$B85&gt;=1,achievement!Q$97,0))</f>
        <v>0</v>
      </c>
      <c r="U85" s="2" t="b">
        <f>IF(U84=0,IF(achievement!R$96*$B85&gt;=1,achievement!R$97,0))</f>
        <v>0</v>
      </c>
      <c r="V85" s="2" t="b">
        <f>IF(V84=0,IF(achievement!S$96*$B85&gt;=1,achievement!S$97,0))</f>
        <v>0</v>
      </c>
      <c r="W85" s="2" t="b">
        <f>IF(W84=0,IF(achievement!T$96*$B85&gt;=1,achievement!T$97,0))</f>
        <v>0</v>
      </c>
      <c r="X85" s="2" t="b">
        <f>IF(X84=0,IF(achievement!U$96*$B85&gt;=1,achievement!U$97,0))</f>
        <v>0</v>
      </c>
      <c r="Y85" s="2" t="b">
        <f>IF(Y84=0,IF(achievement!V$96*$B85&gt;=1,achievement!V$97,0))</f>
        <v>0</v>
      </c>
      <c r="Z85" s="2" t="b">
        <f>IF(Z84=0,IF(achievement!W$96*$B85&gt;=1,achievement!W$97,0))</f>
        <v>0</v>
      </c>
      <c r="AA85" s="2" t="b">
        <f>IF(AA84=0,IF(achievement!X$96*$B85&gt;=1,achievement!X$97,0))</f>
        <v>0</v>
      </c>
      <c r="AB85" s="2" t="b">
        <f>IF(AB84=0,IF(achievement!Y$96*$B85&gt;=1,achievement!Y$97,0))</f>
        <v>0</v>
      </c>
      <c r="AC85" s="2" t="b">
        <f>IF(AC84=0,IF(achievement!Z$96*$B85&gt;=1,achievement!Z$97,0))</f>
        <v>0</v>
      </c>
      <c r="AD85" s="2" t="b">
        <f>IF(AD84=0,IF(achievement!AA$96*$B85&gt;=1,achievement!AA$97,0))</f>
        <v>0</v>
      </c>
      <c r="AE85" s="2" t="b">
        <f>IF(AE84=0,IF(achievement!AB$96*$B85&gt;=1,achievement!AB$97,0))</f>
        <v>0</v>
      </c>
      <c r="AF85" s="2" t="b">
        <f>IF(AF84=0,IF(achievement!AC$96*$B85&gt;=1,achievement!AC$97,0))</f>
        <v>0</v>
      </c>
      <c r="AG85" s="2" t="b">
        <f>IF(AG84=0,IF(achievement!AD$96*$B85&gt;=1,achievement!AD$97,0))</f>
        <v>0</v>
      </c>
      <c r="AH85" s="2" t="b">
        <f>IF(AH84=0,IF(achievement!AE$96*$B85&gt;=1,achievement!AE$97,0))</f>
        <v>0</v>
      </c>
      <c r="AI85" s="2" t="b">
        <f>IF(AI84=0,IF(achievement!AF$96*$B85&gt;=1,achievement!AF$97,0))</f>
        <v>0</v>
      </c>
      <c r="AJ85" s="2" t="b">
        <f>IF(AJ84=0,IF(achievement!AG$96*$B85&gt;=1,achievement!AG$97,0))</f>
        <v>0</v>
      </c>
      <c r="AK85" s="2" t="b">
        <f>IF(AK84=0,IF(achievement!AH$96*$B85&gt;=1,achievement!AH$97,0))</f>
        <v>0</v>
      </c>
      <c r="AL85" s="2" t="b">
        <f>IF(AL84=0,IF(achievement!AI$96*$B85&gt;=1,achievement!AI$97,0))</f>
        <v>0</v>
      </c>
      <c r="AM85" s="2" t="b">
        <f>IF(AM84=0,IF(achievement!AJ$96*$B85&gt;=1,achievement!AJ$97,0))</f>
        <v>0</v>
      </c>
      <c r="AN85" s="2" t="b">
        <f>IF(AN84=0,IF(achievement!AK$96*$B85&gt;=1,achievement!AK$97,0))</f>
        <v>0</v>
      </c>
      <c r="AO85" s="2" t="b">
        <f>IF(AO84=0,IF(achievement!AL$96*$B85&gt;=1,achievement!AL$97,0))</f>
        <v>0</v>
      </c>
      <c r="AP85" s="2" t="b">
        <f>IF(AP84=0,IF(achievement!AM$96*$B85&gt;=1,achievement!AM$97,0))</f>
        <v>0</v>
      </c>
      <c r="AQ85" s="2" t="b">
        <f>IF(AQ84=0,IF(achievement!AN$96*$B85&gt;=1,achievement!AN$97,0))</f>
        <v>0</v>
      </c>
      <c r="AR85" s="2" t="b">
        <f>IF(AR84=0,IF(achievement!AO$96*$B85&gt;=1,achievement!AO$97,0))</f>
        <v>0</v>
      </c>
      <c r="AS85" s="2" t="b">
        <f>IF(AS84=0,IF(achievement!AP$96*$B85&gt;=1,achievement!AP$97,0))</f>
        <v>0</v>
      </c>
      <c r="AT85" s="2" t="b">
        <f>IF(AT84=0,IF(achievement!AQ$96*$B85&gt;=1,achievement!AQ$97,0))</f>
        <v>0</v>
      </c>
      <c r="AU85" s="2" t="b">
        <f>IF(AU84=0,IF(achievement!AR$96*$B85&gt;=1,achievement!AR$97,0))</f>
        <v>0</v>
      </c>
      <c r="AV85" s="2" t="b">
        <f>IF(AV84=0,IF(achievement!AS$96*$B85&gt;=1,achievement!AS$97,0))</f>
        <v>0</v>
      </c>
      <c r="AW85" s="2"/>
      <c r="AX85" s="2"/>
      <c r="AY85" s="2"/>
    </row>
    <row r="86" s="1" customFormat="1" ht="18" customHeight="1" spans="2:51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537</v>
      </c>
      <c r="G86" s="2">
        <f t="shared" si="4"/>
        <v>0</v>
      </c>
      <c r="H86" s="2">
        <f t="shared" si="3"/>
        <v>2327</v>
      </c>
      <c r="I86" s="2" t="b">
        <f>IF(I85=0,IF($B86&gt;=achievement!F$96,achievement!F$97,0))</f>
        <v>0</v>
      </c>
      <c r="J86" s="2" t="b">
        <f>IF(J85=0,IF($B86&gt;=achievement!G$96,achievement!G$97,0))</f>
        <v>0</v>
      </c>
      <c r="K86" s="2" t="b">
        <f>IF(K85=0,IF($B86&gt;=achievement!H$96,achievement!H$97,0))</f>
        <v>0</v>
      </c>
      <c r="L86" s="2" t="b">
        <f>IF(L85=0,IF($B86&gt;=achievement!I$96,achievement!I$97,0))</f>
        <v>0</v>
      </c>
      <c r="M86" s="2">
        <f>IF(M85=0,IF($B86&gt;=achievement!J$96,achievement!J$97,0))</f>
        <v>0</v>
      </c>
      <c r="N86" s="2">
        <f>IF(N85=0,IF($B86&gt;=achievement!K$96,achievement!K$97,0))</f>
        <v>0</v>
      </c>
      <c r="O86" s="2">
        <f>IF(O85=0,IF($B86&gt;=achievement!L$96,achievement!L$97,0))</f>
        <v>0</v>
      </c>
      <c r="P86" s="2" t="b">
        <f>IF(P85=0,IF(achievement!M$96*$B86&gt;=1,achievement!M$97,0))</f>
        <v>0</v>
      </c>
      <c r="Q86" s="2" t="b">
        <f>IF(Q85=0,IF(achievement!N$96*$B86&gt;=1,achievement!N$97,0))</f>
        <v>0</v>
      </c>
      <c r="R86" s="2" t="b">
        <f>IF(R85=0,IF(achievement!O$96*$B86&gt;=1,achievement!O$97,0))</f>
        <v>0</v>
      </c>
      <c r="S86" s="2" t="b">
        <f>IF(S85=0,IF(achievement!P$96*$B86&gt;=1,achievement!P$97,0))</f>
        <v>0</v>
      </c>
      <c r="T86" s="2" t="b">
        <f>IF(T85=0,IF(achievement!Q$96*$B86&gt;=1,achievement!Q$97,0))</f>
        <v>0</v>
      </c>
      <c r="U86" s="2" t="b">
        <f>IF(U85=0,IF(achievement!R$96*$B86&gt;=1,achievement!R$97,0))</f>
        <v>0</v>
      </c>
      <c r="V86" s="2" t="b">
        <f>IF(V85=0,IF(achievement!S$96*$B86&gt;=1,achievement!S$97,0))</f>
        <v>0</v>
      </c>
      <c r="W86" s="2" t="b">
        <f>IF(W85=0,IF(achievement!T$96*$B86&gt;=1,achievement!T$97,0))</f>
        <v>0</v>
      </c>
      <c r="X86" s="2" t="b">
        <f>IF(X85=0,IF(achievement!U$96*$B86&gt;=1,achievement!U$97,0))</f>
        <v>0</v>
      </c>
      <c r="Y86" s="2" t="b">
        <f>IF(Y85=0,IF(achievement!V$96*$B86&gt;=1,achievement!V$97,0))</f>
        <v>0</v>
      </c>
      <c r="Z86" s="2" t="b">
        <f>IF(Z85=0,IF(achievement!W$96*$B86&gt;=1,achievement!W$97,0))</f>
        <v>0</v>
      </c>
      <c r="AA86" s="2" t="b">
        <f>IF(AA85=0,IF(achievement!X$96*$B86&gt;=1,achievement!X$97,0))</f>
        <v>0</v>
      </c>
      <c r="AB86" s="2" t="b">
        <f>IF(AB85=0,IF(achievement!Y$96*$B86&gt;=1,achievement!Y$97,0))</f>
        <v>0</v>
      </c>
      <c r="AC86" s="2" t="b">
        <f>IF(AC85=0,IF(achievement!Z$96*$B86&gt;=1,achievement!Z$97,0))</f>
        <v>0</v>
      </c>
      <c r="AD86" s="2" t="b">
        <f>IF(AD85=0,IF(achievement!AA$96*$B86&gt;=1,achievement!AA$97,0))</f>
        <v>0</v>
      </c>
      <c r="AE86" s="2" t="b">
        <f>IF(AE85=0,IF(achievement!AB$96*$B86&gt;=1,achievement!AB$97,0))</f>
        <v>0</v>
      </c>
      <c r="AF86" s="2" t="b">
        <f>IF(AF85=0,IF(achievement!AC$96*$B86&gt;=1,achievement!AC$97,0))</f>
        <v>0</v>
      </c>
      <c r="AG86" s="2" t="b">
        <f>IF(AG85=0,IF(achievement!AD$96*$B86&gt;=1,achievement!AD$97,0))</f>
        <v>0</v>
      </c>
      <c r="AH86" s="2" t="b">
        <f>IF(AH85=0,IF(achievement!AE$96*$B86&gt;=1,achievement!AE$97,0))</f>
        <v>0</v>
      </c>
      <c r="AI86" s="2" t="b">
        <f>IF(AI85=0,IF(achievement!AF$96*$B86&gt;=1,achievement!AF$97,0))</f>
        <v>0</v>
      </c>
      <c r="AJ86" s="2" t="b">
        <f>IF(AJ85=0,IF(achievement!AG$96*$B86&gt;=1,achievement!AG$97,0))</f>
        <v>0</v>
      </c>
      <c r="AK86" s="2" t="b">
        <f>IF(AK85=0,IF(achievement!AH$96*$B86&gt;=1,achievement!AH$97,0))</f>
        <v>0</v>
      </c>
      <c r="AL86" s="2" t="b">
        <f>IF(AL85=0,IF(achievement!AI$96*$B86&gt;=1,achievement!AI$97,0))</f>
        <v>0</v>
      </c>
      <c r="AM86" s="2" t="b">
        <f>IF(AM85=0,IF(achievement!AJ$96*$B86&gt;=1,achievement!AJ$97,0))</f>
        <v>0</v>
      </c>
      <c r="AN86" s="2" t="b">
        <f>IF(AN85=0,IF(achievement!AK$96*$B86&gt;=1,achievement!AK$97,0))</f>
        <v>0</v>
      </c>
      <c r="AO86" s="2" t="b">
        <f>IF(AO85=0,IF(achievement!AL$96*$B86&gt;=1,achievement!AL$97,0))</f>
        <v>0</v>
      </c>
      <c r="AP86" s="2" t="b">
        <f>IF(AP85=0,IF(achievement!AM$96*$B86&gt;=1,achievement!AM$97,0))</f>
        <v>0</v>
      </c>
      <c r="AQ86" s="2" t="b">
        <f>IF(AQ85=0,IF(achievement!AN$96*$B86&gt;=1,achievement!AN$97,0))</f>
        <v>0</v>
      </c>
      <c r="AR86" s="2" t="b">
        <f>IF(AR85=0,IF(achievement!AO$96*$B86&gt;=1,achievement!AO$97,0))</f>
        <v>0</v>
      </c>
      <c r="AS86" s="2" t="b">
        <f>IF(AS85=0,IF(achievement!AP$96*$B86&gt;=1,achievement!AP$97,0))</f>
        <v>0</v>
      </c>
      <c r="AT86" s="2" t="b">
        <f>IF(AT85=0,IF(achievement!AQ$96*$B86&gt;=1,achievement!AQ$97,0))</f>
        <v>0</v>
      </c>
      <c r="AU86" s="2" t="b">
        <f>IF(AU85=0,IF(achievement!AR$96*$B86&gt;=1,achievement!AR$97,0))</f>
        <v>0</v>
      </c>
      <c r="AV86" s="2" t="b">
        <f>IF(AV85=0,IF(achievement!AS$96*$B86&gt;=1,achievement!AS$97,0))</f>
        <v>0</v>
      </c>
      <c r="AW86" s="2"/>
      <c r="AX86" s="2"/>
      <c r="AY86" s="2"/>
    </row>
    <row r="87" s="1" customFormat="1" ht="18" customHeight="1" spans="2:51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546</v>
      </c>
      <c r="G87" s="2">
        <f t="shared" si="4"/>
        <v>0</v>
      </c>
      <c r="H87" s="2">
        <f t="shared" si="3"/>
        <v>2327</v>
      </c>
      <c r="I87" s="2" t="b">
        <f>IF(I86=0,IF($B87&gt;=achievement!F$96,achievement!F$97,0))</f>
        <v>0</v>
      </c>
      <c r="J87" s="2" t="b">
        <f>IF(J86=0,IF($B87&gt;=achievement!G$96,achievement!G$97,0))</f>
        <v>0</v>
      </c>
      <c r="K87" s="2" t="b">
        <f>IF(K86=0,IF($B87&gt;=achievement!H$96,achievement!H$97,0))</f>
        <v>0</v>
      </c>
      <c r="L87" s="2" t="b">
        <f>IF(L86=0,IF($B87&gt;=achievement!I$96,achievement!I$97,0))</f>
        <v>0</v>
      </c>
      <c r="M87" s="2">
        <f>IF(M86=0,IF($B87&gt;=achievement!J$96,achievement!J$97,0))</f>
        <v>0</v>
      </c>
      <c r="N87" s="2">
        <f>IF(N86=0,IF($B87&gt;=achievement!K$96,achievement!K$97,0))</f>
        <v>0</v>
      </c>
      <c r="O87" s="2">
        <f>IF(O86=0,IF($B87&gt;=achievement!L$96,achievement!L$97,0))</f>
        <v>0</v>
      </c>
      <c r="P87" s="2" t="b">
        <f>IF(P86=0,IF(achievement!M$96*$B87&gt;=1,achievement!M$97,0))</f>
        <v>0</v>
      </c>
      <c r="Q87" s="2" t="b">
        <f>IF(Q86=0,IF(achievement!N$96*$B87&gt;=1,achievement!N$97,0))</f>
        <v>0</v>
      </c>
      <c r="R87" s="2" t="b">
        <f>IF(R86=0,IF(achievement!O$96*$B87&gt;=1,achievement!O$97,0))</f>
        <v>0</v>
      </c>
      <c r="S87" s="2" t="b">
        <f>IF(S86=0,IF(achievement!P$96*$B87&gt;=1,achievement!P$97,0))</f>
        <v>0</v>
      </c>
      <c r="T87" s="2" t="b">
        <f>IF(T86=0,IF(achievement!Q$96*$B87&gt;=1,achievement!Q$97,0))</f>
        <v>0</v>
      </c>
      <c r="U87" s="2" t="b">
        <f>IF(U86=0,IF(achievement!R$96*$B87&gt;=1,achievement!R$97,0))</f>
        <v>0</v>
      </c>
      <c r="V87" s="2" t="b">
        <f>IF(V86=0,IF(achievement!S$96*$B87&gt;=1,achievement!S$97,0))</f>
        <v>0</v>
      </c>
      <c r="W87" s="2" t="b">
        <f>IF(W86=0,IF(achievement!T$96*$B87&gt;=1,achievement!T$97,0))</f>
        <v>0</v>
      </c>
      <c r="X87" s="2" t="b">
        <f>IF(X86=0,IF(achievement!U$96*$B87&gt;=1,achievement!U$97,0))</f>
        <v>0</v>
      </c>
      <c r="Y87" s="2" t="b">
        <f>IF(Y86=0,IF(achievement!V$96*$B87&gt;=1,achievement!V$97,0))</f>
        <v>0</v>
      </c>
      <c r="Z87" s="2" t="b">
        <f>IF(Z86=0,IF(achievement!W$96*$B87&gt;=1,achievement!W$97,0))</f>
        <v>0</v>
      </c>
      <c r="AA87" s="2" t="b">
        <f>IF(AA86=0,IF(achievement!X$96*$B87&gt;=1,achievement!X$97,0))</f>
        <v>0</v>
      </c>
      <c r="AB87" s="2" t="b">
        <f>IF(AB86=0,IF(achievement!Y$96*$B87&gt;=1,achievement!Y$97,0))</f>
        <v>0</v>
      </c>
      <c r="AC87" s="2" t="b">
        <f>IF(AC86=0,IF(achievement!Z$96*$B87&gt;=1,achievement!Z$97,0))</f>
        <v>0</v>
      </c>
      <c r="AD87" s="2" t="b">
        <f>IF(AD86=0,IF(achievement!AA$96*$B87&gt;=1,achievement!AA$97,0))</f>
        <v>0</v>
      </c>
      <c r="AE87" s="2" t="b">
        <f>IF(AE86=0,IF(achievement!AB$96*$B87&gt;=1,achievement!AB$97,0))</f>
        <v>0</v>
      </c>
      <c r="AF87" s="2" t="b">
        <f>IF(AF86=0,IF(achievement!AC$96*$B87&gt;=1,achievement!AC$97,0))</f>
        <v>0</v>
      </c>
      <c r="AG87" s="2" t="b">
        <f>IF(AG86=0,IF(achievement!AD$96*$B87&gt;=1,achievement!AD$97,0))</f>
        <v>0</v>
      </c>
      <c r="AH87" s="2" t="b">
        <f>IF(AH86=0,IF(achievement!AE$96*$B87&gt;=1,achievement!AE$97,0))</f>
        <v>0</v>
      </c>
      <c r="AI87" s="2" t="b">
        <f>IF(AI86=0,IF(achievement!AF$96*$B87&gt;=1,achievement!AF$97,0))</f>
        <v>0</v>
      </c>
      <c r="AJ87" s="2" t="b">
        <f>IF(AJ86=0,IF(achievement!AG$96*$B87&gt;=1,achievement!AG$97,0))</f>
        <v>0</v>
      </c>
      <c r="AK87" s="2" t="b">
        <f>IF(AK86=0,IF(achievement!AH$96*$B87&gt;=1,achievement!AH$97,0))</f>
        <v>0</v>
      </c>
      <c r="AL87" s="2" t="b">
        <f>IF(AL86=0,IF(achievement!AI$96*$B87&gt;=1,achievement!AI$97,0))</f>
        <v>0</v>
      </c>
      <c r="AM87" s="2" t="b">
        <f>IF(AM86=0,IF(achievement!AJ$96*$B87&gt;=1,achievement!AJ$97,0))</f>
        <v>0</v>
      </c>
      <c r="AN87" s="2" t="b">
        <f>IF(AN86=0,IF(achievement!AK$96*$B87&gt;=1,achievement!AK$97,0))</f>
        <v>0</v>
      </c>
      <c r="AO87" s="2" t="b">
        <f>IF(AO86=0,IF(achievement!AL$96*$B87&gt;=1,achievement!AL$97,0))</f>
        <v>0</v>
      </c>
      <c r="AP87" s="2" t="b">
        <f>IF(AP86=0,IF(achievement!AM$96*$B87&gt;=1,achievement!AM$97,0))</f>
        <v>0</v>
      </c>
      <c r="AQ87" s="2" t="b">
        <f>IF(AQ86=0,IF(achievement!AN$96*$B87&gt;=1,achievement!AN$97,0))</f>
        <v>0</v>
      </c>
      <c r="AR87" s="2" t="b">
        <f>IF(AR86=0,IF(achievement!AO$96*$B87&gt;=1,achievement!AO$97,0))</f>
        <v>0</v>
      </c>
      <c r="AS87" s="2" t="b">
        <f>IF(AS86=0,IF(achievement!AP$96*$B87&gt;=1,achievement!AP$97,0))</f>
        <v>0</v>
      </c>
      <c r="AT87" s="2" t="b">
        <f>IF(AT86=0,IF(achievement!AQ$96*$B87&gt;=1,achievement!AQ$97,0))</f>
        <v>0</v>
      </c>
      <c r="AU87" s="2" t="b">
        <f>IF(AU86=0,IF(achievement!AR$96*$B87&gt;=1,achievement!AR$97,0))</f>
        <v>0</v>
      </c>
      <c r="AV87" s="2" t="b">
        <f>IF(AV86=0,IF(achievement!AS$96*$B87&gt;=1,achievement!AS$97,0))</f>
        <v>0</v>
      </c>
      <c r="AW87" s="2"/>
      <c r="AX87" s="2"/>
      <c r="AY87" s="2"/>
    </row>
    <row r="88" s="1" customFormat="1" ht="18" customHeight="1" spans="2:51">
      <c r="B88" s="2">
        <v>63</v>
      </c>
      <c r="C88" s="2">
        <f t="shared" si="0"/>
        <v>63000</v>
      </c>
      <c r="D88" s="2">
        <f>ROUND($C$8*$C$5+$C$8*$C$4*(1-$L$5),0)</f>
        <v>88</v>
      </c>
      <c r="E88" s="2">
        <f t="shared" si="1"/>
        <v>5544</v>
      </c>
      <c r="F88" s="2">
        <f>ROUND(E88*VLOOKUP($B$10,总产出!$T$4:$U$14,2,FALSE),0)</f>
        <v>554</v>
      </c>
      <c r="G88" s="2">
        <f t="shared" si="4"/>
        <v>0</v>
      </c>
      <c r="H88" s="2">
        <f t="shared" si="3"/>
        <v>2327</v>
      </c>
      <c r="I88" s="2" t="b">
        <f>IF(I87=0,IF($B88&gt;=achievement!F$96,achievement!F$97,0))</f>
        <v>0</v>
      </c>
      <c r="J88" s="2" t="b">
        <f>IF(J87=0,IF($B88&gt;=achievement!G$96,achievement!G$97,0))</f>
        <v>0</v>
      </c>
      <c r="K88" s="2" t="b">
        <f>IF(K87=0,IF($B88&gt;=achievement!H$96,achievement!H$97,0))</f>
        <v>0</v>
      </c>
      <c r="L88" s="2" t="b">
        <f>IF(L87=0,IF($B88&gt;=achievement!I$96,achievement!I$97,0))</f>
        <v>0</v>
      </c>
      <c r="M88" s="2">
        <f>IF(M87=0,IF($B88&gt;=achievement!J$96,achievement!J$97,0))</f>
        <v>0</v>
      </c>
      <c r="N88" s="2">
        <f>IF(N87=0,IF($B88&gt;=achievement!K$96,achievement!K$97,0))</f>
        <v>0</v>
      </c>
      <c r="O88" s="2">
        <f>IF(O87=0,IF($B88&gt;=achievement!L$96,achievement!L$97,0))</f>
        <v>0</v>
      </c>
      <c r="P88" s="2" t="b">
        <f>IF(P87=0,IF(achievement!M$96*$B88&gt;=1,achievement!M$97,0))</f>
        <v>0</v>
      </c>
      <c r="Q88" s="2" t="b">
        <f>IF(Q87=0,IF(achievement!N$96*$B88&gt;=1,achievement!N$97,0))</f>
        <v>0</v>
      </c>
      <c r="R88" s="2" t="b">
        <f>IF(R87=0,IF(achievement!O$96*$B88&gt;=1,achievement!O$97,0))</f>
        <v>0</v>
      </c>
      <c r="S88" s="2" t="b">
        <f>IF(S87=0,IF(achievement!P$96*$B88&gt;=1,achievement!P$97,0))</f>
        <v>0</v>
      </c>
      <c r="T88" s="2" t="b">
        <f>IF(T87=0,IF(achievement!Q$96*$B88&gt;=1,achievement!Q$97,0))</f>
        <v>0</v>
      </c>
      <c r="U88" s="2" t="b">
        <f>IF(U87=0,IF(achievement!R$96*$B88&gt;=1,achievement!R$97,0))</f>
        <v>0</v>
      </c>
      <c r="V88" s="2" t="b">
        <f>IF(V87=0,IF(achievement!S$96*$B88&gt;=1,achievement!S$97,0))</f>
        <v>0</v>
      </c>
      <c r="W88" s="2" t="b">
        <f>IF(W87=0,IF(achievement!T$96*$B88&gt;=1,achievement!T$97,0))</f>
        <v>0</v>
      </c>
      <c r="X88" s="2" t="b">
        <f>IF(X87=0,IF(achievement!U$96*$B88&gt;=1,achievement!U$97,0))</f>
        <v>0</v>
      </c>
      <c r="Y88" s="2" t="b">
        <f>IF(Y87=0,IF(achievement!V$96*$B88&gt;=1,achievement!V$97,0))</f>
        <v>0</v>
      </c>
      <c r="Z88" s="2" t="b">
        <f>IF(Z87=0,IF(achievement!W$96*$B88&gt;=1,achievement!W$97,0))</f>
        <v>0</v>
      </c>
      <c r="AA88" s="2" t="b">
        <f>IF(AA87=0,IF(achievement!X$96*$B88&gt;=1,achievement!X$97,0))</f>
        <v>0</v>
      </c>
      <c r="AB88" s="2" t="b">
        <f>IF(AB87=0,IF(achievement!Y$96*$B88&gt;=1,achievement!Y$97,0))</f>
        <v>0</v>
      </c>
      <c r="AC88" s="2" t="b">
        <f>IF(AC87=0,IF(achievement!Z$96*$B88&gt;=1,achievement!Z$97,0))</f>
        <v>0</v>
      </c>
      <c r="AD88" s="2" t="b">
        <f>IF(AD87=0,IF(achievement!AA$96*$B88&gt;=1,achievement!AA$97,0))</f>
        <v>0</v>
      </c>
      <c r="AE88" s="2" t="b">
        <f>IF(AE87=0,IF(achievement!AB$96*$B88&gt;=1,achievement!AB$97,0))</f>
        <v>0</v>
      </c>
      <c r="AF88" s="2" t="b">
        <f>IF(AF87=0,IF(achievement!AC$96*$B88&gt;=1,achievement!AC$97,0))</f>
        <v>0</v>
      </c>
      <c r="AG88" s="2" t="b">
        <f>IF(AG87=0,IF(achievement!AD$96*$B88&gt;=1,achievement!AD$97,0))</f>
        <v>0</v>
      </c>
      <c r="AH88" s="2" t="b">
        <f>IF(AH87=0,IF(achievement!AE$96*$B88&gt;=1,achievement!AE$97,0))</f>
        <v>0</v>
      </c>
      <c r="AI88" s="2" t="b">
        <f>IF(AI87=0,IF(achievement!AF$96*$B88&gt;=1,achievement!AF$97,0))</f>
        <v>0</v>
      </c>
      <c r="AJ88" s="2" t="b">
        <f>IF(AJ87=0,IF(achievement!AG$96*$B88&gt;=1,achievement!AG$97,0))</f>
        <v>0</v>
      </c>
      <c r="AK88" s="2" t="b">
        <f>IF(AK87=0,IF(achievement!AH$96*$B88&gt;=1,achievement!AH$97,0))</f>
        <v>0</v>
      </c>
      <c r="AL88" s="2" t="b">
        <f>IF(AL87=0,IF(achievement!AI$96*$B88&gt;=1,achievement!AI$97,0))</f>
        <v>0</v>
      </c>
      <c r="AM88" s="2" t="b">
        <f>IF(AM87=0,IF(achievement!AJ$96*$B88&gt;=1,achievement!AJ$97,0))</f>
        <v>0</v>
      </c>
      <c r="AN88" s="2" t="b">
        <f>IF(AN87=0,IF(achievement!AK$96*$B88&gt;=1,achievement!AK$97,0))</f>
        <v>0</v>
      </c>
      <c r="AO88" s="2" t="b">
        <f>IF(AO87=0,IF(achievement!AL$96*$B88&gt;=1,achievement!AL$97,0))</f>
        <v>0</v>
      </c>
      <c r="AP88" s="2" t="b">
        <f>IF(AP87=0,IF(achievement!AM$96*$B88&gt;=1,achievement!AM$97,0))</f>
        <v>0</v>
      </c>
      <c r="AQ88" s="2" t="b">
        <f>IF(AQ87=0,IF(achievement!AN$96*$B88&gt;=1,achievement!AN$97,0))</f>
        <v>0</v>
      </c>
      <c r="AR88" s="2" t="b">
        <f>IF(AR87=0,IF(achievement!AO$96*$B88&gt;=1,achievement!AO$97,0))</f>
        <v>0</v>
      </c>
      <c r="AS88" s="2" t="b">
        <f>IF(AS87=0,IF(achievement!AP$96*$B88&gt;=1,achievement!AP$97,0))</f>
        <v>0</v>
      </c>
      <c r="AT88" s="2" t="b">
        <f>IF(AT87=0,IF(achievement!AQ$96*$B88&gt;=1,achievement!AQ$97,0))</f>
        <v>0</v>
      </c>
      <c r="AU88" s="2" t="b">
        <f>IF(AU87=0,IF(achievement!AR$96*$B88&gt;=1,achievement!AR$97,0))</f>
        <v>0</v>
      </c>
      <c r="AV88" s="2" t="b">
        <f>IF(AV87=0,IF(achievement!AS$96*$B88&gt;=1,achievement!AS$97,0))</f>
        <v>0</v>
      </c>
      <c r="AW88" s="2"/>
      <c r="AX88" s="2"/>
      <c r="AY88" s="2"/>
    </row>
    <row r="89" s="1" customFormat="1" ht="18" customHeight="1" spans="2:51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563</v>
      </c>
      <c r="G89" s="2">
        <f t="shared" si="4"/>
        <v>0</v>
      </c>
      <c r="H89" s="2">
        <f t="shared" si="3"/>
        <v>2327</v>
      </c>
      <c r="I89" s="2" t="b">
        <f>IF(I88=0,IF($B89&gt;=achievement!F$96,achievement!F$97,0))</f>
        <v>0</v>
      </c>
      <c r="J89" s="2" t="b">
        <f>IF(J88=0,IF($B89&gt;=achievement!G$96,achievement!G$97,0))</f>
        <v>0</v>
      </c>
      <c r="K89" s="2" t="b">
        <f>IF(K88=0,IF($B89&gt;=achievement!H$96,achievement!H$97,0))</f>
        <v>0</v>
      </c>
      <c r="L89" s="2" t="b">
        <f>IF(L88=0,IF($B89&gt;=achievement!I$96,achievement!I$97,0))</f>
        <v>0</v>
      </c>
      <c r="M89" s="2">
        <f>IF(M88=0,IF($B89&gt;=achievement!J$96,achievement!J$97,0))</f>
        <v>0</v>
      </c>
      <c r="N89" s="2">
        <f>IF(N88=0,IF($B89&gt;=achievement!K$96,achievement!K$97,0))</f>
        <v>0</v>
      </c>
      <c r="O89" s="2">
        <f>IF(O88=0,IF($B89&gt;=achievement!L$96,achievement!L$97,0))</f>
        <v>0</v>
      </c>
      <c r="P89" s="2" t="b">
        <f>IF(P88=0,IF(achievement!M$96*$B89&gt;=1,achievement!M$97,0))</f>
        <v>0</v>
      </c>
      <c r="Q89" s="2" t="b">
        <f>IF(Q88=0,IF(achievement!N$96*$B89&gt;=1,achievement!N$97,0))</f>
        <v>0</v>
      </c>
      <c r="R89" s="2" t="b">
        <f>IF(R88=0,IF(achievement!O$96*$B89&gt;=1,achievement!O$97,0))</f>
        <v>0</v>
      </c>
      <c r="S89" s="2" t="b">
        <f>IF(S88=0,IF(achievement!P$96*$B89&gt;=1,achievement!P$97,0))</f>
        <v>0</v>
      </c>
      <c r="T89" s="2" t="b">
        <f>IF(T88=0,IF(achievement!Q$96*$B89&gt;=1,achievement!Q$97,0))</f>
        <v>0</v>
      </c>
      <c r="U89" s="2" t="b">
        <f>IF(U88=0,IF(achievement!R$96*$B89&gt;=1,achievement!R$97,0))</f>
        <v>0</v>
      </c>
      <c r="V89" s="2" t="b">
        <f>IF(V88=0,IF(achievement!S$96*$B89&gt;=1,achievement!S$97,0))</f>
        <v>0</v>
      </c>
      <c r="W89" s="2" t="b">
        <f>IF(W88=0,IF(achievement!T$96*$B89&gt;=1,achievement!T$97,0))</f>
        <v>0</v>
      </c>
      <c r="X89" s="2" t="b">
        <f>IF(X88=0,IF(achievement!U$96*$B89&gt;=1,achievement!U$97,0))</f>
        <v>0</v>
      </c>
      <c r="Y89" s="2" t="b">
        <f>IF(Y88=0,IF(achievement!V$96*$B89&gt;=1,achievement!V$97,0))</f>
        <v>0</v>
      </c>
      <c r="Z89" s="2" t="b">
        <f>IF(Z88=0,IF(achievement!W$96*$B89&gt;=1,achievement!W$97,0))</f>
        <v>0</v>
      </c>
      <c r="AA89" s="2" t="b">
        <f>IF(AA88=0,IF(achievement!X$96*$B89&gt;=1,achievement!X$97,0))</f>
        <v>0</v>
      </c>
      <c r="AB89" s="2" t="b">
        <f>IF(AB88=0,IF(achievement!Y$96*$B89&gt;=1,achievement!Y$97,0))</f>
        <v>0</v>
      </c>
      <c r="AC89" s="2" t="b">
        <f>IF(AC88=0,IF(achievement!Z$96*$B89&gt;=1,achievement!Z$97,0))</f>
        <v>0</v>
      </c>
      <c r="AD89" s="2" t="b">
        <f>IF(AD88=0,IF(achievement!AA$96*$B89&gt;=1,achievement!AA$97,0))</f>
        <v>0</v>
      </c>
      <c r="AE89" s="2" t="b">
        <f>IF(AE88=0,IF(achievement!AB$96*$B89&gt;=1,achievement!AB$97,0))</f>
        <v>0</v>
      </c>
      <c r="AF89" s="2" t="b">
        <f>IF(AF88=0,IF(achievement!AC$96*$B89&gt;=1,achievement!AC$97,0))</f>
        <v>0</v>
      </c>
      <c r="AG89" s="2" t="b">
        <f>IF(AG88=0,IF(achievement!AD$96*$B89&gt;=1,achievement!AD$97,0))</f>
        <v>0</v>
      </c>
      <c r="AH89" s="2" t="b">
        <f>IF(AH88=0,IF(achievement!AE$96*$B89&gt;=1,achievement!AE$97,0))</f>
        <v>0</v>
      </c>
      <c r="AI89" s="2" t="b">
        <f>IF(AI88=0,IF(achievement!AF$96*$B89&gt;=1,achievement!AF$97,0))</f>
        <v>0</v>
      </c>
      <c r="AJ89" s="2" t="b">
        <f>IF(AJ88=0,IF(achievement!AG$96*$B89&gt;=1,achievement!AG$97,0))</f>
        <v>0</v>
      </c>
      <c r="AK89" s="2" t="b">
        <f>IF(AK88=0,IF(achievement!AH$96*$B89&gt;=1,achievement!AH$97,0))</f>
        <v>0</v>
      </c>
      <c r="AL89" s="2" t="b">
        <f>IF(AL88=0,IF(achievement!AI$96*$B89&gt;=1,achievement!AI$97,0))</f>
        <v>0</v>
      </c>
      <c r="AM89" s="2" t="b">
        <f>IF(AM88=0,IF(achievement!AJ$96*$B89&gt;=1,achievement!AJ$97,0))</f>
        <v>0</v>
      </c>
      <c r="AN89" s="2" t="b">
        <f>IF(AN88=0,IF(achievement!AK$96*$B89&gt;=1,achievement!AK$97,0))</f>
        <v>0</v>
      </c>
      <c r="AO89" s="2" t="b">
        <f>IF(AO88=0,IF(achievement!AL$96*$B89&gt;=1,achievement!AL$97,0))</f>
        <v>0</v>
      </c>
      <c r="AP89" s="2" t="b">
        <f>IF(AP88=0,IF(achievement!AM$96*$B89&gt;=1,achievement!AM$97,0))</f>
        <v>0</v>
      </c>
      <c r="AQ89" s="2" t="b">
        <f>IF(AQ88=0,IF(achievement!AN$96*$B89&gt;=1,achievement!AN$97,0))</f>
        <v>0</v>
      </c>
      <c r="AR89" s="2" t="b">
        <f>IF(AR88=0,IF(achievement!AO$96*$B89&gt;=1,achievement!AO$97,0))</f>
        <v>0</v>
      </c>
      <c r="AS89" s="2" t="b">
        <f>IF(AS88=0,IF(achievement!AP$96*$B89&gt;=1,achievement!AP$97,0))</f>
        <v>0</v>
      </c>
      <c r="AT89" s="2" t="b">
        <f>IF(AT88=0,IF(achievement!AQ$96*$B89&gt;=1,achievement!AQ$97,0))</f>
        <v>0</v>
      </c>
      <c r="AU89" s="2" t="b">
        <f>IF(AU88=0,IF(achievement!AR$96*$B89&gt;=1,achievement!AR$97,0))</f>
        <v>0</v>
      </c>
      <c r="AV89" s="2" t="b">
        <f>IF(AV88=0,IF(achievement!AS$96*$B89&gt;=1,achievement!AS$97,0))</f>
        <v>0</v>
      </c>
      <c r="AW89" s="2"/>
      <c r="AX89" s="2"/>
      <c r="AY89" s="2"/>
    </row>
    <row r="90" s="1" customFormat="1" ht="18" customHeight="1" spans="2:51">
      <c r="B90" s="2">
        <v>65</v>
      </c>
      <c r="C90" s="2">
        <f t="shared" ref="C90:C125" si="5">$C$8*B90</f>
        <v>65000</v>
      </c>
      <c r="D90" s="2">
        <f>ROUND($C$8*$C$5+$C$8*$C$4*(1-$L$5),0)</f>
        <v>88</v>
      </c>
      <c r="E90" s="2">
        <f t="shared" ref="E90:E125" si="6">D90*B90</f>
        <v>5720</v>
      </c>
      <c r="F90" s="2">
        <f>ROUND(E90*VLOOKUP($B$10,总产出!$T$4:$U$14,2,FALSE),0)</f>
        <v>572</v>
      </c>
      <c r="G90" s="2">
        <f t="shared" si="4"/>
        <v>0</v>
      </c>
      <c r="H90" s="2">
        <f t="shared" si="3"/>
        <v>2327</v>
      </c>
      <c r="I90" s="2" t="b">
        <f>IF(I89=0,IF($B90&gt;=achievement!F$96,achievement!F$97,0))</f>
        <v>0</v>
      </c>
      <c r="J90" s="2" t="b">
        <f>IF(J89=0,IF($B90&gt;=achievement!G$96,achievement!G$97,0))</f>
        <v>0</v>
      </c>
      <c r="K90" s="2" t="b">
        <f>IF(K89=0,IF($B90&gt;=achievement!H$96,achievement!H$97,0))</f>
        <v>0</v>
      </c>
      <c r="L90" s="2" t="b">
        <f>IF(L89=0,IF($B90&gt;=achievement!I$96,achievement!I$97,0))</f>
        <v>0</v>
      </c>
      <c r="M90" s="2">
        <f>IF(M89=0,IF($B90&gt;=achievement!J$96,achievement!J$97,0))</f>
        <v>0</v>
      </c>
      <c r="N90" s="2">
        <f>IF(N89=0,IF($B90&gt;=achievement!K$96,achievement!K$97,0))</f>
        <v>0</v>
      </c>
      <c r="O90" s="2">
        <f>IF(O89=0,IF($B90&gt;=achievement!L$96,achievement!L$97,0))</f>
        <v>0</v>
      </c>
      <c r="P90" s="2" t="b">
        <f>IF(P89=0,IF(achievement!M$96*$B90&gt;=1,achievement!M$97,0))</f>
        <v>0</v>
      </c>
      <c r="Q90" s="2" t="b">
        <f>IF(Q89=0,IF(achievement!N$96*$B90&gt;=1,achievement!N$97,0))</f>
        <v>0</v>
      </c>
      <c r="R90" s="2" t="b">
        <f>IF(R89=0,IF(achievement!O$96*$B90&gt;=1,achievement!O$97,0))</f>
        <v>0</v>
      </c>
      <c r="S90" s="2" t="b">
        <f>IF(S89=0,IF(achievement!P$96*$B90&gt;=1,achievement!P$97,0))</f>
        <v>0</v>
      </c>
      <c r="T90" s="2" t="b">
        <f>IF(T89=0,IF(achievement!Q$96*$B90&gt;=1,achievement!Q$97,0))</f>
        <v>0</v>
      </c>
      <c r="U90" s="2" t="b">
        <f>IF(U89=0,IF(achievement!R$96*$B90&gt;=1,achievement!R$97,0))</f>
        <v>0</v>
      </c>
      <c r="V90" s="2" t="b">
        <f>IF(V89=0,IF(achievement!S$96*$B90&gt;=1,achievement!S$97,0))</f>
        <v>0</v>
      </c>
      <c r="W90" s="2" t="b">
        <f>IF(W89=0,IF(achievement!T$96*$B90&gt;=1,achievement!T$97,0))</f>
        <v>0</v>
      </c>
      <c r="X90" s="2" t="b">
        <f>IF(X89=0,IF(achievement!U$96*$B90&gt;=1,achievement!U$97,0))</f>
        <v>0</v>
      </c>
      <c r="Y90" s="2" t="b">
        <f>IF(Y89=0,IF(achievement!V$96*$B90&gt;=1,achievement!V$97,0))</f>
        <v>0</v>
      </c>
      <c r="Z90" s="2" t="b">
        <f>IF(Z89=0,IF(achievement!W$96*$B90&gt;=1,achievement!W$97,0))</f>
        <v>0</v>
      </c>
      <c r="AA90" s="2" t="b">
        <f>IF(AA89=0,IF(achievement!X$96*$B90&gt;=1,achievement!X$97,0))</f>
        <v>0</v>
      </c>
      <c r="AB90" s="2" t="b">
        <f>IF(AB89=0,IF(achievement!Y$96*$B90&gt;=1,achievement!Y$97,0))</f>
        <v>0</v>
      </c>
      <c r="AC90" s="2" t="b">
        <f>IF(AC89=0,IF(achievement!Z$96*$B90&gt;=1,achievement!Z$97,0))</f>
        <v>0</v>
      </c>
      <c r="AD90" s="2" t="b">
        <f>IF(AD89=0,IF(achievement!AA$96*$B90&gt;=1,achievement!AA$97,0))</f>
        <v>0</v>
      </c>
      <c r="AE90" s="2" t="b">
        <f>IF(AE89=0,IF(achievement!AB$96*$B90&gt;=1,achievement!AB$97,0))</f>
        <v>0</v>
      </c>
      <c r="AF90" s="2" t="b">
        <f>IF(AF89=0,IF(achievement!AC$96*$B90&gt;=1,achievement!AC$97,0))</f>
        <v>0</v>
      </c>
      <c r="AG90" s="2" t="b">
        <f>IF(AG89=0,IF(achievement!AD$96*$B90&gt;=1,achievement!AD$97,0))</f>
        <v>0</v>
      </c>
      <c r="AH90" s="2" t="b">
        <f>IF(AH89=0,IF(achievement!AE$96*$B90&gt;=1,achievement!AE$97,0))</f>
        <v>0</v>
      </c>
      <c r="AI90" s="2" t="b">
        <f>IF(AI89=0,IF(achievement!AF$96*$B90&gt;=1,achievement!AF$97,0))</f>
        <v>0</v>
      </c>
      <c r="AJ90" s="2" t="b">
        <f>IF(AJ89=0,IF(achievement!AG$96*$B90&gt;=1,achievement!AG$97,0))</f>
        <v>0</v>
      </c>
      <c r="AK90" s="2" t="b">
        <f>IF(AK89=0,IF(achievement!AH$96*$B90&gt;=1,achievement!AH$97,0))</f>
        <v>0</v>
      </c>
      <c r="AL90" s="2" t="b">
        <f>IF(AL89=0,IF(achievement!AI$96*$B90&gt;=1,achievement!AI$97,0))</f>
        <v>0</v>
      </c>
      <c r="AM90" s="2" t="b">
        <f>IF(AM89=0,IF(achievement!AJ$96*$B90&gt;=1,achievement!AJ$97,0))</f>
        <v>0</v>
      </c>
      <c r="AN90" s="2" t="b">
        <f>IF(AN89=0,IF(achievement!AK$96*$B90&gt;=1,achievement!AK$97,0))</f>
        <v>0</v>
      </c>
      <c r="AO90" s="2" t="b">
        <f>IF(AO89=0,IF(achievement!AL$96*$B90&gt;=1,achievement!AL$97,0))</f>
        <v>0</v>
      </c>
      <c r="AP90" s="2" t="b">
        <f>IF(AP89=0,IF(achievement!AM$96*$B90&gt;=1,achievement!AM$97,0))</f>
        <v>0</v>
      </c>
      <c r="AQ90" s="2" t="b">
        <f>IF(AQ89=0,IF(achievement!AN$96*$B90&gt;=1,achievement!AN$97,0))</f>
        <v>0</v>
      </c>
      <c r="AR90" s="2" t="b">
        <f>IF(AR89=0,IF(achievement!AO$96*$B90&gt;=1,achievement!AO$97,0))</f>
        <v>0</v>
      </c>
      <c r="AS90" s="2" t="b">
        <f>IF(AS89=0,IF(achievement!AP$96*$B90&gt;=1,achievement!AP$97,0))</f>
        <v>0</v>
      </c>
      <c r="AT90" s="2" t="b">
        <f>IF(AT89=0,IF(achievement!AQ$96*$B90&gt;=1,achievement!AQ$97,0))</f>
        <v>0</v>
      </c>
      <c r="AU90" s="2" t="b">
        <f>IF(AU89=0,IF(achievement!AR$96*$B90&gt;=1,achievement!AR$97,0))</f>
        <v>0</v>
      </c>
      <c r="AV90" s="2" t="b">
        <f>IF(AV89=0,IF(achievement!AS$96*$B90&gt;=1,achievement!AS$97,0))</f>
        <v>0</v>
      </c>
      <c r="AW90" s="2"/>
      <c r="AX90" s="2"/>
      <c r="AY90" s="2"/>
    </row>
    <row r="91" s="1" customFormat="1" ht="18" customHeight="1" spans="2:51">
      <c r="B91" s="2">
        <v>66</v>
      </c>
      <c r="C91" s="2">
        <f t="shared" si="5"/>
        <v>66000</v>
      </c>
      <c r="D91" s="2">
        <f>ROUND($C$8*$C$5+$C$8*$C$4*(1-$L$5),0)</f>
        <v>88</v>
      </c>
      <c r="E91" s="2">
        <f t="shared" si="6"/>
        <v>5808</v>
      </c>
      <c r="F91" s="2">
        <f>ROUND(E91*VLOOKUP($B$10,总产出!$T$4:$U$14,2,FALSE),0)</f>
        <v>581</v>
      </c>
      <c r="G91" s="2">
        <f t="shared" ref="G91:G125" si="7">SUM(I91:BK91)</f>
        <v>0</v>
      </c>
      <c r="H91" s="2">
        <f t="shared" ref="H91:H125" si="8">G91+H90</f>
        <v>2327</v>
      </c>
      <c r="I91" s="2" t="b">
        <f>IF(I90=0,IF($B91&gt;=achievement!F$96,achievement!F$97,0))</f>
        <v>0</v>
      </c>
      <c r="J91" s="2" t="b">
        <f>IF(J90=0,IF($B91&gt;=achievement!G$96,achievement!G$97,0))</f>
        <v>0</v>
      </c>
      <c r="K91" s="2" t="b">
        <f>IF(K90=0,IF($B91&gt;=achievement!H$96,achievement!H$97,0))</f>
        <v>0</v>
      </c>
      <c r="L91" s="2" t="b">
        <f>IF(L90=0,IF($B91&gt;=achievement!I$96,achievement!I$97,0))</f>
        <v>0</v>
      </c>
      <c r="M91" s="2">
        <f>IF(M90=0,IF($B91&gt;=achievement!J$96,achievement!J$97,0))</f>
        <v>0</v>
      </c>
      <c r="N91" s="2">
        <f>IF(N90=0,IF($B91&gt;=achievement!K$96,achievement!K$97,0))</f>
        <v>0</v>
      </c>
      <c r="O91" s="2">
        <f>IF(O90=0,IF($B91&gt;=achievement!L$96,achievement!L$97,0))</f>
        <v>0</v>
      </c>
      <c r="P91" s="2" t="b">
        <f>IF(P90=0,IF(achievement!M$96*$B91&gt;=1,achievement!M$97,0))</f>
        <v>0</v>
      </c>
      <c r="Q91" s="2" t="b">
        <f>IF(Q90=0,IF(achievement!N$96*$B91&gt;=1,achievement!N$97,0))</f>
        <v>0</v>
      </c>
      <c r="R91" s="2" t="b">
        <f>IF(R90=0,IF(achievement!O$96*$B91&gt;=1,achievement!O$97,0))</f>
        <v>0</v>
      </c>
      <c r="S91" s="2" t="b">
        <f>IF(S90=0,IF(achievement!P$96*$B91&gt;=1,achievement!P$97,0))</f>
        <v>0</v>
      </c>
      <c r="T91" s="2" t="b">
        <f>IF(T90=0,IF(achievement!Q$96*$B91&gt;=1,achievement!Q$97,0))</f>
        <v>0</v>
      </c>
      <c r="U91" s="2" t="b">
        <f>IF(U90=0,IF(achievement!R$96*$B91&gt;=1,achievement!R$97,0))</f>
        <v>0</v>
      </c>
      <c r="V91" s="2" t="b">
        <f>IF(V90=0,IF(achievement!S$96*$B91&gt;=1,achievement!S$97,0))</f>
        <v>0</v>
      </c>
      <c r="W91" s="2" t="b">
        <f>IF(W90=0,IF(achievement!T$96*$B91&gt;=1,achievement!T$97,0))</f>
        <v>0</v>
      </c>
      <c r="X91" s="2" t="b">
        <f>IF(X90=0,IF(achievement!U$96*$B91&gt;=1,achievement!U$97,0))</f>
        <v>0</v>
      </c>
      <c r="Y91" s="2" t="b">
        <f>IF(Y90=0,IF(achievement!V$96*$B91&gt;=1,achievement!V$97,0))</f>
        <v>0</v>
      </c>
      <c r="Z91" s="2" t="b">
        <f>IF(Z90=0,IF(achievement!W$96*$B91&gt;=1,achievement!W$97,0))</f>
        <v>0</v>
      </c>
      <c r="AA91" s="2" t="b">
        <f>IF(AA90=0,IF(achievement!X$96*$B91&gt;=1,achievement!X$97,0))</f>
        <v>0</v>
      </c>
      <c r="AB91" s="2" t="b">
        <f>IF(AB90=0,IF(achievement!Y$96*$B91&gt;=1,achievement!Y$97,0))</f>
        <v>0</v>
      </c>
      <c r="AC91" s="2" t="b">
        <f>IF(AC90=0,IF(achievement!Z$96*$B91&gt;=1,achievement!Z$97,0))</f>
        <v>0</v>
      </c>
      <c r="AD91" s="2" t="b">
        <f>IF(AD90=0,IF(achievement!AA$96*$B91&gt;=1,achievement!AA$97,0))</f>
        <v>0</v>
      </c>
      <c r="AE91" s="2" t="b">
        <f>IF(AE90=0,IF(achievement!AB$96*$B91&gt;=1,achievement!AB$97,0))</f>
        <v>0</v>
      </c>
      <c r="AF91" s="2" t="b">
        <f>IF(AF90=0,IF(achievement!AC$96*$B91&gt;=1,achievement!AC$97,0))</f>
        <v>0</v>
      </c>
      <c r="AG91" s="2" t="b">
        <f>IF(AG90=0,IF(achievement!AD$96*$B91&gt;=1,achievement!AD$97,0))</f>
        <v>0</v>
      </c>
      <c r="AH91" s="2" t="b">
        <f>IF(AH90=0,IF(achievement!AE$96*$B91&gt;=1,achievement!AE$97,0))</f>
        <v>0</v>
      </c>
      <c r="AI91" s="2" t="b">
        <f>IF(AI90=0,IF(achievement!AF$96*$B91&gt;=1,achievement!AF$97,0))</f>
        <v>0</v>
      </c>
      <c r="AJ91" s="2" t="b">
        <f>IF(AJ90=0,IF(achievement!AG$96*$B91&gt;=1,achievement!AG$97,0))</f>
        <v>0</v>
      </c>
      <c r="AK91" s="2" t="b">
        <f>IF(AK90=0,IF(achievement!AH$96*$B91&gt;=1,achievement!AH$97,0))</f>
        <v>0</v>
      </c>
      <c r="AL91" s="2" t="b">
        <f>IF(AL90=0,IF(achievement!AI$96*$B91&gt;=1,achievement!AI$97,0))</f>
        <v>0</v>
      </c>
      <c r="AM91" s="2" t="b">
        <f>IF(AM90=0,IF(achievement!AJ$96*$B91&gt;=1,achievement!AJ$97,0))</f>
        <v>0</v>
      </c>
      <c r="AN91" s="2" t="b">
        <f>IF(AN90=0,IF(achievement!AK$96*$B91&gt;=1,achievement!AK$97,0))</f>
        <v>0</v>
      </c>
      <c r="AO91" s="2" t="b">
        <f>IF(AO90=0,IF(achievement!AL$96*$B91&gt;=1,achievement!AL$97,0))</f>
        <v>0</v>
      </c>
      <c r="AP91" s="2" t="b">
        <f>IF(AP90=0,IF(achievement!AM$96*$B91&gt;=1,achievement!AM$97,0))</f>
        <v>0</v>
      </c>
      <c r="AQ91" s="2" t="b">
        <f>IF(AQ90=0,IF(achievement!AN$96*$B91&gt;=1,achievement!AN$97,0))</f>
        <v>0</v>
      </c>
      <c r="AR91" s="2" t="b">
        <f>IF(AR90=0,IF(achievement!AO$96*$B91&gt;=1,achievement!AO$97,0))</f>
        <v>0</v>
      </c>
      <c r="AS91" s="2" t="b">
        <f>IF(AS90=0,IF(achievement!AP$96*$B91&gt;=1,achievement!AP$97,0))</f>
        <v>0</v>
      </c>
      <c r="AT91" s="2" t="b">
        <f>IF(AT90=0,IF(achievement!AQ$96*$B91&gt;=1,achievement!AQ$97,0))</f>
        <v>0</v>
      </c>
      <c r="AU91" s="2" t="b">
        <f>IF(AU90=0,IF(achievement!AR$96*$B91&gt;=1,achievement!AR$97,0))</f>
        <v>0</v>
      </c>
      <c r="AV91" s="2" t="b">
        <f>IF(AV90=0,IF(achievement!AS$96*$B91&gt;=1,achievement!AS$97,0))</f>
        <v>0</v>
      </c>
      <c r="AW91" s="2"/>
      <c r="AX91" s="2"/>
      <c r="AY91" s="2"/>
    </row>
    <row r="92" s="1" customFormat="1" ht="18" customHeight="1" spans="2:51">
      <c r="B92" s="2">
        <v>67</v>
      </c>
      <c r="C92" s="2">
        <f t="shared" si="5"/>
        <v>67000</v>
      </c>
      <c r="D92" s="2">
        <f>ROUND($C$8*$C$5+$C$8*$C$4*(1-$L$5),0)</f>
        <v>88</v>
      </c>
      <c r="E92" s="2">
        <f t="shared" si="6"/>
        <v>5896</v>
      </c>
      <c r="F92" s="2">
        <f>ROUND(E92*VLOOKUP($B$10,总产出!$T$4:$U$14,2,FALSE),0)</f>
        <v>590</v>
      </c>
      <c r="G92" s="2">
        <f t="shared" si="7"/>
        <v>0</v>
      </c>
      <c r="H92" s="2">
        <f t="shared" si="8"/>
        <v>2327</v>
      </c>
      <c r="I92" s="2" t="b">
        <f>IF(I91=0,IF($B92&gt;=achievement!F$96,achievement!F$97,0))</f>
        <v>0</v>
      </c>
      <c r="J92" s="2" t="b">
        <f>IF(J91=0,IF($B92&gt;=achievement!G$96,achievement!G$97,0))</f>
        <v>0</v>
      </c>
      <c r="K92" s="2" t="b">
        <f>IF(K91=0,IF($B92&gt;=achievement!H$96,achievement!H$97,0))</f>
        <v>0</v>
      </c>
      <c r="L92" s="2" t="b">
        <f>IF(L91=0,IF($B92&gt;=achievement!I$96,achievement!I$97,0))</f>
        <v>0</v>
      </c>
      <c r="M92" s="2">
        <f>IF(M91=0,IF($B92&gt;=achievement!J$96,achievement!J$97,0))</f>
        <v>0</v>
      </c>
      <c r="N92" s="2">
        <f>IF(N91=0,IF($B92&gt;=achievement!K$96,achievement!K$97,0))</f>
        <v>0</v>
      </c>
      <c r="O92" s="2">
        <f>IF(O91=0,IF($B92&gt;=achievement!L$96,achievement!L$97,0))</f>
        <v>0</v>
      </c>
      <c r="P92" s="2" t="b">
        <f>IF(P91=0,IF(achievement!M$96*$B92&gt;=1,achievement!M$97,0))</f>
        <v>0</v>
      </c>
      <c r="Q92" s="2" t="b">
        <f>IF(Q91=0,IF(achievement!N$96*$B92&gt;=1,achievement!N$97,0))</f>
        <v>0</v>
      </c>
      <c r="R92" s="2" t="b">
        <f>IF(R91=0,IF(achievement!O$96*$B92&gt;=1,achievement!O$97,0))</f>
        <v>0</v>
      </c>
      <c r="S92" s="2" t="b">
        <f>IF(S91=0,IF(achievement!P$96*$B92&gt;=1,achievement!P$97,0))</f>
        <v>0</v>
      </c>
      <c r="T92" s="2" t="b">
        <f>IF(T91=0,IF(achievement!Q$96*$B92&gt;=1,achievement!Q$97,0))</f>
        <v>0</v>
      </c>
      <c r="U92" s="2" t="b">
        <f>IF(U91=0,IF(achievement!R$96*$B92&gt;=1,achievement!R$97,0))</f>
        <v>0</v>
      </c>
      <c r="V92" s="2" t="b">
        <f>IF(V91=0,IF(achievement!S$96*$B92&gt;=1,achievement!S$97,0))</f>
        <v>0</v>
      </c>
      <c r="W92" s="2" t="b">
        <f>IF(W91=0,IF(achievement!T$96*$B92&gt;=1,achievement!T$97,0))</f>
        <v>0</v>
      </c>
      <c r="X92" s="2" t="b">
        <f>IF(X91=0,IF(achievement!U$96*$B92&gt;=1,achievement!U$97,0))</f>
        <v>0</v>
      </c>
      <c r="Y92" s="2" t="b">
        <f>IF(Y91=0,IF(achievement!V$96*$B92&gt;=1,achievement!V$97,0))</f>
        <v>0</v>
      </c>
      <c r="Z92" s="2" t="b">
        <f>IF(Z91=0,IF(achievement!W$96*$B92&gt;=1,achievement!W$97,0))</f>
        <v>0</v>
      </c>
      <c r="AA92" s="2" t="b">
        <f>IF(AA91=0,IF(achievement!X$96*$B92&gt;=1,achievement!X$97,0))</f>
        <v>0</v>
      </c>
      <c r="AB92" s="2" t="b">
        <f>IF(AB91=0,IF(achievement!Y$96*$B92&gt;=1,achievement!Y$97,0))</f>
        <v>0</v>
      </c>
      <c r="AC92" s="2" t="b">
        <f>IF(AC91=0,IF(achievement!Z$96*$B92&gt;=1,achievement!Z$97,0))</f>
        <v>0</v>
      </c>
      <c r="AD92" s="2" t="b">
        <f>IF(AD91=0,IF(achievement!AA$96*$B92&gt;=1,achievement!AA$97,0))</f>
        <v>0</v>
      </c>
      <c r="AE92" s="2" t="b">
        <f>IF(AE91=0,IF(achievement!AB$96*$B92&gt;=1,achievement!AB$97,0))</f>
        <v>0</v>
      </c>
      <c r="AF92" s="2" t="b">
        <f>IF(AF91=0,IF(achievement!AC$96*$B92&gt;=1,achievement!AC$97,0))</f>
        <v>0</v>
      </c>
      <c r="AG92" s="2" t="b">
        <f>IF(AG91=0,IF(achievement!AD$96*$B92&gt;=1,achievement!AD$97,0))</f>
        <v>0</v>
      </c>
      <c r="AH92" s="2" t="b">
        <f>IF(AH91=0,IF(achievement!AE$96*$B92&gt;=1,achievement!AE$97,0))</f>
        <v>0</v>
      </c>
      <c r="AI92" s="2" t="b">
        <f>IF(AI91=0,IF(achievement!AF$96*$B92&gt;=1,achievement!AF$97,0))</f>
        <v>0</v>
      </c>
      <c r="AJ92" s="2" t="b">
        <f>IF(AJ91=0,IF(achievement!AG$96*$B92&gt;=1,achievement!AG$97,0))</f>
        <v>0</v>
      </c>
      <c r="AK92" s="2" t="b">
        <f>IF(AK91=0,IF(achievement!AH$96*$B92&gt;=1,achievement!AH$97,0))</f>
        <v>0</v>
      </c>
      <c r="AL92" s="2" t="b">
        <f>IF(AL91=0,IF(achievement!AI$96*$B92&gt;=1,achievement!AI$97,0))</f>
        <v>0</v>
      </c>
      <c r="AM92" s="2" t="b">
        <f>IF(AM91=0,IF(achievement!AJ$96*$B92&gt;=1,achievement!AJ$97,0))</f>
        <v>0</v>
      </c>
      <c r="AN92" s="2" t="b">
        <f>IF(AN91=0,IF(achievement!AK$96*$B92&gt;=1,achievement!AK$97,0))</f>
        <v>0</v>
      </c>
      <c r="AO92" s="2" t="b">
        <f>IF(AO91=0,IF(achievement!AL$96*$B92&gt;=1,achievement!AL$97,0))</f>
        <v>0</v>
      </c>
      <c r="AP92" s="2" t="b">
        <f>IF(AP91=0,IF(achievement!AM$96*$B92&gt;=1,achievement!AM$97,0))</f>
        <v>0</v>
      </c>
      <c r="AQ92" s="2" t="b">
        <f>IF(AQ91=0,IF(achievement!AN$96*$B92&gt;=1,achievement!AN$97,0))</f>
        <v>0</v>
      </c>
      <c r="AR92" s="2" t="b">
        <f>IF(AR91=0,IF(achievement!AO$96*$B92&gt;=1,achievement!AO$97,0))</f>
        <v>0</v>
      </c>
      <c r="AS92" s="2" t="b">
        <f>IF(AS91=0,IF(achievement!AP$96*$B92&gt;=1,achievement!AP$97,0))</f>
        <v>0</v>
      </c>
      <c r="AT92" s="2" t="b">
        <f>IF(AT91=0,IF(achievement!AQ$96*$B92&gt;=1,achievement!AQ$97,0))</f>
        <v>0</v>
      </c>
      <c r="AU92" s="2" t="b">
        <f>IF(AU91=0,IF(achievement!AR$96*$B92&gt;=1,achievement!AR$97,0))</f>
        <v>0</v>
      </c>
      <c r="AV92" s="2" t="b">
        <f>IF(AV91=0,IF(achievement!AS$96*$B92&gt;=1,achievement!AS$97,0))</f>
        <v>0</v>
      </c>
      <c r="AW92" s="2"/>
      <c r="AX92" s="2"/>
      <c r="AY92" s="2"/>
    </row>
    <row r="93" s="1" customFormat="1" ht="18" customHeight="1" spans="2:51">
      <c r="B93" s="2">
        <v>68</v>
      </c>
      <c r="C93" s="2">
        <f t="shared" si="5"/>
        <v>68000</v>
      </c>
      <c r="D93" s="2">
        <f>ROUND($C$8*$C$5+$C$8*$C$4*(1-$L$5),0)</f>
        <v>88</v>
      </c>
      <c r="E93" s="2">
        <f t="shared" si="6"/>
        <v>5984</v>
      </c>
      <c r="F93" s="2">
        <f>ROUND(E93*VLOOKUP($B$10,总产出!$T$4:$U$14,2,FALSE),0)</f>
        <v>598</v>
      </c>
      <c r="G93" s="2">
        <f t="shared" si="7"/>
        <v>0</v>
      </c>
      <c r="H93" s="2">
        <f t="shared" si="8"/>
        <v>2327</v>
      </c>
      <c r="I93" s="2" t="b">
        <f>IF(I92=0,IF($B93&gt;=achievement!F$96,achievement!F$97,0))</f>
        <v>0</v>
      </c>
      <c r="J93" s="2" t="b">
        <f>IF(J92=0,IF($B93&gt;=achievement!G$96,achievement!G$97,0))</f>
        <v>0</v>
      </c>
      <c r="K93" s="2" t="b">
        <f>IF(K92=0,IF($B93&gt;=achievement!H$96,achievement!H$97,0))</f>
        <v>0</v>
      </c>
      <c r="L93" s="2" t="b">
        <f>IF(L92=0,IF($B93&gt;=achievement!I$96,achievement!I$97,0))</f>
        <v>0</v>
      </c>
      <c r="M93" s="2">
        <f>IF(M92=0,IF($B93&gt;=achievement!J$96,achievement!J$97,0))</f>
        <v>0</v>
      </c>
      <c r="N93" s="2">
        <f>IF(N92=0,IF($B93&gt;=achievement!K$96,achievement!K$97,0))</f>
        <v>0</v>
      </c>
      <c r="O93" s="2">
        <f>IF(O92=0,IF($B93&gt;=achievement!L$96,achievement!L$97,0))</f>
        <v>0</v>
      </c>
      <c r="P93" s="2" t="b">
        <f>IF(P92=0,IF(achievement!M$96*$B93&gt;=1,achievement!M$97,0))</f>
        <v>0</v>
      </c>
      <c r="Q93" s="2" t="b">
        <f>IF(Q92=0,IF(achievement!N$96*$B93&gt;=1,achievement!N$97,0))</f>
        <v>0</v>
      </c>
      <c r="R93" s="2" t="b">
        <f>IF(R92=0,IF(achievement!O$96*$B93&gt;=1,achievement!O$97,0))</f>
        <v>0</v>
      </c>
      <c r="S93" s="2" t="b">
        <f>IF(S92=0,IF(achievement!P$96*$B93&gt;=1,achievement!P$97,0))</f>
        <v>0</v>
      </c>
      <c r="T93" s="2" t="b">
        <f>IF(T92=0,IF(achievement!Q$96*$B93&gt;=1,achievement!Q$97,0))</f>
        <v>0</v>
      </c>
      <c r="U93" s="2" t="b">
        <f>IF(U92=0,IF(achievement!R$96*$B93&gt;=1,achievement!R$97,0))</f>
        <v>0</v>
      </c>
      <c r="V93" s="2" t="b">
        <f>IF(V92=0,IF(achievement!S$96*$B93&gt;=1,achievement!S$97,0))</f>
        <v>0</v>
      </c>
      <c r="W93" s="2" t="b">
        <f>IF(W92=0,IF(achievement!T$96*$B93&gt;=1,achievement!T$97,0))</f>
        <v>0</v>
      </c>
      <c r="X93" s="2" t="b">
        <f>IF(X92=0,IF(achievement!U$96*$B93&gt;=1,achievement!U$97,0))</f>
        <v>0</v>
      </c>
      <c r="Y93" s="2" t="b">
        <f>IF(Y92=0,IF(achievement!V$96*$B93&gt;=1,achievement!V$97,0))</f>
        <v>0</v>
      </c>
      <c r="Z93" s="2" t="b">
        <f>IF(Z92=0,IF(achievement!W$96*$B93&gt;=1,achievement!W$97,0))</f>
        <v>0</v>
      </c>
      <c r="AA93" s="2" t="b">
        <f>IF(AA92=0,IF(achievement!X$96*$B93&gt;=1,achievement!X$97,0))</f>
        <v>0</v>
      </c>
      <c r="AB93" s="2" t="b">
        <f>IF(AB92=0,IF(achievement!Y$96*$B93&gt;=1,achievement!Y$97,0))</f>
        <v>0</v>
      </c>
      <c r="AC93" s="2" t="b">
        <f>IF(AC92=0,IF(achievement!Z$96*$B93&gt;=1,achievement!Z$97,0))</f>
        <v>0</v>
      </c>
      <c r="AD93" s="2" t="b">
        <f>IF(AD92=0,IF(achievement!AA$96*$B93&gt;=1,achievement!AA$97,0))</f>
        <v>0</v>
      </c>
      <c r="AE93" s="2" t="b">
        <f>IF(AE92=0,IF(achievement!AB$96*$B93&gt;=1,achievement!AB$97,0))</f>
        <v>0</v>
      </c>
      <c r="AF93" s="2" t="b">
        <f>IF(AF92=0,IF(achievement!AC$96*$B93&gt;=1,achievement!AC$97,0))</f>
        <v>0</v>
      </c>
      <c r="AG93" s="2" t="b">
        <f>IF(AG92=0,IF(achievement!AD$96*$B93&gt;=1,achievement!AD$97,0))</f>
        <v>0</v>
      </c>
      <c r="AH93" s="2" t="b">
        <f>IF(AH92=0,IF(achievement!AE$96*$B93&gt;=1,achievement!AE$97,0))</f>
        <v>0</v>
      </c>
      <c r="AI93" s="2" t="b">
        <f>IF(AI92=0,IF(achievement!AF$96*$B93&gt;=1,achievement!AF$97,0))</f>
        <v>0</v>
      </c>
      <c r="AJ93" s="2" t="b">
        <f>IF(AJ92=0,IF(achievement!AG$96*$B93&gt;=1,achievement!AG$97,0))</f>
        <v>0</v>
      </c>
      <c r="AK93" s="2" t="b">
        <f>IF(AK92=0,IF(achievement!AH$96*$B93&gt;=1,achievement!AH$97,0))</f>
        <v>0</v>
      </c>
      <c r="AL93" s="2" t="b">
        <f>IF(AL92=0,IF(achievement!AI$96*$B93&gt;=1,achievement!AI$97,0))</f>
        <v>0</v>
      </c>
      <c r="AM93" s="2" t="b">
        <f>IF(AM92=0,IF(achievement!AJ$96*$B93&gt;=1,achievement!AJ$97,0))</f>
        <v>0</v>
      </c>
      <c r="AN93" s="2" t="b">
        <f>IF(AN92=0,IF(achievement!AK$96*$B93&gt;=1,achievement!AK$97,0))</f>
        <v>0</v>
      </c>
      <c r="AO93" s="2" t="b">
        <f>IF(AO92=0,IF(achievement!AL$96*$B93&gt;=1,achievement!AL$97,0))</f>
        <v>0</v>
      </c>
      <c r="AP93" s="2" t="b">
        <f>IF(AP92=0,IF(achievement!AM$96*$B93&gt;=1,achievement!AM$97,0))</f>
        <v>0</v>
      </c>
      <c r="AQ93" s="2" t="b">
        <f>IF(AQ92=0,IF(achievement!AN$96*$B93&gt;=1,achievement!AN$97,0))</f>
        <v>0</v>
      </c>
      <c r="AR93" s="2" t="b">
        <f>IF(AR92=0,IF(achievement!AO$96*$B93&gt;=1,achievement!AO$97,0))</f>
        <v>0</v>
      </c>
      <c r="AS93" s="2" t="b">
        <f>IF(AS92=0,IF(achievement!AP$96*$B93&gt;=1,achievement!AP$97,0))</f>
        <v>0</v>
      </c>
      <c r="AT93" s="2" t="b">
        <f>IF(AT92=0,IF(achievement!AQ$96*$B93&gt;=1,achievement!AQ$97,0))</f>
        <v>0</v>
      </c>
      <c r="AU93" s="2" t="b">
        <f>IF(AU92=0,IF(achievement!AR$96*$B93&gt;=1,achievement!AR$97,0))</f>
        <v>0</v>
      </c>
      <c r="AV93" s="2" t="b">
        <f>IF(AV92=0,IF(achievement!AS$96*$B93&gt;=1,achievement!AS$97,0))</f>
        <v>0</v>
      </c>
      <c r="AW93" s="2"/>
      <c r="AX93" s="2"/>
      <c r="AY93" s="2"/>
    </row>
    <row r="94" s="1" customFormat="1" ht="18" customHeight="1" spans="2:51">
      <c r="B94" s="2">
        <v>69</v>
      </c>
      <c r="C94" s="2">
        <f t="shared" si="5"/>
        <v>69000</v>
      </c>
      <c r="D94" s="2">
        <f>ROUND($C$8*$C$5+$C$8*$C$4*(1-$L$5),0)</f>
        <v>88</v>
      </c>
      <c r="E94" s="2">
        <f t="shared" si="6"/>
        <v>6072</v>
      </c>
      <c r="F94" s="2">
        <f>ROUND(E94*VLOOKUP($B$10,总产出!$T$4:$U$14,2,FALSE),0)</f>
        <v>607</v>
      </c>
      <c r="G94" s="2">
        <f t="shared" si="7"/>
        <v>0</v>
      </c>
      <c r="H94" s="2">
        <f t="shared" si="8"/>
        <v>2327</v>
      </c>
      <c r="I94" s="2" t="b">
        <f>IF(I93=0,IF($B94&gt;=achievement!F$96,achievement!F$97,0))</f>
        <v>0</v>
      </c>
      <c r="J94" s="2" t="b">
        <f>IF(J93=0,IF($B94&gt;=achievement!G$96,achievement!G$97,0))</f>
        <v>0</v>
      </c>
      <c r="K94" s="2" t="b">
        <f>IF(K93=0,IF($B94&gt;=achievement!H$96,achievement!H$97,0))</f>
        <v>0</v>
      </c>
      <c r="L94" s="2" t="b">
        <f>IF(L93=0,IF($B94&gt;=achievement!I$96,achievement!I$97,0))</f>
        <v>0</v>
      </c>
      <c r="M94" s="2">
        <f>IF(M93=0,IF($B94&gt;=achievement!J$96,achievement!J$97,0))</f>
        <v>0</v>
      </c>
      <c r="N94" s="2">
        <f>IF(N93=0,IF($B94&gt;=achievement!K$96,achievement!K$97,0))</f>
        <v>0</v>
      </c>
      <c r="O94" s="2">
        <f>IF(O93=0,IF($B94&gt;=achievement!L$96,achievement!L$97,0))</f>
        <v>0</v>
      </c>
      <c r="P94" s="2" t="b">
        <f>IF(P93=0,IF(achievement!M$96*$B94&gt;=1,achievement!M$97,0))</f>
        <v>0</v>
      </c>
      <c r="Q94" s="2" t="b">
        <f>IF(Q93=0,IF(achievement!N$96*$B94&gt;=1,achievement!N$97,0))</f>
        <v>0</v>
      </c>
      <c r="R94" s="2" t="b">
        <f>IF(R93=0,IF(achievement!O$96*$B94&gt;=1,achievement!O$97,0))</f>
        <v>0</v>
      </c>
      <c r="S94" s="2" t="b">
        <f>IF(S93=0,IF(achievement!P$96*$B94&gt;=1,achievement!P$97,0))</f>
        <v>0</v>
      </c>
      <c r="T94" s="2" t="b">
        <f>IF(T93=0,IF(achievement!Q$96*$B94&gt;=1,achievement!Q$97,0))</f>
        <v>0</v>
      </c>
      <c r="U94" s="2" t="b">
        <f>IF(U93=0,IF(achievement!R$96*$B94&gt;=1,achievement!R$97,0))</f>
        <v>0</v>
      </c>
      <c r="V94" s="2" t="b">
        <f>IF(V93=0,IF(achievement!S$96*$B94&gt;=1,achievement!S$97,0))</f>
        <v>0</v>
      </c>
      <c r="W94" s="2" t="b">
        <f>IF(W93=0,IF(achievement!T$96*$B94&gt;=1,achievement!T$97,0))</f>
        <v>0</v>
      </c>
      <c r="X94" s="2" t="b">
        <f>IF(X93=0,IF(achievement!U$96*$B94&gt;=1,achievement!U$97,0))</f>
        <v>0</v>
      </c>
      <c r="Y94" s="2" t="b">
        <f>IF(Y93=0,IF(achievement!V$96*$B94&gt;=1,achievement!V$97,0))</f>
        <v>0</v>
      </c>
      <c r="Z94" s="2" t="b">
        <f>IF(Z93=0,IF(achievement!W$96*$B94&gt;=1,achievement!W$97,0))</f>
        <v>0</v>
      </c>
      <c r="AA94" s="2" t="b">
        <f>IF(AA93=0,IF(achievement!X$96*$B94&gt;=1,achievement!X$97,0))</f>
        <v>0</v>
      </c>
      <c r="AB94" s="2" t="b">
        <f>IF(AB93=0,IF(achievement!Y$96*$B94&gt;=1,achievement!Y$97,0))</f>
        <v>0</v>
      </c>
      <c r="AC94" s="2" t="b">
        <f>IF(AC93=0,IF(achievement!Z$96*$B94&gt;=1,achievement!Z$97,0))</f>
        <v>0</v>
      </c>
      <c r="AD94" s="2" t="b">
        <f>IF(AD93=0,IF(achievement!AA$96*$B94&gt;=1,achievement!AA$97,0))</f>
        <v>0</v>
      </c>
      <c r="AE94" s="2" t="b">
        <f>IF(AE93=0,IF(achievement!AB$96*$B94&gt;=1,achievement!AB$97,0))</f>
        <v>0</v>
      </c>
      <c r="AF94" s="2" t="b">
        <f>IF(AF93=0,IF(achievement!AC$96*$B94&gt;=1,achievement!AC$97,0))</f>
        <v>0</v>
      </c>
      <c r="AG94" s="2" t="b">
        <f>IF(AG93=0,IF(achievement!AD$96*$B94&gt;=1,achievement!AD$97,0))</f>
        <v>0</v>
      </c>
      <c r="AH94" s="2" t="b">
        <f>IF(AH93=0,IF(achievement!AE$96*$B94&gt;=1,achievement!AE$97,0))</f>
        <v>0</v>
      </c>
      <c r="AI94" s="2" t="b">
        <f>IF(AI93=0,IF(achievement!AF$96*$B94&gt;=1,achievement!AF$97,0))</f>
        <v>0</v>
      </c>
      <c r="AJ94" s="2" t="b">
        <f>IF(AJ93=0,IF(achievement!AG$96*$B94&gt;=1,achievement!AG$97,0))</f>
        <v>0</v>
      </c>
      <c r="AK94" s="2" t="b">
        <f>IF(AK93=0,IF(achievement!AH$96*$B94&gt;=1,achievement!AH$97,0))</f>
        <v>0</v>
      </c>
      <c r="AL94" s="2" t="b">
        <f>IF(AL93=0,IF(achievement!AI$96*$B94&gt;=1,achievement!AI$97,0))</f>
        <v>0</v>
      </c>
      <c r="AM94" s="2" t="b">
        <f>IF(AM93=0,IF(achievement!AJ$96*$B94&gt;=1,achievement!AJ$97,0))</f>
        <v>0</v>
      </c>
      <c r="AN94" s="2" t="b">
        <f>IF(AN93=0,IF(achievement!AK$96*$B94&gt;=1,achievement!AK$97,0))</f>
        <v>0</v>
      </c>
      <c r="AO94" s="2" t="b">
        <f>IF(AO93=0,IF(achievement!AL$96*$B94&gt;=1,achievement!AL$97,0))</f>
        <v>0</v>
      </c>
      <c r="AP94" s="2" t="b">
        <f>IF(AP93=0,IF(achievement!AM$96*$B94&gt;=1,achievement!AM$97,0))</f>
        <v>0</v>
      </c>
      <c r="AQ94" s="2" t="b">
        <f>IF(AQ93=0,IF(achievement!AN$96*$B94&gt;=1,achievement!AN$97,0))</f>
        <v>0</v>
      </c>
      <c r="AR94" s="2" t="b">
        <f>IF(AR93=0,IF(achievement!AO$96*$B94&gt;=1,achievement!AO$97,0))</f>
        <v>0</v>
      </c>
      <c r="AS94" s="2" t="b">
        <f>IF(AS93=0,IF(achievement!AP$96*$B94&gt;=1,achievement!AP$97,0))</f>
        <v>0</v>
      </c>
      <c r="AT94" s="2" t="b">
        <f>IF(AT93=0,IF(achievement!AQ$96*$B94&gt;=1,achievement!AQ$97,0))</f>
        <v>0</v>
      </c>
      <c r="AU94" s="2" t="b">
        <f>IF(AU93=0,IF(achievement!AR$96*$B94&gt;=1,achievement!AR$97,0))</f>
        <v>0</v>
      </c>
      <c r="AV94" s="2" t="b">
        <f>IF(AV93=0,IF(achievement!AS$96*$B94&gt;=1,achievement!AS$97,0))</f>
        <v>0</v>
      </c>
      <c r="AW94" s="2"/>
      <c r="AX94" s="2"/>
      <c r="AY94" s="2"/>
    </row>
    <row r="95" s="1" customFormat="1" ht="18" customHeight="1" spans="2:51">
      <c r="B95" s="2">
        <v>70</v>
      </c>
      <c r="C95" s="2">
        <f t="shared" si="5"/>
        <v>70000</v>
      </c>
      <c r="D95" s="2">
        <f>ROUND($C$8*$C$5+$C$8*$C$4*(1-$L$5),0)</f>
        <v>88</v>
      </c>
      <c r="E95" s="2">
        <f t="shared" si="6"/>
        <v>6160</v>
      </c>
      <c r="F95" s="2">
        <f>ROUND(E95*VLOOKUP($B$10,总产出!$T$4:$U$14,2,FALSE),0)</f>
        <v>616</v>
      </c>
      <c r="G95" s="2">
        <f t="shared" si="7"/>
        <v>0</v>
      </c>
      <c r="H95" s="2">
        <f t="shared" si="8"/>
        <v>2327</v>
      </c>
      <c r="I95" s="2" t="b">
        <f>IF(I94=0,IF($B95&gt;=achievement!F$96,achievement!F$97,0))</f>
        <v>0</v>
      </c>
      <c r="J95" s="2" t="b">
        <f>IF(J94=0,IF($B95&gt;=achievement!G$96,achievement!G$97,0))</f>
        <v>0</v>
      </c>
      <c r="K95" s="2" t="b">
        <f>IF(K94=0,IF($B95&gt;=achievement!H$96,achievement!H$97,0))</f>
        <v>0</v>
      </c>
      <c r="L95" s="2" t="b">
        <f>IF(L94=0,IF($B95&gt;=achievement!I$96,achievement!I$97,0))</f>
        <v>0</v>
      </c>
      <c r="M95" s="2">
        <f>IF(M94=0,IF($B95&gt;=achievement!J$96,achievement!J$97,0))</f>
        <v>0</v>
      </c>
      <c r="N95" s="2">
        <f>IF(N94=0,IF($B95&gt;=achievement!K$96,achievement!K$97,0))</f>
        <v>0</v>
      </c>
      <c r="O95" s="2">
        <f>IF(O94=0,IF($B95&gt;=achievement!L$96,achievement!L$97,0))</f>
        <v>0</v>
      </c>
      <c r="P95" s="2" t="b">
        <f>IF(P94=0,IF(achievement!M$96*$B95&gt;=1,achievement!M$97,0))</f>
        <v>0</v>
      </c>
      <c r="Q95" s="2" t="b">
        <f>IF(Q94=0,IF(achievement!N$96*$B95&gt;=1,achievement!N$97,0))</f>
        <v>0</v>
      </c>
      <c r="R95" s="2" t="b">
        <f>IF(R94=0,IF(achievement!O$96*$B95&gt;=1,achievement!O$97,0))</f>
        <v>0</v>
      </c>
      <c r="S95" s="2" t="b">
        <f>IF(S94=0,IF(achievement!P$96*$B95&gt;=1,achievement!P$97,0))</f>
        <v>0</v>
      </c>
      <c r="T95" s="2" t="b">
        <f>IF(T94=0,IF(achievement!Q$96*$B95&gt;=1,achievement!Q$97,0))</f>
        <v>0</v>
      </c>
      <c r="U95" s="2" t="b">
        <f>IF(U94=0,IF(achievement!R$96*$B95&gt;=1,achievement!R$97,0))</f>
        <v>0</v>
      </c>
      <c r="V95" s="2" t="b">
        <f>IF(V94=0,IF(achievement!S$96*$B95&gt;=1,achievement!S$97,0))</f>
        <v>0</v>
      </c>
      <c r="W95" s="2" t="b">
        <f>IF(W94=0,IF(achievement!T$96*$B95&gt;=1,achievement!T$97,0))</f>
        <v>0</v>
      </c>
      <c r="X95" s="2" t="b">
        <f>IF(X94=0,IF(achievement!U$96*$B95&gt;=1,achievement!U$97,0))</f>
        <v>0</v>
      </c>
      <c r="Y95" s="2" t="b">
        <f>IF(Y94=0,IF(achievement!V$96*$B95&gt;=1,achievement!V$97,0))</f>
        <v>0</v>
      </c>
      <c r="Z95" s="2" t="b">
        <f>IF(Z94=0,IF(achievement!W$96*$B95&gt;=1,achievement!W$97,0))</f>
        <v>0</v>
      </c>
      <c r="AA95" s="2" t="b">
        <f>IF(AA94=0,IF(achievement!X$96*$B95&gt;=1,achievement!X$97,0))</f>
        <v>0</v>
      </c>
      <c r="AB95" s="2" t="b">
        <f>IF(AB94=0,IF(achievement!Y$96*$B95&gt;=1,achievement!Y$97,0))</f>
        <v>0</v>
      </c>
      <c r="AC95" s="2" t="b">
        <f>IF(AC94=0,IF(achievement!Z$96*$B95&gt;=1,achievement!Z$97,0))</f>
        <v>0</v>
      </c>
      <c r="AD95" s="2" t="b">
        <f>IF(AD94=0,IF(achievement!AA$96*$B95&gt;=1,achievement!AA$97,0))</f>
        <v>0</v>
      </c>
      <c r="AE95" s="2" t="b">
        <f>IF(AE94=0,IF(achievement!AB$96*$B95&gt;=1,achievement!AB$97,0))</f>
        <v>0</v>
      </c>
      <c r="AF95" s="2" t="b">
        <f>IF(AF94=0,IF(achievement!AC$96*$B95&gt;=1,achievement!AC$97,0))</f>
        <v>0</v>
      </c>
      <c r="AG95" s="2" t="b">
        <f>IF(AG94=0,IF(achievement!AD$96*$B95&gt;=1,achievement!AD$97,0))</f>
        <v>0</v>
      </c>
      <c r="AH95" s="2" t="b">
        <f>IF(AH94=0,IF(achievement!AE$96*$B95&gt;=1,achievement!AE$97,0))</f>
        <v>0</v>
      </c>
      <c r="AI95" s="2" t="b">
        <f>IF(AI94=0,IF(achievement!AF$96*$B95&gt;=1,achievement!AF$97,0))</f>
        <v>0</v>
      </c>
      <c r="AJ95" s="2" t="b">
        <f>IF(AJ94=0,IF(achievement!AG$96*$B95&gt;=1,achievement!AG$97,0))</f>
        <v>0</v>
      </c>
      <c r="AK95" s="2" t="b">
        <f>IF(AK94=0,IF(achievement!AH$96*$B95&gt;=1,achievement!AH$97,0))</f>
        <v>0</v>
      </c>
      <c r="AL95" s="2" t="b">
        <f>IF(AL94=0,IF(achievement!AI$96*$B95&gt;=1,achievement!AI$97,0))</f>
        <v>0</v>
      </c>
      <c r="AM95" s="2" t="b">
        <f>IF(AM94=0,IF(achievement!AJ$96*$B95&gt;=1,achievement!AJ$97,0))</f>
        <v>0</v>
      </c>
      <c r="AN95" s="2" t="b">
        <f>IF(AN94=0,IF(achievement!AK$96*$B95&gt;=1,achievement!AK$97,0))</f>
        <v>0</v>
      </c>
      <c r="AO95" s="2" t="b">
        <f>IF(AO94=0,IF(achievement!AL$96*$B95&gt;=1,achievement!AL$97,0))</f>
        <v>0</v>
      </c>
      <c r="AP95" s="2" t="b">
        <f>IF(AP94=0,IF(achievement!AM$96*$B95&gt;=1,achievement!AM$97,0))</f>
        <v>0</v>
      </c>
      <c r="AQ95" s="2" t="b">
        <f>IF(AQ94=0,IF(achievement!AN$96*$B95&gt;=1,achievement!AN$97,0))</f>
        <v>0</v>
      </c>
      <c r="AR95" s="2" t="b">
        <f>IF(AR94=0,IF(achievement!AO$96*$B95&gt;=1,achievement!AO$97,0))</f>
        <v>0</v>
      </c>
      <c r="AS95" s="2" t="b">
        <f>IF(AS94=0,IF(achievement!AP$96*$B95&gt;=1,achievement!AP$97,0))</f>
        <v>0</v>
      </c>
      <c r="AT95" s="2" t="b">
        <f>IF(AT94=0,IF(achievement!AQ$96*$B95&gt;=1,achievement!AQ$97,0))</f>
        <v>0</v>
      </c>
      <c r="AU95" s="2" t="b">
        <f>IF(AU94=0,IF(achievement!AR$96*$B95&gt;=1,achievement!AR$97,0))</f>
        <v>0</v>
      </c>
      <c r="AV95" s="2" t="b">
        <f>IF(AV94=0,IF(achievement!AS$96*$B95&gt;=1,achievement!AS$97,0))</f>
        <v>0</v>
      </c>
      <c r="AW95" s="2"/>
      <c r="AX95" s="2"/>
      <c r="AY95" s="2"/>
    </row>
    <row r="96" s="1" customFormat="1" ht="18" customHeight="1" spans="2:51">
      <c r="B96" s="2">
        <v>71</v>
      </c>
      <c r="C96" s="2">
        <f t="shared" si="5"/>
        <v>71000</v>
      </c>
      <c r="D96" s="2">
        <f>ROUND($C$8*$C$5+$C$8*$C$4*(1-$L$5),0)</f>
        <v>88</v>
      </c>
      <c r="E96" s="2">
        <f t="shared" si="6"/>
        <v>6248</v>
      </c>
      <c r="F96" s="2">
        <f>ROUND(E96*VLOOKUP($B$10,总产出!$T$4:$U$14,2,FALSE),0)</f>
        <v>625</v>
      </c>
      <c r="G96" s="2">
        <f t="shared" si="7"/>
        <v>0</v>
      </c>
      <c r="H96" s="2">
        <f t="shared" si="8"/>
        <v>2327</v>
      </c>
      <c r="I96" s="2" t="b">
        <f>IF(I95=0,IF($B96&gt;=achievement!F$96,achievement!F$97,0))</f>
        <v>0</v>
      </c>
      <c r="J96" s="2" t="b">
        <f>IF(J95=0,IF($B96&gt;=achievement!G$96,achievement!G$97,0))</f>
        <v>0</v>
      </c>
      <c r="K96" s="2" t="b">
        <f>IF(K95=0,IF($B96&gt;=achievement!H$96,achievement!H$97,0))</f>
        <v>0</v>
      </c>
      <c r="L96" s="2" t="b">
        <f>IF(L95=0,IF($B96&gt;=achievement!I$96,achievement!I$97,0))</f>
        <v>0</v>
      </c>
      <c r="M96" s="2">
        <f>IF(M95=0,IF($B96&gt;=achievement!J$96,achievement!J$97,0))</f>
        <v>0</v>
      </c>
      <c r="N96" s="2">
        <f>IF(N95=0,IF($B96&gt;=achievement!K$96,achievement!K$97,0))</f>
        <v>0</v>
      </c>
      <c r="O96" s="2">
        <f>IF(O95=0,IF($B96&gt;=achievement!L$96,achievement!L$97,0))</f>
        <v>0</v>
      </c>
      <c r="P96" s="2" t="b">
        <f>IF(P95=0,IF(achievement!M$96*$B96&gt;=1,achievement!M$97,0))</f>
        <v>0</v>
      </c>
      <c r="Q96" s="2" t="b">
        <f>IF(Q95=0,IF(achievement!N$96*$B96&gt;=1,achievement!N$97,0))</f>
        <v>0</v>
      </c>
      <c r="R96" s="2" t="b">
        <f>IF(R95=0,IF(achievement!O$96*$B96&gt;=1,achievement!O$97,0))</f>
        <v>0</v>
      </c>
      <c r="S96" s="2" t="b">
        <f>IF(S95=0,IF(achievement!P$96*$B96&gt;=1,achievement!P$97,0))</f>
        <v>0</v>
      </c>
      <c r="T96" s="2" t="b">
        <f>IF(T95=0,IF(achievement!Q$96*$B96&gt;=1,achievement!Q$97,0))</f>
        <v>0</v>
      </c>
      <c r="U96" s="2" t="b">
        <f>IF(U95=0,IF(achievement!R$96*$B96&gt;=1,achievement!R$97,0))</f>
        <v>0</v>
      </c>
      <c r="V96" s="2" t="b">
        <f>IF(V95=0,IF(achievement!S$96*$B96&gt;=1,achievement!S$97,0))</f>
        <v>0</v>
      </c>
      <c r="W96" s="2" t="b">
        <f>IF(W95=0,IF(achievement!T$96*$B96&gt;=1,achievement!T$97,0))</f>
        <v>0</v>
      </c>
      <c r="X96" s="2" t="b">
        <f>IF(X95=0,IF(achievement!U$96*$B96&gt;=1,achievement!U$97,0))</f>
        <v>0</v>
      </c>
      <c r="Y96" s="2" t="b">
        <f>IF(Y95=0,IF(achievement!V$96*$B96&gt;=1,achievement!V$97,0))</f>
        <v>0</v>
      </c>
      <c r="Z96" s="2" t="b">
        <f>IF(Z95=0,IF(achievement!W$96*$B96&gt;=1,achievement!W$97,0))</f>
        <v>0</v>
      </c>
      <c r="AA96" s="2" t="b">
        <f>IF(AA95=0,IF(achievement!X$96*$B96&gt;=1,achievement!X$97,0))</f>
        <v>0</v>
      </c>
      <c r="AB96" s="2" t="b">
        <f>IF(AB95=0,IF(achievement!Y$96*$B96&gt;=1,achievement!Y$97,0))</f>
        <v>0</v>
      </c>
      <c r="AC96" s="2" t="b">
        <f>IF(AC95=0,IF(achievement!Z$96*$B96&gt;=1,achievement!Z$97,0))</f>
        <v>0</v>
      </c>
      <c r="AD96" s="2" t="b">
        <f>IF(AD95=0,IF(achievement!AA$96*$B96&gt;=1,achievement!AA$97,0))</f>
        <v>0</v>
      </c>
      <c r="AE96" s="2" t="b">
        <f>IF(AE95=0,IF(achievement!AB$96*$B96&gt;=1,achievement!AB$97,0))</f>
        <v>0</v>
      </c>
      <c r="AF96" s="2" t="b">
        <f>IF(AF95=0,IF(achievement!AC$96*$B96&gt;=1,achievement!AC$97,0))</f>
        <v>0</v>
      </c>
      <c r="AG96" s="2" t="b">
        <f>IF(AG95=0,IF(achievement!AD$96*$B96&gt;=1,achievement!AD$97,0))</f>
        <v>0</v>
      </c>
      <c r="AH96" s="2" t="b">
        <f>IF(AH95=0,IF(achievement!AE$96*$B96&gt;=1,achievement!AE$97,0))</f>
        <v>0</v>
      </c>
      <c r="AI96" s="2" t="b">
        <f>IF(AI95=0,IF(achievement!AF$96*$B96&gt;=1,achievement!AF$97,0))</f>
        <v>0</v>
      </c>
      <c r="AJ96" s="2" t="b">
        <f>IF(AJ95=0,IF(achievement!AG$96*$B96&gt;=1,achievement!AG$97,0))</f>
        <v>0</v>
      </c>
      <c r="AK96" s="2" t="b">
        <f>IF(AK95=0,IF(achievement!AH$96*$B96&gt;=1,achievement!AH$97,0))</f>
        <v>0</v>
      </c>
      <c r="AL96" s="2" t="b">
        <f>IF(AL95=0,IF(achievement!AI$96*$B96&gt;=1,achievement!AI$97,0))</f>
        <v>0</v>
      </c>
      <c r="AM96" s="2" t="b">
        <f>IF(AM95=0,IF(achievement!AJ$96*$B96&gt;=1,achievement!AJ$97,0))</f>
        <v>0</v>
      </c>
      <c r="AN96" s="2" t="b">
        <f>IF(AN95=0,IF(achievement!AK$96*$B96&gt;=1,achievement!AK$97,0))</f>
        <v>0</v>
      </c>
      <c r="AO96" s="2" t="b">
        <f>IF(AO95=0,IF(achievement!AL$96*$B96&gt;=1,achievement!AL$97,0))</f>
        <v>0</v>
      </c>
      <c r="AP96" s="2" t="b">
        <f>IF(AP95=0,IF(achievement!AM$96*$B96&gt;=1,achievement!AM$97,0))</f>
        <v>0</v>
      </c>
      <c r="AQ96" s="2" t="b">
        <f>IF(AQ95=0,IF(achievement!AN$96*$B96&gt;=1,achievement!AN$97,0))</f>
        <v>0</v>
      </c>
      <c r="AR96" s="2" t="b">
        <f>IF(AR95=0,IF(achievement!AO$96*$B96&gt;=1,achievement!AO$97,0))</f>
        <v>0</v>
      </c>
      <c r="AS96" s="2" t="b">
        <f>IF(AS95=0,IF(achievement!AP$96*$B96&gt;=1,achievement!AP$97,0))</f>
        <v>0</v>
      </c>
      <c r="AT96" s="2" t="b">
        <f>IF(AT95=0,IF(achievement!AQ$96*$B96&gt;=1,achievement!AQ$97,0))</f>
        <v>0</v>
      </c>
      <c r="AU96" s="2" t="b">
        <f>IF(AU95=0,IF(achievement!AR$96*$B96&gt;=1,achievement!AR$97,0))</f>
        <v>0</v>
      </c>
      <c r="AV96" s="2" t="b">
        <f>IF(AV95=0,IF(achievement!AS$96*$B96&gt;=1,achievement!AS$97,0))</f>
        <v>0</v>
      </c>
      <c r="AW96" s="2"/>
      <c r="AX96" s="2"/>
      <c r="AY96" s="2"/>
    </row>
    <row r="97" s="1" customFormat="1" ht="18" customHeight="1" spans="2:51">
      <c r="B97" s="2">
        <v>72</v>
      </c>
      <c r="C97" s="2">
        <f t="shared" si="5"/>
        <v>72000</v>
      </c>
      <c r="D97" s="2">
        <f>ROUND($C$8*$C$5+$C$8*$C$4*(1-$L$5),0)</f>
        <v>88</v>
      </c>
      <c r="E97" s="2">
        <f t="shared" si="6"/>
        <v>6336</v>
      </c>
      <c r="F97" s="2">
        <f>ROUND(E97*VLOOKUP($B$10,总产出!$T$4:$U$14,2,FALSE),0)</f>
        <v>634</v>
      </c>
      <c r="G97" s="2">
        <f t="shared" si="7"/>
        <v>0</v>
      </c>
      <c r="H97" s="2">
        <f t="shared" si="8"/>
        <v>2327</v>
      </c>
      <c r="I97" s="2" t="b">
        <f>IF(I96=0,IF($B97&gt;=achievement!F$96,achievement!F$97,0))</f>
        <v>0</v>
      </c>
      <c r="J97" s="2" t="b">
        <f>IF(J96=0,IF($B97&gt;=achievement!G$96,achievement!G$97,0))</f>
        <v>0</v>
      </c>
      <c r="K97" s="2" t="b">
        <f>IF(K96=0,IF($B97&gt;=achievement!H$96,achievement!H$97,0))</f>
        <v>0</v>
      </c>
      <c r="L97" s="2" t="b">
        <f>IF(L96=0,IF($B97&gt;=achievement!I$96,achievement!I$97,0))</f>
        <v>0</v>
      </c>
      <c r="M97" s="2">
        <f>IF(M96=0,IF($B97&gt;=achievement!J$96,achievement!J$97,0))</f>
        <v>0</v>
      </c>
      <c r="N97" s="2">
        <f>IF(N96=0,IF($B97&gt;=achievement!K$96,achievement!K$97,0))</f>
        <v>0</v>
      </c>
      <c r="O97" s="2">
        <f>IF(O96=0,IF($B97&gt;=achievement!L$96,achievement!L$97,0))</f>
        <v>0</v>
      </c>
      <c r="P97" s="2" t="b">
        <f>IF(P96=0,IF(achievement!M$96*$B97&gt;=1,achievement!M$97,0))</f>
        <v>0</v>
      </c>
      <c r="Q97" s="2" t="b">
        <f>IF(Q96=0,IF(achievement!N$96*$B97&gt;=1,achievement!N$97,0))</f>
        <v>0</v>
      </c>
      <c r="R97" s="2" t="b">
        <f>IF(R96=0,IF(achievement!O$96*$B97&gt;=1,achievement!O$97,0))</f>
        <v>0</v>
      </c>
      <c r="S97" s="2" t="b">
        <f>IF(S96=0,IF(achievement!P$96*$B97&gt;=1,achievement!P$97,0))</f>
        <v>0</v>
      </c>
      <c r="T97" s="2" t="b">
        <f>IF(T96=0,IF(achievement!Q$96*$B97&gt;=1,achievement!Q$97,0))</f>
        <v>0</v>
      </c>
      <c r="U97" s="2" t="b">
        <f>IF(U96=0,IF(achievement!R$96*$B97&gt;=1,achievement!R$97,0))</f>
        <v>0</v>
      </c>
      <c r="V97" s="2" t="b">
        <f>IF(V96=0,IF(achievement!S$96*$B97&gt;=1,achievement!S$97,0))</f>
        <v>0</v>
      </c>
      <c r="W97" s="2" t="b">
        <f>IF(W96=0,IF(achievement!T$96*$B97&gt;=1,achievement!T$97,0))</f>
        <v>0</v>
      </c>
      <c r="X97" s="2" t="b">
        <f>IF(X96=0,IF(achievement!U$96*$B97&gt;=1,achievement!U$97,0))</f>
        <v>0</v>
      </c>
      <c r="Y97" s="2" t="b">
        <f>IF(Y96=0,IF(achievement!V$96*$B97&gt;=1,achievement!V$97,0))</f>
        <v>0</v>
      </c>
      <c r="Z97" s="2" t="b">
        <f>IF(Z96=0,IF(achievement!W$96*$B97&gt;=1,achievement!W$97,0))</f>
        <v>0</v>
      </c>
      <c r="AA97" s="2" t="b">
        <f>IF(AA96=0,IF(achievement!X$96*$B97&gt;=1,achievement!X$97,0))</f>
        <v>0</v>
      </c>
      <c r="AB97" s="2" t="b">
        <f>IF(AB96=0,IF(achievement!Y$96*$B97&gt;=1,achievement!Y$97,0))</f>
        <v>0</v>
      </c>
      <c r="AC97" s="2" t="b">
        <f>IF(AC96=0,IF(achievement!Z$96*$B97&gt;=1,achievement!Z$97,0))</f>
        <v>0</v>
      </c>
      <c r="AD97" s="2" t="b">
        <f>IF(AD96=0,IF(achievement!AA$96*$B97&gt;=1,achievement!AA$97,0))</f>
        <v>0</v>
      </c>
      <c r="AE97" s="2" t="b">
        <f>IF(AE96=0,IF(achievement!AB$96*$B97&gt;=1,achievement!AB$97,0))</f>
        <v>0</v>
      </c>
      <c r="AF97" s="2" t="b">
        <f>IF(AF96=0,IF(achievement!AC$96*$B97&gt;=1,achievement!AC$97,0))</f>
        <v>0</v>
      </c>
      <c r="AG97" s="2" t="b">
        <f>IF(AG96=0,IF(achievement!AD$96*$B97&gt;=1,achievement!AD$97,0))</f>
        <v>0</v>
      </c>
      <c r="AH97" s="2" t="b">
        <f>IF(AH96=0,IF(achievement!AE$96*$B97&gt;=1,achievement!AE$97,0))</f>
        <v>0</v>
      </c>
      <c r="AI97" s="2" t="b">
        <f>IF(AI96=0,IF(achievement!AF$96*$B97&gt;=1,achievement!AF$97,0))</f>
        <v>0</v>
      </c>
      <c r="AJ97" s="2" t="b">
        <f>IF(AJ96=0,IF(achievement!AG$96*$B97&gt;=1,achievement!AG$97,0))</f>
        <v>0</v>
      </c>
      <c r="AK97" s="2" t="b">
        <f>IF(AK96=0,IF(achievement!AH$96*$B97&gt;=1,achievement!AH$97,0))</f>
        <v>0</v>
      </c>
      <c r="AL97" s="2" t="b">
        <f>IF(AL96=0,IF(achievement!AI$96*$B97&gt;=1,achievement!AI$97,0))</f>
        <v>0</v>
      </c>
      <c r="AM97" s="2" t="b">
        <f>IF(AM96=0,IF(achievement!AJ$96*$B97&gt;=1,achievement!AJ$97,0))</f>
        <v>0</v>
      </c>
      <c r="AN97" s="2" t="b">
        <f>IF(AN96=0,IF(achievement!AK$96*$B97&gt;=1,achievement!AK$97,0))</f>
        <v>0</v>
      </c>
      <c r="AO97" s="2" t="b">
        <f>IF(AO96=0,IF(achievement!AL$96*$B97&gt;=1,achievement!AL$97,0))</f>
        <v>0</v>
      </c>
      <c r="AP97" s="2" t="b">
        <f>IF(AP96=0,IF(achievement!AM$96*$B97&gt;=1,achievement!AM$97,0))</f>
        <v>0</v>
      </c>
      <c r="AQ97" s="2" t="b">
        <f>IF(AQ96=0,IF(achievement!AN$96*$B97&gt;=1,achievement!AN$97,0))</f>
        <v>0</v>
      </c>
      <c r="AR97" s="2" t="b">
        <f>IF(AR96=0,IF(achievement!AO$96*$B97&gt;=1,achievement!AO$97,0))</f>
        <v>0</v>
      </c>
      <c r="AS97" s="2" t="b">
        <f>IF(AS96=0,IF(achievement!AP$96*$B97&gt;=1,achievement!AP$97,0))</f>
        <v>0</v>
      </c>
      <c r="AT97" s="2" t="b">
        <f>IF(AT96=0,IF(achievement!AQ$96*$B97&gt;=1,achievement!AQ$97,0))</f>
        <v>0</v>
      </c>
      <c r="AU97" s="2" t="b">
        <f>IF(AU96=0,IF(achievement!AR$96*$B97&gt;=1,achievement!AR$97,0))</f>
        <v>0</v>
      </c>
      <c r="AV97" s="2" t="b">
        <f>IF(AV96=0,IF(achievement!AS$96*$B97&gt;=1,achievement!AS$97,0))</f>
        <v>0</v>
      </c>
      <c r="AW97" s="2"/>
      <c r="AX97" s="2"/>
      <c r="AY97" s="2"/>
    </row>
    <row r="98" s="1" customFormat="1" ht="18" customHeight="1" spans="2:51">
      <c r="B98" s="2">
        <v>73</v>
      </c>
      <c r="C98" s="2">
        <f t="shared" si="5"/>
        <v>73000</v>
      </c>
      <c r="D98" s="2">
        <f>ROUND($C$8*$C$5+$C$8*$C$4*(1-$L$5),0)</f>
        <v>88</v>
      </c>
      <c r="E98" s="2">
        <f t="shared" si="6"/>
        <v>6424</v>
      </c>
      <c r="F98" s="2">
        <f>ROUND(E98*VLOOKUP($B$10,总产出!$T$4:$U$14,2,FALSE),0)</f>
        <v>642</v>
      </c>
      <c r="G98" s="2">
        <f t="shared" si="7"/>
        <v>0</v>
      </c>
      <c r="H98" s="2">
        <f t="shared" si="8"/>
        <v>2327</v>
      </c>
      <c r="I98" s="2" t="b">
        <f>IF(I97=0,IF($B98&gt;=achievement!F$96,achievement!F$97,0))</f>
        <v>0</v>
      </c>
      <c r="J98" s="2" t="b">
        <f>IF(J97=0,IF($B98&gt;=achievement!G$96,achievement!G$97,0))</f>
        <v>0</v>
      </c>
      <c r="K98" s="2" t="b">
        <f>IF(K97=0,IF($B98&gt;=achievement!H$96,achievement!H$97,0))</f>
        <v>0</v>
      </c>
      <c r="L98" s="2" t="b">
        <f>IF(L97=0,IF($B98&gt;=achievement!I$96,achievement!I$97,0))</f>
        <v>0</v>
      </c>
      <c r="M98" s="2">
        <f>IF(M97=0,IF($B98&gt;=achievement!J$96,achievement!J$97,0))</f>
        <v>0</v>
      </c>
      <c r="N98" s="2">
        <f>IF(N97=0,IF($B98&gt;=achievement!K$96,achievement!K$97,0))</f>
        <v>0</v>
      </c>
      <c r="O98" s="2">
        <f>IF(O97=0,IF($B98&gt;=achievement!L$96,achievement!L$97,0))</f>
        <v>0</v>
      </c>
      <c r="P98" s="2" t="b">
        <f>IF(P97=0,IF(achievement!M$96*$B98&gt;=1,achievement!M$97,0))</f>
        <v>0</v>
      </c>
      <c r="Q98" s="2" t="b">
        <f>IF(Q97=0,IF(achievement!N$96*$B98&gt;=1,achievement!N$97,0))</f>
        <v>0</v>
      </c>
      <c r="R98" s="2" t="b">
        <f>IF(R97=0,IF(achievement!O$96*$B98&gt;=1,achievement!O$97,0))</f>
        <v>0</v>
      </c>
      <c r="S98" s="2" t="b">
        <f>IF(S97=0,IF(achievement!P$96*$B98&gt;=1,achievement!P$97,0))</f>
        <v>0</v>
      </c>
      <c r="T98" s="2" t="b">
        <f>IF(T97=0,IF(achievement!Q$96*$B98&gt;=1,achievement!Q$97,0))</f>
        <v>0</v>
      </c>
      <c r="U98" s="2" t="b">
        <f>IF(U97=0,IF(achievement!R$96*$B98&gt;=1,achievement!R$97,0))</f>
        <v>0</v>
      </c>
      <c r="V98" s="2" t="b">
        <f>IF(V97=0,IF(achievement!S$96*$B98&gt;=1,achievement!S$97,0))</f>
        <v>0</v>
      </c>
      <c r="W98" s="2" t="b">
        <f>IF(W97=0,IF(achievement!T$96*$B98&gt;=1,achievement!T$97,0))</f>
        <v>0</v>
      </c>
      <c r="X98" s="2" t="b">
        <f>IF(X97=0,IF(achievement!U$96*$B98&gt;=1,achievement!U$97,0))</f>
        <v>0</v>
      </c>
      <c r="Y98" s="2" t="b">
        <f>IF(Y97=0,IF(achievement!V$96*$B98&gt;=1,achievement!V$97,0))</f>
        <v>0</v>
      </c>
      <c r="Z98" s="2" t="b">
        <f>IF(Z97=0,IF(achievement!W$96*$B98&gt;=1,achievement!W$97,0))</f>
        <v>0</v>
      </c>
      <c r="AA98" s="2" t="b">
        <f>IF(AA97=0,IF(achievement!X$96*$B98&gt;=1,achievement!X$97,0))</f>
        <v>0</v>
      </c>
      <c r="AB98" s="2" t="b">
        <f>IF(AB97=0,IF(achievement!Y$96*$B98&gt;=1,achievement!Y$97,0))</f>
        <v>0</v>
      </c>
      <c r="AC98" s="2" t="b">
        <f>IF(AC97=0,IF(achievement!Z$96*$B98&gt;=1,achievement!Z$97,0))</f>
        <v>0</v>
      </c>
      <c r="AD98" s="2" t="b">
        <f>IF(AD97=0,IF(achievement!AA$96*$B98&gt;=1,achievement!AA$97,0))</f>
        <v>0</v>
      </c>
      <c r="AE98" s="2" t="b">
        <f>IF(AE97=0,IF(achievement!AB$96*$B98&gt;=1,achievement!AB$97,0))</f>
        <v>0</v>
      </c>
      <c r="AF98" s="2" t="b">
        <f>IF(AF97=0,IF(achievement!AC$96*$B98&gt;=1,achievement!AC$97,0))</f>
        <v>0</v>
      </c>
      <c r="AG98" s="2" t="b">
        <f>IF(AG97=0,IF(achievement!AD$96*$B98&gt;=1,achievement!AD$97,0))</f>
        <v>0</v>
      </c>
      <c r="AH98" s="2" t="b">
        <f>IF(AH97=0,IF(achievement!AE$96*$B98&gt;=1,achievement!AE$97,0))</f>
        <v>0</v>
      </c>
      <c r="AI98" s="2" t="b">
        <f>IF(AI97=0,IF(achievement!AF$96*$B98&gt;=1,achievement!AF$97,0))</f>
        <v>0</v>
      </c>
      <c r="AJ98" s="2" t="b">
        <f>IF(AJ97=0,IF(achievement!AG$96*$B98&gt;=1,achievement!AG$97,0))</f>
        <v>0</v>
      </c>
      <c r="AK98" s="2" t="b">
        <f>IF(AK97=0,IF(achievement!AH$96*$B98&gt;=1,achievement!AH$97,0))</f>
        <v>0</v>
      </c>
      <c r="AL98" s="2" t="b">
        <f>IF(AL97=0,IF(achievement!AI$96*$B98&gt;=1,achievement!AI$97,0))</f>
        <v>0</v>
      </c>
      <c r="AM98" s="2" t="b">
        <f>IF(AM97=0,IF(achievement!AJ$96*$B98&gt;=1,achievement!AJ$97,0))</f>
        <v>0</v>
      </c>
      <c r="AN98" s="2" t="b">
        <f>IF(AN97=0,IF(achievement!AK$96*$B98&gt;=1,achievement!AK$97,0))</f>
        <v>0</v>
      </c>
      <c r="AO98" s="2" t="b">
        <f>IF(AO97=0,IF(achievement!AL$96*$B98&gt;=1,achievement!AL$97,0))</f>
        <v>0</v>
      </c>
      <c r="AP98" s="2" t="b">
        <f>IF(AP97=0,IF(achievement!AM$96*$B98&gt;=1,achievement!AM$97,0))</f>
        <v>0</v>
      </c>
      <c r="AQ98" s="2" t="b">
        <f>IF(AQ97=0,IF(achievement!AN$96*$B98&gt;=1,achievement!AN$97,0))</f>
        <v>0</v>
      </c>
      <c r="AR98" s="2" t="b">
        <f>IF(AR97=0,IF(achievement!AO$96*$B98&gt;=1,achievement!AO$97,0))</f>
        <v>0</v>
      </c>
      <c r="AS98" s="2" t="b">
        <f>IF(AS97=0,IF(achievement!AP$96*$B98&gt;=1,achievement!AP$97,0))</f>
        <v>0</v>
      </c>
      <c r="AT98" s="2" t="b">
        <f>IF(AT97=0,IF(achievement!AQ$96*$B98&gt;=1,achievement!AQ$97,0))</f>
        <v>0</v>
      </c>
      <c r="AU98" s="2" t="b">
        <f>IF(AU97=0,IF(achievement!AR$96*$B98&gt;=1,achievement!AR$97,0))</f>
        <v>0</v>
      </c>
      <c r="AV98" s="2" t="b">
        <f>IF(AV97=0,IF(achievement!AS$96*$B98&gt;=1,achievement!AS$97,0))</f>
        <v>0</v>
      </c>
      <c r="AW98" s="2"/>
      <c r="AX98" s="2"/>
      <c r="AY98" s="2"/>
    </row>
    <row r="99" s="1" customFormat="1" ht="18" customHeight="1" spans="2:51">
      <c r="B99" s="2">
        <v>74</v>
      </c>
      <c r="C99" s="2">
        <f t="shared" si="5"/>
        <v>74000</v>
      </c>
      <c r="D99" s="2">
        <f>ROUND($C$8*$C$5+$C$8*$C$4*(1-$L$5),0)</f>
        <v>88</v>
      </c>
      <c r="E99" s="2">
        <f t="shared" si="6"/>
        <v>6512</v>
      </c>
      <c r="F99" s="2">
        <f>ROUND(E99*VLOOKUP($B$10,总产出!$T$4:$U$14,2,FALSE),0)</f>
        <v>651</v>
      </c>
      <c r="G99" s="2">
        <f t="shared" si="7"/>
        <v>0</v>
      </c>
      <c r="H99" s="2">
        <f t="shared" si="8"/>
        <v>2327</v>
      </c>
      <c r="I99" s="2" t="b">
        <f>IF(I98=0,IF($B99&gt;=achievement!F$96,achievement!F$97,0))</f>
        <v>0</v>
      </c>
      <c r="J99" s="2" t="b">
        <f>IF(J98=0,IF($B99&gt;=achievement!G$96,achievement!G$97,0))</f>
        <v>0</v>
      </c>
      <c r="K99" s="2" t="b">
        <f>IF(K98=0,IF($B99&gt;=achievement!H$96,achievement!H$97,0))</f>
        <v>0</v>
      </c>
      <c r="L99" s="2" t="b">
        <f>IF(L98=0,IF($B99&gt;=achievement!I$96,achievement!I$97,0))</f>
        <v>0</v>
      </c>
      <c r="M99" s="2">
        <f>IF(M98=0,IF($B99&gt;=achievement!J$96,achievement!J$97,0))</f>
        <v>0</v>
      </c>
      <c r="N99" s="2">
        <f>IF(N98=0,IF($B99&gt;=achievement!K$96,achievement!K$97,0))</f>
        <v>0</v>
      </c>
      <c r="O99" s="2">
        <f>IF(O98=0,IF($B99&gt;=achievement!L$96,achievement!L$97,0))</f>
        <v>0</v>
      </c>
      <c r="P99" s="2" t="b">
        <f>IF(P98=0,IF(achievement!M$96*$B99&gt;=1,achievement!M$97,0))</f>
        <v>0</v>
      </c>
      <c r="Q99" s="2" t="b">
        <f>IF(Q98=0,IF(achievement!N$96*$B99&gt;=1,achievement!N$97,0))</f>
        <v>0</v>
      </c>
      <c r="R99" s="2" t="b">
        <f>IF(R98=0,IF(achievement!O$96*$B99&gt;=1,achievement!O$97,0))</f>
        <v>0</v>
      </c>
      <c r="S99" s="2" t="b">
        <f>IF(S98=0,IF(achievement!P$96*$B99&gt;=1,achievement!P$97,0))</f>
        <v>0</v>
      </c>
      <c r="T99" s="2" t="b">
        <f>IF(T98=0,IF(achievement!Q$96*$B99&gt;=1,achievement!Q$97,0))</f>
        <v>0</v>
      </c>
      <c r="U99" s="2" t="b">
        <f>IF(U98=0,IF(achievement!R$96*$B99&gt;=1,achievement!R$97,0))</f>
        <v>0</v>
      </c>
      <c r="V99" s="2" t="b">
        <f>IF(V98=0,IF(achievement!S$96*$B99&gt;=1,achievement!S$97,0))</f>
        <v>0</v>
      </c>
      <c r="W99" s="2" t="b">
        <f>IF(W98=0,IF(achievement!T$96*$B99&gt;=1,achievement!T$97,0))</f>
        <v>0</v>
      </c>
      <c r="X99" s="2" t="b">
        <f>IF(X98=0,IF(achievement!U$96*$B99&gt;=1,achievement!U$97,0))</f>
        <v>0</v>
      </c>
      <c r="Y99" s="2" t="b">
        <f>IF(Y98=0,IF(achievement!V$96*$B99&gt;=1,achievement!V$97,0))</f>
        <v>0</v>
      </c>
      <c r="Z99" s="2" t="b">
        <f>IF(Z98=0,IF(achievement!W$96*$B99&gt;=1,achievement!W$97,0))</f>
        <v>0</v>
      </c>
      <c r="AA99" s="2" t="b">
        <f>IF(AA98=0,IF(achievement!X$96*$B99&gt;=1,achievement!X$97,0))</f>
        <v>0</v>
      </c>
      <c r="AB99" s="2" t="b">
        <f>IF(AB98=0,IF(achievement!Y$96*$B99&gt;=1,achievement!Y$97,0))</f>
        <v>0</v>
      </c>
      <c r="AC99" s="2" t="b">
        <f>IF(AC98=0,IF(achievement!Z$96*$B99&gt;=1,achievement!Z$97,0))</f>
        <v>0</v>
      </c>
      <c r="AD99" s="2" t="b">
        <f>IF(AD98=0,IF(achievement!AA$96*$B99&gt;=1,achievement!AA$97,0))</f>
        <v>0</v>
      </c>
      <c r="AE99" s="2" t="b">
        <f>IF(AE98=0,IF(achievement!AB$96*$B99&gt;=1,achievement!AB$97,0))</f>
        <v>0</v>
      </c>
      <c r="AF99" s="2" t="b">
        <f>IF(AF98=0,IF(achievement!AC$96*$B99&gt;=1,achievement!AC$97,0))</f>
        <v>0</v>
      </c>
      <c r="AG99" s="2" t="b">
        <f>IF(AG98=0,IF(achievement!AD$96*$B99&gt;=1,achievement!AD$97,0))</f>
        <v>0</v>
      </c>
      <c r="AH99" s="2" t="b">
        <f>IF(AH98=0,IF(achievement!AE$96*$B99&gt;=1,achievement!AE$97,0))</f>
        <v>0</v>
      </c>
      <c r="AI99" s="2" t="b">
        <f>IF(AI98=0,IF(achievement!AF$96*$B99&gt;=1,achievement!AF$97,0))</f>
        <v>0</v>
      </c>
      <c r="AJ99" s="2" t="b">
        <f>IF(AJ98=0,IF(achievement!AG$96*$B99&gt;=1,achievement!AG$97,0))</f>
        <v>0</v>
      </c>
      <c r="AK99" s="2" t="b">
        <f>IF(AK98=0,IF(achievement!AH$96*$B99&gt;=1,achievement!AH$97,0))</f>
        <v>0</v>
      </c>
      <c r="AL99" s="2" t="b">
        <f>IF(AL98=0,IF(achievement!AI$96*$B99&gt;=1,achievement!AI$97,0))</f>
        <v>0</v>
      </c>
      <c r="AM99" s="2" t="b">
        <f>IF(AM98=0,IF(achievement!AJ$96*$B99&gt;=1,achievement!AJ$97,0))</f>
        <v>0</v>
      </c>
      <c r="AN99" s="2" t="b">
        <f>IF(AN98=0,IF(achievement!AK$96*$B99&gt;=1,achievement!AK$97,0))</f>
        <v>0</v>
      </c>
      <c r="AO99" s="2" t="b">
        <f>IF(AO98=0,IF(achievement!AL$96*$B99&gt;=1,achievement!AL$97,0))</f>
        <v>0</v>
      </c>
      <c r="AP99" s="2" t="b">
        <f>IF(AP98=0,IF(achievement!AM$96*$B99&gt;=1,achievement!AM$97,0))</f>
        <v>0</v>
      </c>
      <c r="AQ99" s="2" t="b">
        <f>IF(AQ98=0,IF(achievement!AN$96*$B99&gt;=1,achievement!AN$97,0))</f>
        <v>0</v>
      </c>
      <c r="AR99" s="2" t="b">
        <f>IF(AR98=0,IF(achievement!AO$96*$B99&gt;=1,achievement!AO$97,0))</f>
        <v>0</v>
      </c>
      <c r="AS99" s="2" t="b">
        <f>IF(AS98=0,IF(achievement!AP$96*$B99&gt;=1,achievement!AP$97,0))</f>
        <v>0</v>
      </c>
      <c r="AT99" s="2" t="b">
        <f>IF(AT98=0,IF(achievement!AQ$96*$B99&gt;=1,achievement!AQ$97,0))</f>
        <v>0</v>
      </c>
      <c r="AU99" s="2" t="b">
        <f>IF(AU98=0,IF(achievement!AR$96*$B99&gt;=1,achievement!AR$97,0))</f>
        <v>0</v>
      </c>
      <c r="AV99" s="2" t="b">
        <f>IF(AV98=0,IF(achievement!AS$96*$B99&gt;=1,achievement!AS$97,0))</f>
        <v>0</v>
      </c>
      <c r="AW99" s="2"/>
      <c r="AX99" s="2"/>
      <c r="AY99" s="2"/>
    </row>
    <row r="100" s="1" customFormat="1" ht="18" customHeight="1" spans="2:51">
      <c r="B100" s="2">
        <v>75</v>
      </c>
      <c r="C100" s="2">
        <f t="shared" si="5"/>
        <v>75000</v>
      </c>
      <c r="D100" s="2">
        <f>ROUND($C$8*$C$5+$C$8*$C$4*(1-$L$5),0)</f>
        <v>88</v>
      </c>
      <c r="E100" s="2">
        <f t="shared" si="6"/>
        <v>6600</v>
      </c>
      <c r="F100" s="2">
        <f>ROUND(E100*VLOOKUP($B$10,总产出!$T$4:$U$14,2,FALSE),0)</f>
        <v>660</v>
      </c>
      <c r="G100" s="2">
        <f t="shared" si="7"/>
        <v>0</v>
      </c>
      <c r="H100" s="2">
        <f t="shared" si="8"/>
        <v>2327</v>
      </c>
      <c r="I100" s="2" t="b">
        <f>IF(I99=0,IF($B100&gt;=achievement!F$96,achievement!F$97,0))</f>
        <v>0</v>
      </c>
      <c r="J100" s="2" t="b">
        <f>IF(J99=0,IF($B100&gt;=achievement!G$96,achievement!G$97,0))</f>
        <v>0</v>
      </c>
      <c r="K100" s="2" t="b">
        <f>IF(K99=0,IF($B100&gt;=achievement!H$96,achievement!H$97,0))</f>
        <v>0</v>
      </c>
      <c r="L100" s="2" t="b">
        <f>IF(L99=0,IF($B100&gt;=achievement!I$96,achievement!I$97,0))</f>
        <v>0</v>
      </c>
      <c r="M100" s="2">
        <f>IF(M99=0,IF($B100&gt;=achievement!J$96,achievement!J$97,0))</f>
        <v>0</v>
      </c>
      <c r="N100" s="2">
        <f>IF(N99=0,IF($B100&gt;=achievement!K$96,achievement!K$97,0))</f>
        <v>0</v>
      </c>
      <c r="O100" s="2">
        <f>IF(O99=0,IF($B100&gt;=achievement!L$96,achievement!L$97,0))</f>
        <v>0</v>
      </c>
      <c r="P100" s="2" t="b">
        <f>IF(P99=0,IF(achievement!M$96*$B100&gt;=1,achievement!M$97,0))</f>
        <v>0</v>
      </c>
      <c r="Q100" s="2" t="b">
        <f>IF(Q99=0,IF(achievement!N$96*$B100&gt;=1,achievement!N$97,0))</f>
        <v>0</v>
      </c>
      <c r="R100" s="2" t="b">
        <f>IF(R99=0,IF(achievement!O$96*$B100&gt;=1,achievement!O$97,0))</f>
        <v>0</v>
      </c>
      <c r="S100" s="2" t="b">
        <f>IF(S99=0,IF(achievement!P$96*$B100&gt;=1,achievement!P$97,0))</f>
        <v>0</v>
      </c>
      <c r="T100" s="2" t="b">
        <f>IF(T99=0,IF(achievement!Q$96*$B100&gt;=1,achievement!Q$97,0))</f>
        <v>0</v>
      </c>
      <c r="U100" s="2" t="b">
        <f>IF(U99=0,IF(achievement!R$96*$B100&gt;=1,achievement!R$97,0))</f>
        <v>0</v>
      </c>
      <c r="V100" s="2" t="b">
        <f>IF(V99=0,IF(achievement!S$96*$B100&gt;=1,achievement!S$97,0))</f>
        <v>0</v>
      </c>
      <c r="W100" s="2" t="b">
        <f>IF(W99=0,IF(achievement!T$96*$B100&gt;=1,achievement!T$97,0))</f>
        <v>0</v>
      </c>
      <c r="X100" s="2" t="b">
        <f>IF(X99=0,IF(achievement!U$96*$B100&gt;=1,achievement!U$97,0))</f>
        <v>0</v>
      </c>
      <c r="Y100" s="2" t="b">
        <f>IF(Y99=0,IF(achievement!V$96*$B100&gt;=1,achievement!V$97,0))</f>
        <v>0</v>
      </c>
      <c r="Z100" s="2" t="b">
        <f>IF(Z99=0,IF(achievement!W$96*$B100&gt;=1,achievement!W$97,0))</f>
        <v>0</v>
      </c>
      <c r="AA100" s="2" t="b">
        <f>IF(AA99=0,IF(achievement!X$96*$B100&gt;=1,achievement!X$97,0))</f>
        <v>0</v>
      </c>
      <c r="AB100" s="2" t="b">
        <f>IF(AB99=0,IF(achievement!Y$96*$B100&gt;=1,achievement!Y$97,0))</f>
        <v>0</v>
      </c>
      <c r="AC100" s="2" t="b">
        <f>IF(AC99=0,IF(achievement!Z$96*$B100&gt;=1,achievement!Z$97,0))</f>
        <v>0</v>
      </c>
      <c r="AD100" s="2" t="b">
        <f>IF(AD99=0,IF(achievement!AA$96*$B100&gt;=1,achievement!AA$97,0))</f>
        <v>0</v>
      </c>
      <c r="AE100" s="2" t="b">
        <f>IF(AE99=0,IF(achievement!AB$96*$B100&gt;=1,achievement!AB$97,0))</f>
        <v>0</v>
      </c>
      <c r="AF100" s="2" t="b">
        <f>IF(AF99=0,IF(achievement!AC$96*$B100&gt;=1,achievement!AC$97,0))</f>
        <v>0</v>
      </c>
      <c r="AG100" s="2" t="b">
        <f>IF(AG99=0,IF(achievement!AD$96*$B100&gt;=1,achievement!AD$97,0))</f>
        <v>0</v>
      </c>
      <c r="AH100" s="2" t="b">
        <f>IF(AH99=0,IF(achievement!AE$96*$B100&gt;=1,achievement!AE$97,0))</f>
        <v>0</v>
      </c>
      <c r="AI100" s="2" t="b">
        <f>IF(AI99=0,IF(achievement!AF$96*$B100&gt;=1,achievement!AF$97,0))</f>
        <v>0</v>
      </c>
      <c r="AJ100" s="2" t="b">
        <f>IF(AJ99=0,IF(achievement!AG$96*$B100&gt;=1,achievement!AG$97,0))</f>
        <v>0</v>
      </c>
      <c r="AK100" s="2" t="b">
        <f>IF(AK99=0,IF(achievement!AH$96*$B100&gt;=1,achievement!AH$97,0))</f>
        <v>0</v>
      </c>
      <c r="AL100" s="2" t="b">
        <f>IF(AL99=0,IF(achievement!AI$96*$B100&gt;=1,achievement!AI$97,0))</f>
        <v>0</v>
      </c>
      <c r="AM100" s="2" t="b">
        <f>IF(AM99=0,IF(achievement!AJ$96*$B100&gt;=1,achievement!AJ$97,0))</f>
        <v>0</v>
      </c>
      <c r="AN100" s="2" t="b">
        <f>IF(AN99=0,IF(achievement!AK$96*$B100&gt;=1,achievement!AK$97,0))</f>
        <v>0</v>
      </c>
      <c r="AO100" s="2" t="b">
        <f>IF(AO99=0,IF(achievement!AL$96*$B100&gt;=1,achievement!AL$97,0))</f>
        <v>0</v>
      </c>
      <c r="AP100" s="2" t="b">
        <f>IF(AP99=0,IF(achievement!AM$96*$B100&gt;=1,achievement!AM$97,0))</f>
        <v>0</v>
      </c>
      <c r="AQ100" s="2" t="b">
        <f>IF(AQ99=0,IF(achievement!AN$96*$B100&gt;=1,achievement!AN$97,0))</f>
        <v>0</v>
      </c>
      <c r="AR100" s="2" t="b">
        <f>IF(AR99=0,IF(achievement!AO$96*$B100&gt;=1,achievement!AO$97,0))</f>
        <v>0</v>
      </c>
      <c r="AS100" s="2" t="b">
        <f>IF(AS99=0,IF(achievement!AP$96*$B100&gt;=1,achievement!AP$97,0))</f>
        <v>0</v>
      </c>
      <c r="AT100" s="2" t="b">
        <f>IF(AT99=0,IF(achievement!AQ$96*$B100&gt;=1,achievement!AQ$97,0))</f>
        <v>0</v>
      </c>
      <c r="AU100" s="2" t="b">
        <f>IF(AU99=0,IF(achievement!AR$96*$B100&gt;=1,achievement!AR$97,0))</f>
        <v>0</v>
      </c>
      <c r="AV100" s="2" t="b">
        <f>IF(AV99=0,IF(achievement!AS$96*$B100&gt;=1,achievement!AS$97,0))</f>
        <v>0</v>
      </c>
      <c r="AW100" s="2"/>
      <c r="AX100" s="2"/>
      <c r="AY100" s="2"/>
    </row>
    <row r="101" s="1" customFormat="1" ht="18" customHeight="1" spans="2:51">
      <c r="B101" s="2">
        <v>76</v>
      </c>
      <c r="C101" s="2">
        <f t="shared" si="5"/>
        <v>76000</v>
      </c>
      <c r="D101" s="2">
        <f>ROUND($C$8*$C$5+$C$8*$C$4*(1-$L$5),0)</f>
        <v>88</v>
      </c>
      <c r="E101" s="2">
        <f t="shared" si="6"/>
        <v>6688</v>
      </c>
      <c r="F101" s="2">
        <f>ROUND(E101*VLOOKUP($B$10,总产出!$T$4:$U$14,2,FALSE),0)</f>
        <v>669</v>
      </c>
      <c r="G101" s="2">
        <f t="shared" si="7"/>
        <v>0</v>
      </c>
      <c r="H101" s="2">
        <f t="shared" si="8"/>
        <v>2327</v>
      </c>
      <c r="I101" s="2" t="b">
        <f>IF(I100=0,IF($B101&gt;=achievement!F$96,achievement!F$97,0))</f>
        <v>0</v>
      </c>
      <c r="J101" s="2" t="b">
        <f>IF(J100=0,IF($B101&gt;=achievement!G$96,achievement!G$97,0))</f>
        <v>0</v>
      </c>
      <c r="K101" s="2" t="b">
        <f>IF(K100=0,IF($B101&gt;=achievement!H$96,achievement!H$97,0))</f>
        <v>0</v>
      </c>
      <c r="L101" s="2" t="b">
        <f>IF(L100=0,IF($B101&gt;=achievement!I$96,achievement!I$97,0))</f>
        <v>0</v>
      </c>
      <c r="M101" s="2">
        <f>IF(M100=0,IF($B101&gt;=achievement!J$96,achievement!J$97,0))</f>
        <v>0</v>
      </c>
      <c r="N101" s="2">
        <f>IF(N100=0,IF($B101&gt;=achievement!K$96,achievement!K$97,0))</f>
        <v>0</v>
      </c>
      <c r="O101" s="2">
        <f>IF(O100=0,IF($B101&gt;=achievement!L$96,achievement!L$97,0))</f>
        <v>0</v>
      </c>
      <c r="P101" s="2" t="b">
        <f>IF(P100=0,IF(achievement!M$96*$B101&gt;=1,achievement!M$97,0))</f>
        <v>0</v>
      </c>
      <c r="Q101" s="2" t="b">
        <f>IF(Q100=0,IF(achievement!N$96*$B101&gt;=1,achievement!N$97,0))</f>
        <v>0</v>
      </c>
      <c r="R101" s="2" t="b">
        <f>IF(R100=0,IF(achievement!O$96*$B101&gt;=1,achievement!O$97,0))</f>
        <v>0</v>
      </c>
      <c r="S101" s="2" t="b">
        <f>IF(S100=0,IF(achievement!P$96*$B101&gt;=1,achievement!P$97,0))</f>
        <v>0</v>
      </c>
      <c r="T101" s="2" t="b">
        <f>IF(T100=0,IF(achievement!Q$96*$B101&gt;=1,achievement!Q$97,0))</f>
        <v>0</v>
      </c>
      <c r="U101" s="2" t="b">
        <f>IF(U100=0,IF(achievement!R$96*$B101&gt;=1,achievement!R$97,0))</f>
        <v>0</v>
      </c>
      <c r="V101" s="2" t="b">
        <f>IF(V100=0,IF(achievement!S$96*$B101&gt;=1,achievement!S$97,0))</f>
        <v>0</v>
      </c>
      <c r="W101" s="2" t="b">
        <f>IF(W100=0,IF(achievement!T$96*$B101&gt;=1,achievement!T$97,0))</f>
        <v>0</v>
      </c>
      <c r="X101" s="2" t="b">
        <f>IF(X100=0,IF(achievement!U$96*$B101&gt;=1,achievement!U$97,0))</f>
        <v>0</v>
      </c>
      <c r="Y101" s="2" t="b">
        <f>IF(Y100=0,IF(achievement!V$96*$B101&gt;=1,achievement!V$97,0))</f>
        <v>0</v>
      </c>
      <c r="Z101" s="2" t="b">
        <f>IF(Z100=0,IF(achievement!W$96*$B101&gt;=1,achievement!W$97,0))</f>
        <v>0</v>
      </c>
      <c r="AA101" s="2" t="b">
        <f>IF(AA100=0,IF(achievement!X$96*$B101&gt;=1,achievement!X$97,0))</f>
        <v>0</v>
      </c>
      <c r="AB101" s="2" t="b">
        <f>IF(AB100=0,IF(achievement!Y$96*$B101&gt;=1,achievement!Y$97,0))</f>
        <v>0</v>
      </c>
      <c r="AC101" s="2" t="b">
        <f>IF(AC100=0,IF(achievement!Z$96*$B101&gt;=1,achievement!Z$97,0))</f>
        <v>0</v>
      </c>
      <c r="AD101" s="2" t="b">
        <f>IF(AD100=0,IF(achievement!AA$96*$B101&gt;=1,achievement!AA$97,0))</f>
        <v>0</v>
      </c>
      <c r="AE101" s="2" t="b">
        <f>IF(AE100=0,IF(achievement!AB$96*$B101&gt;=1,achievement!AB$97,0))</f>
        <v>0</v>
      </c>
      <c r="AF101" s="2" t="b">
        <f>IF(AF100=0,IF(achievement!AC$96*$B101&gt;=1,achievement!AC$97,0))</f>
        <v>0</v>
      </c>
      <c r="AG101" s="2" t="b">
        <f>IF(AG100=0,IF(achievement!AD$96*$B101&gt;=1,achievement!AD$97,0))</f>
        <v>0</v>
      </c>
      <c r="AH101" s="2" t="b">
        <f>IF(AH100=0,IF(achievement!AE$96*$B101&gt;=1,achievement!AE$97,0))</f>
        <v>0</v>
      </c>
      <c r="AI101" s="2" t="b">
        <f>IF(AI100=0,IF(achievement!AF$96*$B101&gt;=1,achievement!AF$97,0))</f>
        <v>0</v>
      </c>
      <c r="AJ101" s="2" t="b">
        <f>IF(AJ100=0,IF(achievement!AG$96*$B101&gt;=1,achievement!AG$97,0))</f>
        <v>0</v>
      </c>
      <c r="AK101" s="2" t="b">
        <f>IF(AK100=0,IF(achievement!AH$96*$B101&gt;=1,achievement!AH$97,0))</f>
        <v>0</v>
      </c>
      <c r="AL101" s="2" t="b">
        <f>IF(AL100=0,IF(achievement!AI$96*$B101&gt;=1,achievement!AI$97,0))</f>
        <v>0</v>
      </c>
      <c r="AM101" s="2" t="b">
        <f>IF(AM100=0,IF(achievement!AJ$96*$B101&gt;=1,achievement!AJ$97,0))</f>
        <v>0</v>
      </c>
      <c r="AN101" s="2" t="b">
        <f>IF(AN100=0,IF(achievement!AK$96*$B101&gt;=1,achievement!AK$97,0))</f>
        <v>0</v>
      </c>
      <c r="AO101" s="2" t="b">
        <f>IF(AO100=0,IF(achievement!AL$96*$B101&gt;=1,achievement!AL$97,0))</f>
        <v>0</v>
      </c>
      <c r="AP101" s="2" t="b">
        <f>IF(AP100=0,IF(achievement!AM$96*$B101&gt;=1,achievement!AM$97,0))</f>
        <v>0</v>
      </c>
      <c r="AQ101" s="2" t="b">
        <f>IF(AQ100=0,IF(achievement!AN$96*$B101&gt;=1,achievement!AN$97,0))</f>
        <v>0</v>
      </c>
      <c r="AR101" s="2" t="b">
        <f>IF(AR100=0,IF(achievement!AO$96*$B101&gt;=1,achievement!AO$97,0))</f>
        <v>0</v>
      </c>
      <c r="AS101" s="2" t="b">
        <f>IF(AS100=0,IF(achievement!AP$96*$B101&gt;=1,achievement!AP$97,0))</f>
        <v>0</v>
      </c>
      <c r="AT101" s="2" t="b">
        <f>IF(AT100=0,IF(achievement!AQ$96*$B101&gt;=1,achievement!AQ$97,0))</f>
        <v>0</v>
      </c>
      <c r="AU101" s="2" t="b">
        <f>IF(AU100=0,IF(achievement!AR$96*$B101&gt;=1,achievement!AR$97,0))</f>
        <v>0</v>
      </c>
      <c r="AV101" s="2" t="b">
        <f>IF(AV100=0,IF(achievement!AS$96*$B101&gt;=1,achievement!AS$97,0))</f>
        <v>0</v>
      </c>
      <c r="AW101" s="2"/>
      <c r="AX101" s="2"/>
      <c r="AY101" s="2"/>
    </row>
    <row r="102" s="1" customFormat="1" ht="18" customHeight="1" spans="2:51">
      <c r="B102" s="2">
        <v>77</v>
      </c>
      <c r="C102" s="2">
        <f t="shared" si="5"/>
        <v>77000</v>
      </c>
      <c r="D102" s="2">
        <f>ROUND($C$8*$C$5+$C$8*$C$4*(1-$L$5),0)</f>
        <v>88</v>
      </c>
      <c r="E102" s="2">
        <f t="shared" si="6"/>
        <v>6776</v>
      </c>
      <c r="F102" s="2">
        <f>ROUND(E102*VLOOKUP($B$10,总产出!$T$4:$U$14,2,FALSE),0)</f>
        <v>678</v>
      </c>
      <c r="G102" s="2">
        <f t="shared" si="7"/>
        <v>0</v>
      </c>
      <c r="H102" s="2">
        <f t="shared" si="8"/>
        <v>2327</v>
      </c>
      <c r="I102" s="2" t="b">
        <f>IF(I101=0,IF($B102&gt;=achievement!F$96,achievement!F$97,0))</f>
        <v>0</v>
      </c>
      <c r="J102" s="2" t="b">
        <f>IF(J101=0,IF($B102&gt;=achievement!G$96,achievement!G$97,0))</f>
        <v>0</v>
      </c>
      <c r="K102" s="2" t="b">
        <f>IF(K101=0,IF($B102&gt;=achievement!H$96,achievement!H$97,0))</f>
        <v>0</v>
      </c>
      <c r="L102" s="2" t="b">
        <f>IF(L101=0,IF($B102&gt;=achievement!I$96,achievement!I$97,0))</f>
        <v>0</v>
      </c>
      <c r="M102" s="2">
        <f>IF(M101=0,IF($B102&gt;=achievement!J$96,achievement!J$97,0))</f>
        <v>0</v>
      </c>
      <c r="N102" s="2">
        <f>IF(N101=0,IF($B102&gt;=achievement!K$96,achievement!K$97,0))</f>
        <v>0</v>
      </c>
      <c r="O102" s="2">
        <f>IF(O101=0,IF($B102&gt;=achievement!L$96,achievement!L$97,0))</f>
        <v>0</v>
      </c>
      <c r="P102" s="2" t="b">
        <f>IF(P101=0,IF(achievement!M$96*$B102&gt;=1,achievement!M$97,0))</f>
        <v>0</v>
      </c>
      <c r="Q102" s="2" t="b">
        <f>IF(Q101=0,IF(achievement!N$96*$B102&gt;=1,achievement!N$97,0))</f>
        <v>0</v>
      </c>
      <c r="R102" s="2" t="b">
        <f>IF(R101=0,IF(achievement!O$96*$B102&gt;=1,achievement!O$97,0))</f>
        <v>0</v>
      </c>
      <c r="S102" s="2" t="b">
        <f>IF(S101=0,IF(achievement!P$96*$B102&gt;=1,achievement!P$97,0))</f>
        <v>0</v>
      </c>
      <c r="T102" s="2" t="b">
        <f>IF(T101=0,IF(achievement!Q$96*$B102&gt;=1,achievement!Q$97,0))</f>
        <v>0</v>
      </c>
      <c r="U102" s="2" t="b">
        <f>IF(U101=0,IF(achievement!R$96*$B102&gt;=1,achievement!R$97,0))</f>
        <v>0</v>
      </c>
      <c r="V102" s="2" t="b">
        <f>IF(V101=0,IF(achievement!S$96*$B102&gt;=1,achievement!S$97,0))</f>
        <v>0</v>
      </c>
      <c r="W102" s="2" t="b">
        <f>IF(W101=0,IF(achievement!T$96*$B102&gt;=1,achievement!T$97,0))</f>
        <v>0</v>
      </c>
      <c r="X102" s="2" t="b">
        <f>IF(X101=0,IF(achievement!U$96*$B102&gt;=1,achievement!U$97,0))</f>
        <v>0</v>
      </c>
      <c r="Y102" s="2" t="b">
        <f>IF(Y101=0,IF(achievement!V$96*$B102&gt;=1,achievement!V$97,0))</f>
        <v>0</v>
      </c>
      <c r="Z102" s="2" t="b">
        <f>IF(Z101=0,IF(achievement!W$96*$B102&gt;=1,achievement!W$97,0))</f>
        <v>0</v>
      </c>
      <c r="AA102" s="2" t="b">
        <f>IF(AA101=0,IF(achievement!X$96*$B102&gt;=1,achievement!X$97,0))</f>
        <v>0</v>
      </c>
      <c r="AB102" s="2" t="b">
        <f>IF(AB101=0,IF(achievement!Y$96*$B102&gt;=1,achievement!Y$97,0))</f>
        <v>0</v>
      </c>
      <c r="AC102" s="2" t="b">
        <f>IF(AC101=0,IF(achievement!Z$96*$B102&gt;=1,achievement!Z$97,0))</f>
        <v>0</v>
      </c>
      <c r="AD102" s="2" t="b">
        <f>IF(AD101=0,IF(achievement!AA$96*$B102&gt;=1,achievement!AA$97,0))</f>
        <v>0</v>
      </c>
      <c r="AE102" s="2" t="b">
        <f>IF(AE101=0,IF(achievement!AB$96*$B102&gt;=1,achievement!AB$97,0))</f>
        <v>0</v>
      </c>
      <c r="AF102" s="2" t="b">
        <f>IF(AF101=0,IF(achievement!AC$96*$B102&gt;=1,achievement!AC$97,0))</f>
        <v>0</v>
      </c>
      <c r="AG102" s="2" t="b">
        <f>IF(AG101=0,IF(achievement!AD$96*$B102&gt;=1,achievement!AD$97,0))</f>
        <v>0</v>
      </c>
      <c r="AH102" s="2" t="b">
        <f>IF(AH101=0,IF(achievement!AE$96*$B102&gt;=1,achievement!AE$97,0))</f>
        <v>0</v>
      </c>
      <c r="AI102" s="2" t="b">
        <f>IF(AI101=0,IF(achievement!AF$96*$B102&gt;=1,achievement!AF$97,0))</f>
        <v>0</v>
      </c>
      <c r="AJ102" s="2" t="b">
        <f>IF(AJ101=0,IF(achievement!AG$96*$B102&gt;=1,achievement!AG$97,0))</f>
        <v>0</v>
      </c>
      <c r="AK102" s="2" t="b">
        <f>IF(AK101=0,IF(achievement!AH$96*$B102&gt;=1,achievement!AH$97,0))</f>
        <v>0</v>
      </c>
      <c r="AL102" s="2" t="b">
        <f>IF(AL101=0,IF(achievement!AI$96*$B102&gt;=1,achievement!AI$97,0))</f>
        <v>0</v>
      </c>
      <c r="AM102" s="2" t="b">
        <f>IF(AM101=0,IF(achievement!AJ$96*$B102&gt;=1,achievement!AJ$97,0))</f>
        <v>0</v>
      </c>
      <c r="AN102" s="2" t="b">
        <f>IF(AN101=0,IF(achievement!AK$96*$B102&gt;=1,achievement!AK$97,0))</f>
        <v>0</v>
      </c>
      <c r="AO102" s="2" t="b">
        <f>IF(AO101=0,IF(achievement!AL$96*$B102&gt;=1,achievement!AL$97,0))</f>
        <v>0</v>
      </c>
      <c r="AP102" s="2" t="b">
        <f>IF(AP101=0,IF(achievement!AM$96*$B102&gt;=1,achievement!AM$97,0))</f>
        <v>0</v>
      </c>
      <c r="AQ102" s="2" t="b">
        <f>IF(AQ101=0,IF(achievement!AN$96*$B102&gt;=1,achievement!AN$97,0))</f>
        <v>0</v>
      </c>
      <c r="AR102" s="2" t="b">
        <f>IF(AR101=0,IF(achievement!AO$96*$B102&gt;=1,achievement!AO$97,0))</f>
        <v>0</v>
      </c>
      <c r="AS102" s="2" t="b">
        <f>IF(AS101=0,IF(achievement!AP$96*$B102&gt;=1,achievement!AP$97,0))</f>
        <v>0</v>
      </c>
      <c r="AT102" s="2" t="b">
        <f>IF(AT101=0,IF(achievement!AQ$96*$B102&gt;=1,achievement!AQ$97,0))</f>
        <v>0</v>
      </c>
      <c r="AU102" s="2" t="b">
        <f>IF(AU101=0,IF(achievement!AR$96*$B102&gt;=1,achievement!AR$97,0))</f>
        <v>0</v>
      </c>
      <c r="AV102" s="2" t="b">
        <f>IF(AV101=0,IF(achievement!AS$96*$B102&gt;=1,achievement!AS$97,0))</f>
        <v>0</v>
      </c>
      <c r="AW102" s="2"/>
      <c r="AX102" s="2"/>
      <c r="AY102" s="2"/>
    </row>
    <row r="103" s="1" customFormat="1" ht="18" customHeight="1" spans="2:51">
      <c r="B103" s="2">
        <v>78</v>
      </c>
      <c r="C103" s="2">
        <f t="shared" si="5"/>
        <v>78000</v>
      </c>
      <c r="D103" s="2">
        <f>ROUND($C$8*$C$5+$C$8*$C$4*(1-$L$5),0)</f>
        <v>88</v>
      </c>
      <c r="E103" s="2">
        <f t="shared" si="6"/>
        <v>6864</v>
      </c>
      <c r="F103" s="2">
        <f>ROUND(E103*VLOOKUP($B$10,总产出!$T$4:$U$14,2,FALSE),0)</f>
        <v>686</v>
      </c>
      <c r="G103" s="2">
        <f t="shared" si="7"/>
        <v>0</v>
      </c>
      <c r="H103" s="2">
        <f t="shared" si="8"/>
        <v>2327</v>
      </c>
      <c r="I103" s="2" t="b">
        <f>IF(I102=0,IF($B103&gt;=achievement!F$96,achievement!F$97,0))</f>
        <v>0</v>
      </c>
      <c r="J103" s="2" t="b">
        <f>IF(J102=0,IF($B103&gt;=achievement!G$96,achievement!G$97,0))</f>
        <v>0</v>
      </c>
      <c r="K103" s="2" t="b">
        <f>IF(K102=0,IF($B103&gt;=achievement!H$96,achievement!H$97,0))</f>
        <v>0</v>
      </c>
      <c r="L103" s="2" t="b">
        <f>IF(L102=0,IF($B103&gt;=achievement!I$96,achievement!I$97,0))</f>
        <v>0</v>
      </c>
      <c r="M103" s="2">
        <f>IF(M102=0,IF($B103&gt;=achievement!J$96,achievement!J$97,0))</f>
        <v>0</v>
      </c>
      <c r="N103" s="2">
        <f>IF(N102=0,IF($B103&gt;=achievement!K$96,achievement!K$97,0))</f>
        <v>0</v>
      </c>
      <c r="O103" s="2">
        <f>IF(O102=0,IF($B103&gt;=achievement!L$96,achievement!L$97,0))</f>
        <v>0</v>
      </c>
      <c r="P103" s="2" t="b">
        <f>IF(P102=0,IF(achievement!M$96*$B103&gt;=1,achievement!M$97,0))</f>
        <v>0</v>
      </c>
      <c r="Q103" s="2" t="b">
        <f>IF(Q102=0,IF(achievement!N$96*$B103&gt;=1,achievement!N$97,0))</f>
        <v>0</v>
      </c>
      <c r="R103" s="2" t="b">
        <f>IF(R102=0,IF(achievement!O$96*$B103&gt;=1,achievement!O$97,0))</f>
        <v>0</v>
      </c>
      <c r="S103" s="2" t="b">
        <f>IF(S102=0,IF(achievement!P$96*$B103&gt;=1,achievement!P$97,0))</f>
        <v>0</v>
      </c>
      <c r="T103" s="2" t="b">
        <f>IF(T102=0,IF(achievement!Q$96*$B103&gt;=1,achievement!Q$97,0))</f>
        <v>0</v>
      </c>
      <c r="U103" s="2" t="b">
        <f>IF(U102=0,IF(achievement!R$96*$B103&gt;=1,achievement!R$97,0))</f>
        <v>0</v>
      </c>
      <c r="V103" s="2" t="b">
        <f>IF(V102=0,IF(achievement!S$96*$B103&gt;=1,achievement!S$97,0))</f>
        <v>0</v>
      </c>
      <c r="W103" s="2" t="b">
        <f>IF(W102=0,IF(achievement!T$96*$B103&gt;=1,achievement!T$97,0))</f>
        <v>0</v>
      </c>
      <c r="X103" s="2" t="b">
        <f>IF(X102=0,IF(achievement!U$96*$B103&gt;=1,achievement!U$97,0))</f>
        <v>0</v>
      </c>
      <c r="Y103" s="2" t="b">
        <f>IF(Y102=0,IF(achievement!V$96*$B103&gt;=1,achievement!V$97,0))</f>
        <v>0</v>
      </c>
      <c r="Z103" s="2" t="b">
        <f>IF(Z102=0,IF(achievement!W$96*$B103&gt;=1,achievement!W$97,0))</f>
        <v>0</v>
      </c>
      <c r="AA103" s="2" t="b">
        <f>IF(AA102=0,IF(achievement!X$96*$B103&gt;=1,achievement!X$97,0))</f>
        <v>0</v>
      </c>
      <c r="AB103" s="2" t="b">
        <f>IF(AB102=0,IF(achievement!Y$96*$B103&gt;=1,achievement!Y$97,0))</f>
        <v>0</v>
      </c>
      <c r="AC103" s="2" t="b">
        <f>IF(AC102=0,IF(achievement!Z$96*$B103&gt;=1,achievement!Z$97,0))</f>
        <v>0</v>
      </c>
      <c r="AD103" s="2" t="b">
        <f>IF(AD102=0,IF(achievement!AA$96*$B103&gt;=1,achievement!AA$97,0))</f>
        <v>0</v>
      </c>
      <c r="AE103" s="2" t="b">
        <f>IF(AE102=0,IF(achievement!AB$96*$B103&gt;=1,achievement!AB$97,0))</f>
        <v>0</v>
      </c>
      <c r="AF103" s="2" t="b">
        <f>IF(AF102=0,IF(achievement!AC$96*$B103&gt;=1,achievement!AC$97,0))</f>
        <v>0</v>
      </c>
      <c r="AG103" s="2" t="b">
        <f>IF(AG102=0,IF(achievement!AD$96*$B103&gt;=1,achievement!AD$97,0))</f>
        <v>0</v>
      </c>
      <c r="AH103" s="2" t="b">
        <f>IF(AH102=0,IF(achievement!AE$96*$B103&gt;=1,achievement!AE$97,0))</f>
        <v>0</v>
      </c>
      <c r="AI103" s="2" t="b">
        <f>IF(AI102=0,IF(achievement!AF$96*$B103&gt;=1,achievement!AF$97,0))</f>
        <v>0</v>
      </c>
      <c r="AJ103" s="2" t="b">
        <f>IF(AJ102=0,IF(achievement!AG$96*$B103&gt;=1,achievement!AG$97,0))</f>
        <v>0</v>
      </c>
      <c r="AK103" s="2" t="b">
        <f>IF(AK102=0,IF(achievement!AH$96*$B103&gt;=1,achievement!AH$97,0))</f>
        <v>0</v>
      </c>
      <c r="AL103" s="2" t="b">
        <f>IF(AL102=0,IF(achievement!AI$96*$B103&gt;=1,achievement!AI$97,0))</f>
        <v>0</v>
      </c>
      <c r="AM103" s="2" t="b">
        <f>IF(AM102=0,IF(achievement!AJ$96*$B103&gt;=1,achievement!AJ$97,0))</f>
        <v>0</v>
      </c>
      <c r="AN103" s="2" t="b">
        <f>IF(AN102=0,IF(achievement!AK$96*$B103&gt;=1,achievement!AK$97,0))</f>
        <v>0</v>
      </c>
      <c r="AO103" s="2" t="b">
        <f>IF(AO102=0,IF(achievement!AL$96*$B103&gt;=1,achievement!AL$97,0))</f>
        <v>0</v>
      </c>
      <c r="AP103" s="2" t="b">
        <f>IF(AP102=0,IF(achievement!AM$96*$B103&gt;=1,achievement!AM$97,0))</f>
        <v>0</v>
      </c>
      <c r="AQ103" s="2" t="b">
        <f>IF(AQ102=0,IF(achievement!AN$96*$B103&gt;=1,achievement!AN$97,0))</f>
        <v>0</v>
      </c>
      <c r="AR103" s="2" t="b">
        <f>IF(AR102=0,IF(achievement!AO$96*$B103&gt;=1,achievement!AO$97,0))</f>
        <v>0</v>
      </c>
      <c r="AS103" s="2" t="b">
        <f>IF(AS102=0,IF(achievement!AP$96*$B103&gt;=1,achievement!AP$97,0))</f>
        <v>0</v>
      </c>
      <c r="AT103" s="2" t="b">
        <f>IF(AT102=0,IF(achievement!AQ$96*$B103&gt;=1,achievement!AQ$97,0))</f>
        <v>0</v>
      </c>
      <c r="AU103" s="2" t="b">
        <f>IF(AU102=0,IF(achievement!AR$96*$B103&gt;=1,achievement!AR$97,0))</f>
        <v>0</v>
      </c>
      <c r="AV103" s="2" t="b">
        <f>IF(AV102=0,IF(achievement!AS$96*$B103&gt;=1,achievement!AS$97,0))</f>
        <v>0</v>
      </c>
      <c r="AW103" s="2"/>
      <c r="AX103" s="2"/>
      <c r="AY103" s="2"/>
    </row>
    <row r="104" s="1" customFormat="1" ht="18" customHeight="1" spans="2:51">
      <c r="B104" s="2">
        <v>79</v>
      </c>
      <c r="C104" s="2">
        <f t="shared" si="5"/>
        <v>79000</v>
      </c>
      <c r="D104" s="2">
        <f>ROUND($C$8*$C$5+$C$8*$C$4*(1-$L$5),0)</f>
        <v>88</v>
      </c>
      <c r="E104" s="2">
        <f t="shared" si="6"/>
        <v>6952</v>
      </c>
      <c r="F104" s="2">
        <f>ROUND(E104*VLOOKUP($B$10,总产出!$T$4:$U$14,2,FALSE),0)</f>
        <v>695</v>
      </c>
      <c r="G104" s="2">
        <f t="shared" si="7"/>
        <v>0</v>
      </c>
      <c r="H104" s="2">
        <f t="shared" si="8"/>
        <v>2327</v>
      </c>
      <c r="I104" s="2" t="b">
        <f>IF(I103=0,IF($B104&gt;=achievement!F$96,achievement!F$97,0))</f>
        <v>0</v>
      </c>
      <c r="J104" s="2" t="b">
        <f>IF(J103=0,IF($B104&gt;=achievement!G$96,achievement!G$97,0))</f>
        <v>0</v>
      </c>
      <c r="K104" s="2" t="b">
        <f>IF(K103=0,IF($B104&gt;=achievement!H$96,achievement!H$97,0))</f>
        <v>0</v>
      </c>
      <c r="L104" s="2" t="b">
        <f>IF(L103=0,IF($B104&gt;=achievement!I$96,achievement!I$97,0))</f>
        <v>0</v>
      </c>
      <c r="M104" s="2">
        <f>IF(M103=0,IF($B104&gt;=achievement!J$96,achievement!J$97,0))</f>
        <v>0</v>
      </c>
      <c r="N104" s="2">
        <f>IF(N103=0,IF($B104&gt;=achievement!K$96,achievement!K$97,0))</f>
        <v>0</v>
      </c>
      <c r="O104" s="2">
        <f>IF(O103=0,IF($B104&gt;=achievement!L$96,achievement!L$97,0))</f>
        <v>0</v>
      </c>
      <c r="P104" s="2" t="b">
        <f>IF(P103=0,IF(achievement!M$96*$B104&gt;=1,achievement!M$97,0))</f>
        <v>0</v>
      </c>
      <c r="Q104" s="2" t="b">
        <f>IF(Q103=0,IF(achievement!N$96*$B104&gt;=1,achievement!N$97,0))</f>
        <v>0</v>
      </c>
      <c r="R104" s="2" t="b">
        <f>IF(R103=0,IF(achievement!O$96*$B104&gt;=1,achievement!O$97,0))</f>
        <v>0</v>
      </c>
      <c r="S104" s="2" t="b">
        <f>IF(S103=0,IF(achievement!P$96*$B104&gt;=1,achievement!P$97,0))</f>
        <v>0</v>
      </c>
      <c r="T104" s="2" t="b">
        <f>IF(T103=0,IF(achievement!Q$96*$B104&gt;=1,achievement!Q$97,0))</f>
        <v>0</v>
      </c>
      <c r="U104" s="2" t="b">
        <f>IF(U103=0,IF(achievement!R$96*$B104&gt;=1,achievement!R$97,0))</f>
        <v>0</v>
      </c>
      <c r="V104" s="2" t="b">
        <f>IF(V103=0,IF(achievement!S$96*$B104&gt;=1,achievement!S$97,0))</f>
        <v>0</v>
      </c>
      <c r="W104" s="2" t="b">
        <f>IF(W103=0,IF(achievement!T$96*$B104&gt;=1,achievement!T$97,0))</f>
        <v>0</v>
      </c>
      <c r="X104" s="2" t="b">
        <f>IF(X103=0,IF(achievement!U$96*$B104&gt;=1,achievement!U$97,0))</f>
        <v>0</v>
      </c>
      <c r="Y104" s="2" t="b">
        <f>IF(Y103=0,IF(achievement!V$96*$B104&gt;=1,achievement!V$97,0))</f>
        <v>0</v>
      </c>
      <c r="Z104" s="2" t="b">
        <f>IF(Z103=0,IF(achievement!W$96*$B104&gt;=1,achievement!W$97,0))</f>
        <v>0</v>
      </c>
      <c r="AA104" s="2" t="b">
        <f>IF(AA103=0,IF(achievement!X$96*$B104&gt;=1,achievement!X$97,0))</f>
        <v>0</v>
      </c>
      <c r="AB104" s="2" t="b">
        <f>IF(AB103=0,IF(achievement!Y$96*$B104&gt;=1,achievement!Y$97,0))</f>
        <v>0</v>
      </c>
      <c r="AC104" s="2" t="b">
        <f>IF(AC103=0,IF(achievement!Z$96*$B104&gt;=1,achievement!Z$97,0))</f>
        <v>0</v>
      </c>
      <c r="AD104" s="2" t="b">
        <f>IF(AD103=0,IF(achievement!AA$96*$B104&gt;=1,achievement!AA$97,0))</f>
        <v>0</v>
      </c>
      <c r="AE104" s="2" t="b">
        <f>IF(AE103=0,IF(achievement!AB$96*$B104&gt;=1,achievement!AB$97,0))</f>
        <v>0</v>
      </c>
      <c r="AF104" s="2" t="b">
        <f>IF(AF103=0,IF(achievement!AC$96*$B104&gt;=1,achievement!AC$97,0))</f>
        <v>0</v>
      </c>
      <c r="AG104" s="2" t="b">
        <f>IF(AG103=0,IF(achievement!AD$96*$B104&gt;=1,achievement!AD$97,0))</f>
        <v>0</v>
      </c>
      <c r="AH104" s="2" t="b">
        <f>IF(AH103=0,IF(achievement!AE$96*$B104&gt;=1,achievement!AE$97,0))</f>
        <v>0</v>
      </c>
      <c r="AI104" s="2" t="b">
        <f>IF(AI103=0,IF(achievement!AF$96*$B104&gt;=1,achievement!AF$97,0))</f>
        <v>0</v>
      </c>
      <c r="AJ104" s="2" t="b">
        <f>IF(AJ103=0,IF(achievement!AG$96*$B104&gt;=1,achievement!AG$97,0))</f>
        <v>0</v>
      </c>
      <c r="AK104" s="2" t="b">
        <f>IF(AK103=0,IF(achievement!AH$96*$B104&gt;=1,achievement!AH$97,0))</f>
        <v>0</v>
      </c>
      <c r="AL104" s="2" t="b">
        <f>IF(AL103=0,IF(achievement!AI$96*$B104&gt;=1,achievement!AI$97,0))</f>
        <v>0</v>
      </c>
      <c r="AM104" s="2" t="b">
        <f>IF(AM103=0,IF(achievement!AJ$96*$B104&gt;=1,achievement!AJ$97,0))</f>
        <v>0</v>
      </c>
      <c r="AN104" s="2" t="b">
        <f>IF(AN103=0,IF(achievement!AK$96*$B104&gt;=1,achievement!AK$97,0))</f>
        <v>0</v>
      </c>
      <c r="AO104" s="2" t="b">
        <f>IF(AO103=0,IF(achievement!AL$96*$B104&gt;=1,achievement!AL$97,0))</f>
        <v>0</v>
      </c>
      <c r="AP104" s="2" t="b">
        <f>IF(AP103=0,IF(achievement!AM$96*$B104&gt;=1,achievement!AM$97,0))</f>
        <v>0</v>
      </c>
      <c r="AQ104" s="2" t="b">
        <f>IF(AQ103=0,IF(achievement!AN$96*$B104&gt;=1,achievement!AN$97,0))</f>
        <v>0</v>
      </c>
      <c r="AR104" s="2" t="b">
        <f>IF(AR103=0,IF(achievement!AO$96*$B104&gt;=1,achievement!AO$97,0))</f>
        <v>0</v>
      </c>
      <c r="AS104" s="2" t="b">
        <f>IF(AS103=0,IF(achievement!AP$96*$B104&gt;=1,achievement!AP$97,0))</f>
        <v>0</v>
      </c>
      <c r="AT104" s="2" t="b">
        <f>IF(AT103=0,IF(achievement!AQ$96*$B104&gt;=1,achievement!AQ$97,0))</f>
        <v>0</v>
      </c>
      <c r="AU104" s="2" t="b">
        <f>IF(AU103=0,IF(achievement!AR$96*$B104&gt;=1,achievement!AR$97,0))</f>
        <v>0</v>
      </c>
      <c r="AV104" s="2" t="b">
        <f>IF(AV103=0,IF(achievement!AS$96*$B104&gt;=1,achievement!AS$97,0))</f>
        <v>0</v>
      </c>
      <c r="AW104" s="2"/>
      <c r="AX104" s="2"/>
      <c r="AY104" s="2"/>
    </row>
    <row r="105" s="1" customFormat="1" ht="18" customHeight="1" spans="2:51">
      <c r="B105" s="2">
        <v>80</v>
      </c>
      <c r="C105" s="2">
        <f t="shared" si="5"/>
        <v>80000</v>
      </c>
      <c r="D105" s="2">
        <f>ROUND($C$8*$C$5+$C$8*$C$4*(1-$L$5),0)</f>
        <v>88</v>
      </c>
      <c r="E105" s="2">
        <f t="shared" si="6"/>
        <v>7040</v>
      </c>
      <c r="F105" s="2">
        <f>ROUND(E105*VLOOKUP($B$10,总产出!$T$4:$U$14,2,FALSE),0)</f>
        <v>704</v>
      </c>
      <c r="G105" s="2">
        <f t="shared" si="7"/>
        <v>0</v>
      </c>
      <c r="H105" s="2">
        <f t="shared" si="8"/>
        <v>2327</v>
      </c>
      <c r="I105" s="2" t="b">
        <f>IF(I104=0,IF($B105&gt;=achievement!F$96,achievement!F$97,0))</f>
        <v>0</v>
      </c>
      <c r="J105" s="2" t="b">
        <f>IF(J104=0,IF($B105&gt;=achievement!G$96,achievement!G$97,0))</f>
        <v>0</v>
      </c>
      <c r="K105" s="2" t="b">
        <f>IF(K104=0,IF($B105&gt;=achievement!H$96,achievement!H$97,0))</f>
        <v>0</v>
      </c>
      <c r="L105" s="2" t="b">
        <f>IF(L104=0,IF($B105&gt;=achievement!I$96,achievement!I$97,0))</f>
        <v>0</v>
      </c>
      <c r="M105" s="2">
        <f>IF(M104=0,IF($B105&gt;=achievement!J$96,achievement!J$97,0))</f>
        <v>0</v>
      </c>
      <c r="N105" s="2">
        <f>IF(N104=0,IF($B105&gt;=achievement!K$96,achievement!K$97,0))</f>
        <v>0</v>
      </c>
      <c r="O105" s="2">
        <f>IF(O104=0,IF($B105&gt;=achievement!L$96,achievement!L$97,0))</f>
        <v>0</v>
      </c>
      <c r="P105" s="2" t="b">
        <f>IF(P104=0,IF(achievement!M$96*$B105&gt;=1,achievement!M$97,0))</f>
        <v>0</v>
      </c>
      <c r="Q105" s="2" t="b">
        <f>IF(Q104=0,IF(achievement!N$96*$B105&gt;=1,achievement!N$97,0))</f>
        <v>0</v>
      </c>
      <c r="R105" s="2" t="b">
        <f>IF(R104=0,IF(achievement!O$96*$B105&gt;=1,achievement!O$97,0))</f>
        <v>0</v>
      </c>
      <c r="S105" s="2" t="b">
        <f>IF(S104=0,IF(achievement!P$96*$B105&gt;=1,achievement!P$97,0))</f>
        <v>0</v>
      </c>
      <c r="T105" s="2" t="b">
        <f>IF(T104=0,IF(achievement!Q$96*$B105&gt;=1,achievement!Q$97,0))</f>
        <v>0</v>
      </c>
      <c r="U105" s="2" t="b">
        <f>IF(U104=0,IF(achievement!R$96*$B105&gt;=1,achievement!R$97,0))</f>
        <v>0</v>
      </c>
      <c r="V105" s="2" t="b">
        <f>IF(V104=0,IF(achievement!S$96*$B105&gt;=1,achievement!S$97,0))</f>
        <v>0</v>
      </c>
      <c r="W105" s="2" t="b">
        <f>IF(W104=0,IF(achievement!T$96*$B105&gt;=1,achievement!T$97,0))</f>
        <v>0</v>
      </c>
      <c r="X105" s="2" t="b">
        <f>IF(X104=0,IF(achievement!U$96*$B105&gt;=1,achievement!U$97,0))</f>
        <v>0</v>
      </c>
      <c r="Y105" s="2" t="b">
        <f>IF(Y104=0,IF(achievement!V$96*$B105&gt;=1,achievement!V$97,0))</f>
        <v>0</v>
      </c>
      <c r="Z105" s="2" t="b">
        <f>IF(Z104=0,IF(achievement!W$96*$B105&gt;=1,achievement!W$97,0))</f>
        <v>0</v>
      </c>
      <c r="AA105" s="2" t="b">
        <f>IF(AA104=0,IF(achievement!X$96*$B105&gt;=1,achievement!X$97,0))</f>
        <v>0</v>
      </c>
      <c r="AB105" s="2" t="b">
        <f>IF(AB104=0,IF(achievement!Y$96*$B105&gt;=1,achievement!Y$97,0))</f>
        <v>0</v>
      </c>
      <c r="AC105" s="2" t="b">
        <f>IF(AC104=0,IF(achievement!Z$96*$B105&gt;=1,achievement!Z$97,0))</f>
        <v>0</v>
      </c>
      <c r="AD105" s="2" t="b">
        <f>IF(AD104=0,IF(achievement!AA$96*$B105&gt;=1,achievement!AA$97,0))</f>
        <v>0</v>
      </c>
      <c r="AE105" s="2" t="b">
        <f>IF(AE104=0,IF(achievement!AB$96*$B105&gt;=1,achievement!AB$97,0))</f>
        <v>0</v>
      </c>
      <c r="AF105" s="2" t="b">
        <f>IF(AF104=0,IF(achievement!AC$96*$B105&gt;=1,achievement!AC$97,0))</f>
        <v>0</v>
      </c>
      <c r="AG105" s="2" t="b">
        <f>IF(AG104=0,IF(achievement!AD$96*$B105&gt;=1,achievement!AD$97,0))</f>
        <v>0</v>
      </c>
      <c r="AH105" s="2" t="b">
        <f>IF(AH104=0,IF(achievement!AE$96*$B105&gt;=1,achievement!AE$97,0))</f>
        <v>0</v>
      </c>
      <c r="AI105" s="2" t="b">
        <f>IF(AI104=0,IF(achievement!AF$96*$B105&gt;=1,achievement!AF$97,0))</f>
        <v>0</v>
      </c>
      <c r="AJ105" s="2" t="b">
        <f>IF(AJ104=0,IF(achievement!AG$96*$B105&gt;=1,achievement!AG$97,0))</f>
        <v>0</v>
      </c>
      <c r="AK105" s="2" t="b">
        <f>IF(AK104=0,IF(achievement!AH$96*$B105&gt;=1,achievement!AH$97,0))</f>
        <v>0</v>
      </c>
      <c r="AL105" s="2" t="b">
        <f>IF(AL104=0,IF(achievement!AI$96*$B105&gt;=1,achievement!AI$97,0))</f>
        <v>0</v>
      </c>
      <c r="AM105" s="2" t="b">
        <f>IF(AM104=0,IF(achievement!AJ$96*$B105&gt;=1,achievement!AJ$97,0))</f>
        <v>0</v>
      </c>
      <c r="AN105" s="2" t="b">
        <f>IF(AN104=0,IF(achievement!AK$96*$B105&gt;=1,achievement!AK$97,0))</f>
        <v>0</v>
      </c>
      <c r="AO105" s="2" t="b">
        <f>IF(AO104=0,IF(achievement!AL$96*$B105&gt;=1,achievement!AL$97,0))</f>
        <v>0</v>
      </c>
      <c r="AP105" s="2" t="b">
        <f>IF(AP104=0,IF(achievement!AM$96*$B105&gt;=1,achievement!AM$97,0))</f>
        <v>0</v>
      </c>
      <c r="AQ105" s="2" t="b">
        <f>IF(AQ104=0,IF(achievement!AN$96*$B105&gt;=1,achievement!AN$97,0))</f>
        <v>0</v>
      </c>
      <c r="AR105" s="2" t="b">
        <f>IF(AR104=0,IF(achievement!AO$96*$B105&gt;=1,achievement!AO$97,0))</f>
        <v>0</v>
      </c>
      <c r="AS105" s="2" t="b">
        <f>IF(AS104=0,IF(achievement!AP$96*$B105&gt;=1,achievement!AP$97,0))</f>
        <v>0</v>
      </c>
      <c r="AT105" s="2" t="b">
        <f>IF(AT104=0,IF(achievement!AQ$96*$B105&gt;=1,achievement!AQ$97,0))</f>
        <v>0</v>
      </c>
      <c r="AU105" s="2" t="b">
        <f>IF(AU104=0,IF(achievement!AR$96*$B105&gt;=1,achievement!AR$97,0))</f>
        <v>0</v>
      </c>
      <c r="AV105" s="2" t="b">
        <f>IF(AV104=0,IF(achievement!AS$96*$B105&gt;=1,achievement!AS$97,0))</f>
        <v>0</v>
      </c>
      <c r="AW105" s="2"/>
      <c r="AX105" s="2"/>
      <c r="AY105" s="2"/>
    </row>
    <row r="106" s="1" customFormat="1" ht="18" customHeight="1" spans="2:51">
      <c r="B106" s="2">
        <v>81</v>
      </c>
      <c r="C106" s="2">
        <f t="shared" si="5"/>
        <v>81000</v>
      </c>
      <c r="D106" s="2">
        <f>ROUND($C$8*$C$5+$C$8*$C$4*(1-$L$5),0)</f>
        <v>88</v>
      </c>
      <c r="E106" s="2">
        <f t="shared" si="6"/>
        <v>7128</v>
      </c>
      <c r="F106" s="2">
        <f>ROUND(E106*VLOOKUP($B$10,总产出!$T$4:$U$14,2,FALSE),0)</f>
        <v>713</v>
      </c>
      <c r="G106" s="2">
        <f t="shared" si="7"/>
        <v>0</v>
      </c>
      <c r="H106" s="2">
        <f t="shared" si="8"/>
        <v>2327</v>
      </c>
      <c r="I106" s="2" t="b">
        <f>IF(I105=0,IF($B106&gt;=achievement!F$96,achievement!F$97,0))</f>
        <v>0</v>
      </c>
      <c r="J106" s="2" t="b">
        <f>IF(J105=0,IF($B106&gt;=achievement!G$96,achievement!G$97,0))</f>
        <v>0</v>
      </c>
      <c r="K106" s="2" t="b">
        <f>IF(K105=0,IF($B106&gt;=achievement!H$96,achievement!H$97,0))</f>
        <v>0</v>
      </c>
      <c r="L106" s="2" t="b">
        <f>IF(L105=0,IF($B106&gt;=achievement!I$96,achievement!I$97,0))</f>
        <v>0</v>
      </c>
      <c r="M106" s="2">
        <f>IF(M105=0,IF($B106&gt;=achievement!J$96,achievement!J$97,0))</f>
        <v>0</v>
      </c>
      <c r="N106" s="2">
        <f>IF(N105=0,IF($B106&gt;=achievement!K$96,achievement!K$97,0))</f>
        <v>0</v>
      </c>
      <c r="O106" s="2">
        <f>IF(O105=0,IF($B106&gt;=achievement!L$96,achievement!L$97,0))</f>
        <v>0</v>
      </c>
      <c r="P106" s="2" t="b">
        <f>IF(P105=0,IF(achievement!M$96*$B106&gt;=1,achievement!M$97,0))</f>
        <v>0</v>
      </c>
      <c r="Q106" s="2" t="b">
        <f>IF(Q105=0,IF(achievement!N$96*$B106&gt;=1,achievement!N$97,0))</f>
        <v>0</v>
      </c>
      <c r="R106" s="2" t="b">
        <f>IF(R105=0,IF(achievement!O$96*$B106&gt;=1,achievement!O$97,0))</f>
        <v>0</v>
      </c>
      <c r="S106" s="2" t="b">
        <f>IF(S105=0,IF(achievement!P$96*$B106&gt;=1,achievement!P$97,0))</f>
        <v>0</v>
      </c>
      <c r="T106" s="2" t="b">
        <f>IF(T105=0,IF(achievement!Q$96*$B106&gt;=1,achievement!Q$97,0))</f>
        <v>0</v>
      </c>
      <c r="U106" s="2" t="b">
        <f>IF(U105=0,IF(achievement!R$96*$B106&gt;=1,achievement!R$97,0))</f>
        <v>0</v>
      </c>
      <c r="V106" s="2" t="b">
        <f>IF(V105=0,IF(achievement!S$96*$B106&gt;=1,achievement!S$97,0))</f>
        <v>0</v>
      </c>
      <c r="W106" s="2" t="b">
        <f>IF(W105=0,IF(achievement!T$96*$B106&gt;=1,achievement!T$97,0))</f>
        <v>0</v>
      </c>
      <c r="X106" s="2" t="b">
        <f>IF(X105=0,IF(achievement!U$96*$B106&gt;=1,achievement!U$97,0))</f>
        <v>0</v>
      </c>
      <c r="Y106" s="2" t="b">
        <f>IF(Y105=0,IF(achievement!V$96*$B106&gt;=1,achievement!V$97,0))</f>
        <v>0</v>
      </c>
      <c r="Z106" s="2" t="b">
        <f>IF(Z105=0,IF(achievement!W$96*$B106&gt;=1,achievement!W$97,0))</f>
        <v>0</v>
      </c>
      <c r="AA106" s="2" t="b">
        <f>IF(AA105=0,IF(achievement!X$96*$B106&gt;=1,achievement!X$97,0))</f>
        <v>0</v>
      </c>
      <c r="AB106" s="2" t="b">
        <f>IF(AB105=0,IF(achievement!Y$96*$B106&gt;=1,achievement!Y$97,0))</f>
        <v>0</v>
      </c>
      <c r="AC106" s="2" t="b">
        <f>IF(AC105=0,IF(achievement!Z$96*$B106&gt;=1,achievement!Z$97,0))</f>
        <v>0</v>
      </c>
      <c r="AD106" s="2" t="b">
        <f>IF(AD105=0,IF(achievement!AA$96*$B106&gt;=1,achievement!AA$97,0))</f>
        <v>0</v>
      </c>
      <c r="AE106" s="2" t="b">
        <f>IF(AE105=0,IF(achievement!AB$96*$B106&gt;=1,achievement!AB$97,0))</f>
        <v>0</v>
      </c>
      <c r="AF106" s="2" t="b">
        <f>IF(AF105=0,IF(achievement!AC$96*$B106&gt;=1,achievement!AC$97,0))</f>
        <v>0</v>
      </c>
      <c r="AG106" s="2" t="b">
        <f>IF(AG105=0,IF(achievement!AD$96*$B106&gt;=1,achievement!AD$97,0))</f>
        <v>0</v>
      </c>
      <c r="AH106" s="2" t="b">
        <f>IF(AH105=0,IF(achievement!AE$96*$B106&gt;=1,achievement!AE$97,0))</f>
        <v>0</v>
      </c>
      <c r="AI106" s="2" t="b">
        <f>IF(AI105=0,IF(achievement!AF$96*$B106&gt;=1,achievement!AF$97,0))</f>
        <v>0</v>
      </c>
      <c r="AJ106" s="2" t="b">
        <f>IF(AJ105=0,IF(achievement!AG$96*$B106&gt;=1,achievement!AG$97,0))</f>
        <v>0</v>
      </c>
      <c r="AK106" s="2" t="b">
        <f>IF(AK105=0,IF(achievement!AH$96*$B106&gt;=1,achievement!AH$97,0))</f>
        <v>0</v>
      </c>
      <c r="AL106" s="2" t="b">
        <f>IF(AL105=0,IF(achievement!AI$96*$B106&gt;=1,achievement!AI$97,0))</f>
        <v>0</v>
      </c>
      <c r="AM106" s="2" t="b">
        <f>IF(AM105=0,IF(achievement!AJ$96*$B106&gt;=1,achievement!AJ$97,0))</f>
        <v>0</v>
      </c>
      <c r="AN106" s="2" t="b">
        <f>IF(AN105=0,IF(achievement!AK$96*$B106&gt;=1,achievement!AK$97,0))</f>
        <v>0</v>
      </c>
      <c r="AO106" s="2" t="b">
        <f>IF(AO105=0,IF(achievement!AL$96*$B106&gt;=1,achievement!AL$97,0))</f>
        <v>0</v>
      </c>
      <c r="AP106" s="2" t="b">
        <f>IF(AP105=0,IF(achievement!AM$96*$B106&gt;=1,achievement!AM$97,0))</f>
        <v>0</v>
      </c>
      <c r="AQ106" s="2" t="b">
        <f>IF(AQ105=0,IF(achievement!AN$96*$B106&gt;=1,achievement!AN$97,0))</f>
        <v>0</v>
      </c>
      <c r="AR106" s="2" t="b">
        <f>IF(AR105=0,IF(achievement!AO$96*$B106&gt;=1,achievement!AO$97,0))</f>
        <v>0</v>
      </c>
      <c r="AS106" s="2" t="b">
        <f>IF(AS105=0,IF(achievement!AP$96*$B106&gt;=1,achievement!AP$97,0))</f>
        <v>0</v>
      </c>
      <c r="AT106" s="2" t="b">
        <f>IF(AT105=0,IF(achievement!AQ$96*$B106&gt;=1,achievement!AQ$97,0))</f>
        <v>0</v>
      </c>
      <c r="AU106" s="2" t="b">
        <f>IF(AU105=0,IF(achievement!AR$96*$B106&gt;=1,achievement!AR$97,0))</f>
        <v>0</v>
      </c>
      <c r="AV106" s="2" t="b">
        <f>IF(AV105=0,IF(achievement!AS$96*$B106&gt;=1,achievement!AS$97,0))</f>
        <v>0</v>
      </c>
      <c r="AW106" s="2"/>
      <c r="AX106" s="2"/>
      <c r="AY106" s="2"/>
    </row>
    <row r="107" s="1" customFormat="1" ht="18" customHeight="1" spans="2:51">
      <c r="B107" s="2">
        <v>82</v>
      </c>
      <c r="C107" s="2">
        <f t="shared" si="5"/>
        <v>82000</v>
      </c>
      <c r="D107" s="2">
        <f>ROUND($C$8*$C$5+$C$8*$C$4*(1-$L$5),0)</f>
        <v>88</v>
      </c>
      <c r="E107" s="2">
        <f t="shared" si="6"/>
        <v>7216</v>
      </c>
      <c r="F107" s="2">
        <f>ROUND(E107*VLOOKUP($B$10,总产出!$T$4:$U$14,2,FALSE),0)</f>
        <v>722</v>
      </c>
      <c r="G107" s="2">
        <f t="shared" si="7"/>
        <v>0</v>
      </c>
      <c r="H107" s="2">
        <f t="shared" si="8"/>
        <v>2327</v>
      </c>
      <c r="I107" s="2" t="b">
        <f>IF(I106=0,IF($B107&gt;=achievement!F$96,achievement!F$97,0))</f>
        <v>0</v>
      </c>
      <c r="J107" s="2" t="b">
        <f>IF(J106=0,IF($B107&gt;=achievement!G$96,achievement!G$97,0))</f>
        <v>0</v>
      </c>
      <c r="K107" s="2" t="b">
        <f>IF(K106=0,IF($B107&gt;=achievement!H$96,achievement!H$97,0))</f>
        <v>0</v>
      </c>
      <c r="L107" s="2" t="b">
        <f>IF(L106=0,IF($B107&gt;=achievement!I$96,achievement!I$97,0))</f>
        <v>0</v>
      </c>
      <c r="M107" s="2">
        <f>IF(M106=0,IF($B107&gt;=achievement!J$96,achievement!J$97,0))</f>
        <v>0</v>
      </c>
      <c r="N107" s="2">
        <f>IF(N106=0,IF($B107&gt;=achievement!K$96,achievement!K$97,0))</f>
        <v>0</v>
      </c>
      <c r="O107" s="2">
        <f>IF(O106=0,IF($B107&gt;=achievement!L$96,achievement!L$97,0))</f>
        <v>0</v>
      </c>
      <c r="P107" s="2" t="b">
        <f>IF(P106=0,IF(achievement!M$96*$B107&gt;=1,achievement!M$97,0))</f>
        <v>0</v>
      </c>
      <c r="Q107" s="2" t="b">
        <f>IF(Q106=0,IF(achievement!N$96*$B107&gt;=1,achievement!N$97,0))</f>
        <v>0</v>
      </c>
      <c r="R107" s="2" t="b">
        <f>IF(R106=0,IF(achievement!O$96*$B107&gt;=1,achievement!O$97,0))</f>
        <v>0</v>
      </c>
      <c r="S107" s="2" t="b">
        <f>IF(S106=0,IF(achievement!P$96*$B107&gt;=1,achievement!P$97,0))</f>
        <v>0</v>
      </c>
      <c r="T107" s="2" t="b">
        <f>IF(T106=0,IF(achievement!Q$96*$B107&gt;=1,achievement!Q$97,0))</f>
        <v>0</v>
      </c>
      <c r="U107" s="2" t="b">
        <f>IF(U106=0,IF(achievement!R$96*$B107&gt;=1,achievement!R$97,0))</f>
        <v>0</v>
      </c>
      <c r="V107" s="2" t="b">
        <f>IF(V106=0,IF(achievement!S$96*$B107&gt;=1,achievement!S$97,0))</f>
        <v>0</v>
      </c>
      <c r="W107" s="2" t="b">
        <f>IF(W106=0,IF(achievement!T$96*$B107&gt;=1,achievement!T$97,0))</f>
        <v>0</v>
      </c>
      <c r="X107" s="2" t="b">
        <f>IF(X106=0,IF(achievement!U$96*$B107&gt;=1,achievement!U$97,0))</f>
        <v>0</v>
      </c>
      <c r="Y107" s="2" t="b">
        <f>IF(Y106=0,IF(achievement!V$96*$B107&gt;=1,achievement!V$97,0))</f>
        <v>0</v>
      </c>
      <c r="Z107" s="2" t="b">
        <f>IF(Z106=0,IF(achievement!W$96*$B107&gt;=1,achievement!W$97,0))</f>
        <v>0</v>
      </c>
      <c r="AA107" s="2" t="b">
        <f>IF(AA106=0,IF(achievement!X$96*$B107&gt;=1,achievement!X$97,0))</f>
        <v>0</v>
      </c>
      <c r="AB107" s="2" t="b">
        <f>IF(AB106=0,IF(achievement!Y$96*$B107&gt;=1,achievement!Y$97,0))</f>
        <v>0</v>
      </c>
      <c r="AC107" s="2" t="b">
        <f>IF(AC106=0,IF(achievement!Z$96*$B107&gt;=1,achievement!Z$97,0))</f>
        <v>0</v>
      </c>
      <c r="AD107" s="2" t="b">
        <f>IF(AD106=0,IF(achievement!AA$96*$B107&gt;=1,achievement!AA$97,0))</f>
        <v>0</v>
      </c>
      <c r="AE107" s="2" t="b">
        <f>IF(AE106=0,IF(achievement!AB$96*$B107&gt;=1,achievement!AB$97,0))</f>
        <v>0</v>
      </c>
      <c r="AF107" s="2" t="b">
        <f>IF(AF106=0,IF(achievement!AC$96*$B107&gt;=1,achievement!AC$97,0))</f>
        <v>0</v>
      </c>
      <c r="AG107" s="2" t="b">
        <f>IF(AG106=0,IF(achievement!AD$96*$B107&gt;=1,achievement!AD$97,0))</f>
        <v>0</v>
      </c>
      <c r="AH107" s="2" t="b">
        <f>IF(AH106=0,IF(achievement!AE$96*$B107&gt;=1,achievement!AE$97,0))</f>
        <v>0</v>
      </c>
      <c r="AI107" s="2" t="b">
        <f>IF(AI106=0,IF(achievement!AF$96*$B107&gt;=1,achievement!AF$97,0))</f>
        <v>0</v>
      </c>
      <c r="AJ107" s="2" t="b">
        <f>IF(AJ106=0,IF(achievement!AG$96*$B107&gt;=1,achievement!AG$97,0))</f>
        <v>0</v>
      </c>
      <c r="AK107" s="2" t="b">
        <f>IF(AK106=0,IF(achievement!AH$96*$B107&gt;=1,achievement!AH$97,0))</f>
        <v>0</v>
      </c>
      <c r="AL107" s="2" t="b">
        <f>IF(AL106=0,IF(achievement!AI$96*$B107&gt;=1,achievement!AI$97,0))</f>
        <v>0</v>
      </c>
      <c r="AM107" s="2" t="b">
        <f>IF(AM106=0,IF(achievement!AJ$96*$B107&gt;=1,achievement!AJ$97,0))</f>
        <v>0</v>
      </c>
      <c r="AN107" s="2" t="b">
        <f>IF(AN106=0,IF(achievement!AK$96*$B107&gt;=1,achievement!AK$97,0))</f>
        <v>0</v>
      </c>
      <c r="AO107" s="2" t="b">
        <f>IF(AO106=0,IF(achievement!AL$96*$B107&gt;=1,achievement!AL$97,0))</f>
        <v>0</v>
      </c>
      <c r="AP107" s="2" t="b">
        <f>IF(AP106=0,IF(achievement!AM$96*$B107&gt;=1,achievement!AM$97,0))</f>
        <v>0</v>
      </c>
      <c r="AQ107" s="2" t="b">
        <f>IF(AQ106=0,IF(achievement!AN$96*$B107&gt;=1,achievement!AN$97,0))</f>
        <v>0</v>
      </c>
      <c r="AR107" s="2" t="b">
        <f>IF(AR106=0,IF(achievement!AO$96*$B107&gt;=1,achievement!AO$97,0))</f>
        <v>0</v>
      </c>
      <c r="AS107" s="2" t="b">
        <f>IF(AS106=0,IF(achievement!AP$96*$B107&gt;=1,achievement!AP$97,0))</f>
        <v>0</v>
      </c>
      <c r="AT107" s="2" t="b">
        <f>IF(AT106=0,IF(achievement!AQ$96*$B107&gt;=1,achievement!AQ$97,0))</f>
        <v>0</v>
      </c>
      <c r="AU107" s="2" t="b">
        <f>IF(AU106=0,IF(achievement!AR$96*$B107&gt;=1,achievement!AR$97,0))</f>
        <v>0</v>
      </c>
      <c r="AV107" s="2" t="b">
        <f>IF(AV106=0,IF(achievement!AS$96*$B107&gt;=1,achievement!AS$97,0))</f>
        <v>0</v>
      </c>
      <c r="AW107" s="2"/>
      <c r="AX107" s="2"/>
      <c r="AY107" s="2"/>
    </row>
    <row r="108" s="1" customFormat="1" ht="18" customHeight="1" spans="2:51">
      <c r="B108" s="2">
        <v>83</v>
      </c>
      <c r="C108" s="2">
        <f t="shared" si="5"/>
        <v>83000</v>
      </c>
      <c r="D108" s="2">
        <f>ROUND($C$8*$C$5+$C$8*$C$4*(1-$L$5),0)</f>
        <v>88</v>
      </c>
      <c r="E108" s="2">
        <f t="shared" si="6"/>
        <v>7304</v>
      </c>
      <c r="F108" s="2">
        <f>ROUND(E108*VLOOKUP($B$10,总产出!$T$4:$U$14,2,FALSE),0)</f>
        <v>730</v>
      </c>
      <c r="G108" s="2">
        <f t="shared" si="7"/>
        <v>0</v>
      </c>
      <c r="H108" s="2">
        <f t="shared" si="8"/>
        <v>2327</v>
      </c>
      <c r="I108" s="2" t="b">
        <f>IF(I107=0,IF($B108&gt;=achievement!F$96,achievement!F$97,0))</f>
        <v>0</v>
      </c>
      <c r="J108" s="2" t="b">
        <f>IF(J107=0,IF($B108&gt;=achievement!G$96,achievement!G$97,0))</f>
        <v>0</v>
      </c>
      <c r="K108" s="2" t="b">
        <f>IF(K107=0,IF($B108&gt;=achievement!H$96,achievement!H$97,0))</f>
        <v>0</v>
      </c>
      <c r="L108" s="2" t="b">
        <f>IF(L107=0,IF($B108&gt;=achievement!I$96,achievement!I$97,0))</f>
        <v>0</v>
      </c>
      <c r="M108" s="2">
        <f>IF(M107=0,IF($B108&gt;=achievement!J$96,achievement!J$97,0))</f>
        <v>0</v>
      </c>
      <c r="N108" s="2">
        <f>IF(N107=0,IF($B108&gt;=achievement!K$96,achievement!K$97,0))</f>
        <v>0</v>
      </c>
      <c r="O108" s="2">
        <f>IF(O107=0,IF($B108&gt;=achievement!L$96,achievement!L$97,0))</f>
        <v>0</v>
      </c>
      <c r="P108" s="2" t="b">
        <f>IF(P107=0,IF(achievement!M$96*$B108&gt;=1,achievement!M$97,0))</f>
        <v>0</v>
      </c>
      <c r="Q108" s="2" t="b">
        <f>IF(Q107=0,IF(achievement!N$96*$B108&gt;=1,achievement!N$97,0))</f>
        <v>0</v>
      </c>
      <c r="R108" s="2" t="b">
        <f>IF(R107=0,IF(achievement!O$96*$B108&gt;=1,achievement!O$97,0))</f>
        <v>0</v>
      </c>
      <c r="S108" s="2" t="b">
        <f>IF(S107=0,IF(achievement!P$96*$B108&gt;=1,achievement!P$97,0))</f>
        <v>0</v>
      </c>
      <c r="T108" s="2" t="b">
        <f>IF(T107=0,IF(achievement!Q$96*$B108&gt;=1,achievement!Q$97,0))</f>
        <v>0</v>
      </c>
      <c r="U108" s="2" t="b">
        <f>IF(U107=0,IF(achievement!R$96*$B108&gt;=1,achievement!R$97,0))</f>
        <v>0</v>
      </c>
      <c r="V108" s="2" t="b">
        <f>IF(V107=0,IF(achievement!S$96*$B108&gt;=1,achievement!S$97,0))</f>
        <v>0</v>
      </c>
      <c r="W108" s="2" t="b">
        <f>IF(W107=0,IF(achievement!T$96*$B108&gt;=1,achievement!T$97,0))</f>
        <v>0</v>
      </c>
      <c r="X108" s="2" t="b">
        <f>IF(X107=0,IF(achievement!U$96*$B108&gt;=1,achievement!U$97,0))</f>
        <v>0</v>
      </c>
      <c r="Y108" s="2" t="b">
        <f>IF(Y107=0,IF(achievement!V$96*$B108&gt;=1,achievement!V$97,0))</f>
        <v>0</v>
      </c>
      <c r="Z108" s="2" t="b">
        <f>IF(Z107=0,IF(achievement!W$96*$B108&gt;=1,achievement!W$97,0))</f>
        <v>0</v>
      </c>
      <c r="AA108" s="2" t="b">
        <f>IF(AA107=0,IF(achievement!X$96*$B108&gt;=1,achievement!X$97,0))</f>
        <v>0</v>
      </c>
      <c r="AB108" s="2" t="b">
        <f>IF(AB107=0,IF(achievement!Y$96*$B108&gt;=1,achievement!Y$97,0))</f>
        <v>0</v>
      </c>
      <c r="AC108" s="2" t="b">
        <f>IF(AC107=0,IF(achievement!Z$96*$B108&gt;=1,achievement!Z$97,0))</f>
        <v>0</v>
      </c>
      <c r="AD108" s="2" t="b">
        <f>IF(AD107=0,IF(achievement!AA$96*$B108&gt;=1,achievement!AA$97,0))</f>
        <v>0</v>
      </c>
      <c r="AE108" s="2" t="b">
        <f>IF(AE107=0,IF(achievement!AB$96*$B108&gt;=1,achievement!AB$97,0))</f>
        <v>0</v>
      </c>
      <c r="AF108" s="2" t="b">
        <f>IF(AF107=0,IF(achievement!AC$96*$B108&gt;=1,achievement!AC$97,0))</f>
        <v>0</v>
      </c>
      <c r="AG108" s="2" t="b">
        <f>IF(AG107=0,IF(achievement!AD$96*$B108&gt;=1,achievement!AD$97,0))</f>
        <v>0</v>
      </c>
      <c r="AH108" s="2" t="b">
        <f>IF(AH107=0,IF(achievement!AE$96*$B108&gt;=1,achievement!AE$97,0))</f>
        <v>0</v>
      </c>
      <c r="AI108" s="2" t="b">
        <f>IF(AI107=0,IF(achievement!AF$96*$B108&gt;=1,achievement!AF$97,0))</f>
        <v>0</v>
      </c>
      <c r="AJ108" s="2" t="b">
        <f>IF(AJ107=0,IF(achievement!AG$96*$B108&gt;=1,achievement!AG$97,0))</f>
        <v>0</v>
      </c>
      <c r="AK108" s="2" t="b">
        <f>IF(AK107=0,IF(achievement!AH$96*$B108&gt;=1,achievement!AH$97,0))</f>
        <v>0</v>
      </c>
      <c r="AL108" s="2" t="b">
        <f>IF(AL107=0,IF(achievement!AI$96*$B108&gt;=1,achievement!AI$97,0))</f>
        <v>0</v>
      </c>
      <c r="AM108" s="2" t="b">
        <f>IF(AM107=0,IF(achievement!AJ$96*$B108&gt;=1,achievement!AJ$97,0))</f>
        <v>0</v>
      </c>
      <c r="AN108" s="2" t="b">
        <f>IF(AN107=0,IF(achievement!AK$96*$B108&gt;=1,achievement!AK$97,0))</f>
        <v>0</v>
      </c>
      <c r="AO108" s="2" t="b">
        <f>IF(AO107=0,IF(achievement!AL$96*$B108&gt;=1,achievement!AL$97,0))</f>
        <v>0</v>
      </c>
      <c r="AP108" s="2" t="b">
        <f>IF(AP107=0,IF(achievement!AM$96*$B108&gt;=1,achievement!AM$97,0))</f>
        <v>0</v>
      </c>
      <c r="AQ108" s="2" t="b">
        <f>IF(AQ107=0,IF(achievement!AN$96*$B108&gt;=1,achievement!AN$97,0))</f>
        <v>0</v>
      </c>
      <c r="AR108" s="2" t="b">
        <f>IF(AR107=0,IF(achievement!AO$96*$B108&gt;=1,achievement!AO$97,0))</f>
        <v>0</v>
      </c>
      <c r="AS108" s="2" t="b">
        <f>IF(AS107=0,IF(achievement!AP$96*$B108&gt;=1,achievement!AP$97,0))</f>
        <v>0</v>
      </c>
      <c r="AT108" s="2" t="b">
        <f>IF(AT107=0,IF(achievement!AQ$96*$B108&gt;=1,achievement!AQ$97,0))</f>
        <v>0</v>
      </c>
      <c r="AU108" s="2" t="b">
        <f>IF(AU107=0,IF(achievement!AR$96*$B108&gt;=1,achievement!AR$97,0))</f>
        <v>0</v>
      </c>
      <c r="AV108" s="2" t="b">
        <f>IF(AV107=0,IF(achievement!AS$96*$B108&gt;=1,achievement!AS$97,0))</f>
        <v>0</v>
      </c>
      <c r="AW108" s="2"/>
      <c r="AX108" s="2"/>
      <c r="AY108" s="2"/>
    </row>
    <row r="109" s="1" customFormat="1" ht="18" customHeight="1" spans="2:51">
      <c r="B109" s="2">
        <v>84</v>
      </c>
      <c r="C109" s="2">
        <f t="shared" si="5"/>
        <v>84000</v>
      </c>
      <c r="D109" s="2">
        <f>ROUND($C$8*$C$5+$C$8*$C$4*(1-$L$5),0)</f>
        <v>88</v>
      </c>
      <c r="E109" s="2">
        <f t="shared" si="6"/>
        <v>7392</v>
      </c>
      <c r="F109" s="2">
        <f>ROUND(E109*VLOOKUP($B$10,总产出!$T$4:$U$14,2,FALSE),0)</f>
        <v>739</v>
      </c>
      <c r="G109" s="2">
        <f t="shared" si="7"/>
        <v>0</v>
      </c>
      <c r="H109" s="2">
        <f t="shared" si="8"/>
        <v>2327</v>
      </c>
      <c r="I109" s="2" t="b">
        <f>IF(I108=0,IF($B109&gt;=achievement!F$96,achievement!F$97,0))</f>
        <v>0</v>
      </c>
      <c r="J109" s="2" t="b">
        <f>IF(J108=0,IF($B109&gt;=achievement!G$96,achievement!G$97,0))</f>
        <v>0</v>
      </c>
      <c r="K109" s="2" t="b">
        <f>IF(K108=0,IF($B109&gt;=achievement!H$96,achievement!H$97,0))</f>
        <v>0</v>
      </c>
      <c r="L109" s="2" t="b">
        <f>IF(L108=0,IF($B109&gt;=achievement!I$96,achievement!I$97,0))</f>
        <v>0</v>
      </c>
      <c r="M109" s="2">
        <f>IF(M108=0,IF($B109&gt;=achievement!J$96,achievement!J$97,0))</f>
        <v>0</v>
      </c>
      <c r="N109" s="2">
        <f>IF(N108=0,IF($B109&gt;=achievement!K$96,achievement!K$97,0))</f>
        <v>0</v>
      </c>
      <c r="O109" s="2">
        <f>IF(O108=0,IF($B109&gt;=achievement!L$96,achievement!L$97,0))</f>
        <v>0</v>
      </c>
      <c r="P109" s="2" t="b">
        <f>IF(P108=0,IF(achievement!M$96*$B109&gt;=1,achievement!M$97,0))</f>
        <v>0</v>
      </c>
      <c r="Q109" s="2" t="b">
        <f>IF(Q108=0,IF(achievement!N$96*$B109&gt;=1,achievement!N$97,0))</f>
        <v>0</v>
      </c>
      <c r="R109" s="2" t="b">
        <f>IF(R108=0,IF(achievement!O$96*$B109&gt;=1,achievement!O$97,0))</f>
        <v>0</v>
      </c>
      <c r="S109" s="2" t="b">
        <f>IF(S108=0,IF(achievement!P$96*$B109&gt;=1,achievement!P$97,0))</f>
        <v>0</v>
      </c>
      <c r="T109" s="2" t="b">
        <f>IF(T108=0,IF(achievement!Q$96*$B109&gt;=1,achievement!Q$97,0))</f>
        <v>0</v>
      </c>
      <c r="U109" s="2" t="b">
        <f>IF(U108=0,IF(achievement!R$96*$B109&gt;=1,achievement!R$97,0))</f>
        <v>0</v>
      </c>
      <c r="V109" s="2" t="b">
        <f>IF(V108=0,IF(achievement!S$96*$B109&gt;=1,achievement!S$97,0))</f>
        <v>0</v>
      </c>
      <c r="W109" s="2" t="b">
        <f>IF(W108=0,IF(achievement!T$96*$B109&gt;=1,achievement!T$97,0))</f>
        <v>0</v>
      </c>
      <c r="X109" s="2" t="b">
        <f>IF(X108=0,IF(achievement!U$96*$B109&gt;=1,achievement!U$97,0))</f>
        <v>0</v>
      </c>
      <c r="Y109" s="2" t="b">
        <f>IF(Y108=0,IF(achievement!V$96*$B109&gt;=1,achievement!V$97,0))</f>
        <v>0</v>
      </c>
      <c r="Z109" s="2" t="b">
        <f>IF(Z108=0,IF(achievement!W$96*$B109&gt;=1,achievement!W$97,0))</f>
        <v>0</v>
      </c>
      <c r="AA109" s="2" t="b">
        <f>IF(AA108=0,IF(achievement!X$96*$B109&gt;=1,achievement!X$97,0))</f>
        <v>0</v>
      </c>
      <c r="AB109" s="2" t="b">
        <f>IF(AB108=0,IF(achievement!Y$96*$B109&gt;=1,achievement!Y$97,0))</f>
        <v>0</v>
      </c>
      <c r="AC109" s="2" t="b">
        <f>IF(AC108=0,IF(achievement!Z$96*$B109&gt;=1,achievement!Z$97,0))</f>
        <v>0</v>
      </c>
      <c r="AD109" s="2" t="b">
        <f>IF(AD108=0,IF(achievement!AA$96*$B109&gt;=1,achievement!AA$97,0))</f>
        <v>0</v>
      </c>
      <c r="AE109" s="2" t="b">
        <f>IF(AE108=0,IF(achievement!AB$96*$B109&gt;=1,achievement!AB$97,0))</f>
        <v>0</v>
      </c>
      <c r="AF109" s="2" t="b">
        <f>IF(AF108=0,IF(achievement!AC$96*$B109&gt;=1,achievement!AC$97,0))</f>
        <v>0</v>
      </c>
      <c r="AG109" s="2" t="b">
        <f>IF(AG108=0,IF(achievement!AD$96*$B109&gt;=1,achievement!AD$97,0))</f>
        <v>0</v>
      </c>
      <c r="AH109" s="2" t="b">
        <f>IF(AH108=0,IF(achievement!AE$96*$B109&gt;=1,achievement!AE$97,0))</f>
        <v>0</v>
      </c>
      <c r="AI109" s="2" t="b">
        <f>IF(AI108=0,IF(achievement!AF$96*$B109&gt;=1,achievement!AF$97,0))</f>
        <v>0</v>
      </c>
      <c r="AJ109" s="2" t="b">
        <f>IF(AJ108=0,IF(achievement!AG$96*$B109&gt;=1,achievement!AG$97,0))</f>
        <v>0</v>
      </c>
      <c r="AK109" s="2" t="b">
        <f>IF(AK108=0,IF(achievement!AH$96*$B109&gt;=1,achievement!AH$97,0))</f>
        <v>0</v>
      </c>
      <c r="AL109" s="2" t="b">
        <f>IF(AL108=0,IF(achievement!AI$96*$B109&gt;=1,achievement!AI$97,0))</f>
        <v>0</v>
      </c>
      <c r="AM109" s="2" t="b">
        <f>IF(AM108=0,IF(achievement!AJ$96*$B109&gt;=1,achievement!AJ$97,0))</f>
        <v>0</v>
      </c>
      <c r="AN109" s="2" t="b">
        <f>IF(AN108=0,IF(achievement!AK$96*$B109&gt;=1,achievement!AK$97,0))</f>
        <v>0</v>
      </c>
      <c r="AO109" s="2" t="b">
        <f>IF(AO108=0,IF(achievement!AL$96*$B109&gt;=1,achievement!AL$97,0))</f>
        <v>0</v>
      </c>
      <c r="AP109" s="2" t="b">
        <f>IF(AP108=0,IF(achievement!AM$96*$B109&gt;=1,achievement!AM$97,0))</f>
        <v>0</v>
      </c>
      <c r="AQ109" s="2" t="b">
        <f>IF(AQ108=0,IF(achievement!AN$96*$B109&gt;=1,achievement!AN$97,0))</f>
        <v>0</v>
      </c>
      <c r="AR109" s="2" t="b">
        <f>IF(AR108=0,IF(achievement!AO$96*$B109&gt;=1,achievement!AO$97,0))</f>
        <v>0</v>
      </c>
      <c r="AS109" s="2" t="b">
        <f>IF(AS108=0,IF(achievement!AP$96*$B109&gt;=1,achievement!AP$97,0))</f>
        <v>0</v>
      </c>
      <c r="AT109" s="2" t="b">
        <f>IF(AT108=0,IF(achievement!AQ$96*$B109&gt;=1,achievement!AQ$97,0))</f>
        <v>0</v>
      </c>
      <c r="AU109" s="2" t="b">
        <f>IF(AU108=0,IF(achievement!AR$96*$B109&gt;=1,achievement!AR$97,0))</f>
        <v>0</v>
      </c>
      <c r="AV109" s="2" t="b">
        <f>IF(AV108=0,IF(achievement!AS$96*$B109&gt;=1,achievement!AS$97,0))</f>
        <v>0</v>
      </c>
      <c r="AW109" s="2"/>
      <c r="AX109" s="2"/>
      <c r="AY109" s="2"/>
    </row>
    <row r="110" s="1" customFormat="1" ht="18" customHeight="1" spans="2:51">
      <c r="B110" s="2">
        <v>85</v>
      </c>
      <c r="C110" s="2">
        <f t="shared" si="5"/>
        <v>85000</v>
      </c>
      <c r="D110" s="2">
        <f>ROUND($C$8*$C$5+$C$8*$C$4*(1-$L$5),0)</f>
        <v>88</v>
      </c>
      <c r="E110" s="2">
        <f t="shared" si="6"/>
        <v>7480</v>
      </c>
      <c r="F110" s="2">
        <f>ROUND(E110*VLOOKUP($B$10,总产出!$T$4:$U$14,2,FALSE),0)</f>
        <v>748</v>
      </c>
      <c r="G110" s="2">
        <f t="shared" si="7"/>
        <v>0</v>
      </c>
      <c r="H110" s="2">
        <f t="shared" si="8"/>
        <v>2327</v>
      </c>
      <c r="I110" s="2" t="b">
        <f>IF(I109=0,IF($B110&gt;=achievement!F$96,achievement!F$97,0))</f>
        <v>0</v>
      </c>
      <c r="J110" s="2" t="b">
        <f>IF(J109=0,IF($B110&gt;=achievement!G$96,achievement!G$97,0))</f>
        <v>0</v>
      </c>
      <c r="K110" s="2" t="b">
        <f>IF(K109=0,IF($B110&gt;=achievement!H$96,achievement!H$97,0))</f>
        <v>0</v>
      </c>
      <c r="L110" s="2" t="b">
        <f>IF(L109=0,IF($B110&gt;=achievement!I$96,achievement!I$97,0))</f>
        <v>0</v>
      </c>
      <c r="M110" s="2">
        <f>IF(M109=0,IF($B110&gt;=achievement!J$96,achievement!J$97,0))</f>
        <v>0</v>
      </c>
      <c r="N110" s="2">
        <f>IF(N109=0,IF($B110&gt;=achievement!K$96,achievement!K$97,0))</f>
        <v>0</v>
      </c>
      <c r="O110" s="2">
        <f>IF(O109=0,IF($B110&gt;=achievement!L$96,achievement!L$97,0))</f>
        <v>0</v>
      </c>
      <c r="P110" s="2" t="b">
        <f>IF(P109=0,IF(achievement!M$96*$B110&gt;=1,achievement!M$97,0))</f>
        <v>0</v>
      </c>
      <c r="Q110" s="2" t="b">
        <f>IF(Q109=0,IF(achievement!N$96*$B110&gt;=1,achievement!N$97,0))</f>
        <v>0</v>
      </c>
      <c r="R110" s="2" t="b">
        <f>IF(R109=0,IF(achievement!O$96*$B110&gt;=1,achievement!O$97,0))</f>
        <v>0</v>
      </c>
      <c r="S110" s="2" t="b">
        <f>IF(S109=0,IF(achievement!P$96*$B110&gt;=1,achievement!P$97,0))</f>
        <v>0</v>
      </c>
      <c r="T110" s="2" t="b">
        <f>IF(T109=0,IF(achievement!Q$96*$B110&gt;=1,achievement!Q$97,0))</f>
        <v>0</v>
      </c>
      <c r="U110" s="2" t="b">
        <f>IF(U109=0,IF(achievement!R$96*$B110&gt;=1,achievement!R$97,0))</f>
        <v>0</v>
      </c>
      <c r="V110" s="2" t="b">
        <f>IF(V109=0,IF(achievement!S$96*$B110&gt;=1,achievement!S$97,0))</f>
        <v>0</v>
      </c>
      <c r="W110" s="2" t="b">
        <f>IF(W109=0,IF(achievement!T$96*$B110&gt;=1,achievement!T$97,0))</f>
        <v>0</v>
      </c>
      <c r="X110" s="2" t="b">
        <f>IF(X109=0,IF(achievement!U$96*$B110&gt;=1,achievement!U$97,0))</f>
        <v>0</v>
      </c>
      <c r="Y110" s="2" t="b">
        <f>IF(Y109=0,IF(achievement!V$96*$B110&gt;=1,achievement!V$97,0))</f>
        <v>0</v>
      </c>
      <c r="Z110" s="2" t="b">
        <f>IF(Z109=0,IF(achievement!W$96*$B110&gt;=1,achievement!W$97,0))</f>
        <v>0</v>
      </c>
      <c r="AA110" s="2" t="b">
        <f>IF(AA109=0,IF(achievement!X$96*$B110&gt;=1,achievement!X$97,0))</f>
        <v>0</v>
      </c>
      <c r="AB110" s="2" t="b">
        <f>IF(AB109=0,IF(achievement!Y$96*$B110&gt;=1,achievement!Y$97,0))</f>
        <v>0</v>
      </c>
      <c r="AC110" s="2" t="b">
        <f>IF(AC109=0,IF(achievement!Z$96*$B110&gt;=1,achievement!Z$97,0))</f>
        <v>0</v>
      </c>
      <c r="AD110" s="2" t="b">
        <f>IF(AD109=0,IF(achievement!AA$96*$B110&gt;=1,achievement!AA$97,0))</f>
        <v>0</v>
      </c>
      <c r="AE110" s="2" t="b">
        <f>IF(AE109=0,IF(achievement!AB$96*$B110&gt;=1,achievement!AB$97,0))</f>
        <v>0</v>
      </c>
      <c r="AF110" s="2" t="b">
        <f>IF(AF109=0,IF(achievement!AC$96*$B110&gt;=1,achievement!AC$97,0))</f>
        <v>0</v>
      </c>
      <c r="AG110" s="2" t="b">
        <f>IF(AG109=0,IF(achievement!AD$96*$B110&gt;=1,achievement!AD$97,0))</f>
        <v>0</v>
      </c>
      <c r="AH110" s="2" t="b">
        <f>IF(AH109=0,IF(achievement!AE$96*$B110&gt;=1,achievement!AE$97,0))</f>
        <v>0</v>
      </c>
      <c r="AI110" s="2" t="b">
        <f>IF(AI109=0,IF(achievement!AF$96*$B110&gt;=1,achievement!AF$97,0))</f>
        <v>0</v>
      </c>
      <c r="AJ110" s="2" t="b">
        <f>IF(AJ109=0,IF(achievement!AG$96*$B110&gt;=1,achievement!AG$97,0))</f>
        <v>0</v>
      </c>
      <c r="AK110" s="2" t="b">
        <f>IF(AK109=0,IF(achievement!AH$96*$B110&gt;=1,achievement!AH$97,0))</f>
        <v>0</v>
      </c>
      <c r="AL110" s="2" t="b">
        <f>IF(AL109=0,IF(achievement!AI$96*$B110&gt;=1,achievement!AI$97,0))</f>
        <v>0</v>
      </c>
      <c r="AM110" s="2" t="b">
        <f>IF(AM109=0,IF(achievement!AJ$96*$B110&gt;=1,achievement!AJ$97,0))</f>
        <v>0</v>
      </c>
      <c r="AN110" s="2" t="b">
        <f>IF(AN109=0,IF(achievement!AK$96*$B110&gt;=1,achievement!AK$97,0))</f>
        <v>0</v>
      </c>
      <c r="AO110" s="2" t="b">
        <f>IF(AO109=0,IF(achievement!AL$96*$B110&gt;=1,achievement!AL$97,0))</f>
        <v>0</v>
      </c>
      <c r="AP110" s="2" t="b">
        <f>IF(AP109=0,IF(achievement!AM$96*$B110&gt;=1,achievement!AM$97,0))</f>
        <v>0</v>
      </c>
      <c r="AQ110" s="2" t="b">
        <f>IF(AQ109=0,IF(achievement!AN$96*$B110&gt;=1,achievement!AN$97,0))</f>
        <v>0</v>
      </c>
      <c r="AR110" s="2" t="b">
        <f>IF(AR109=0,IF(achievement!AO$96*$B110&gt;=1,achievement!AO$97,0))</f>
        <v>0</v>
      </c>
      <c r="AS110" s="2" t="b">
        <f>IF(AS109=0,IF(achievement!AP$96*$B110&gt;=1,achievement!AP$97,0))</f>
        <v>0</v>
      </c>
      <c r="AT110" s="2" t="b">
        <f>IF(AT109=0,IF(achievement!AQ$96*$B110&gt;=1,achievement!AQ$97,0))</f>
        <v>0</v>
      </c>
      <c r="AU110" s="2" t="b">
        <f>IF(AU109=0,IF(achievement!AR$96*$B110&gt;=1,achievement!AR$97,0))</f>
        <v>0</v>
      </c>
      <c r="AV110" s="2" t="b">
        <f>IF(AV109=0,IF(achievement!AS$96*$B110&gt;=1,achievement!AS$97,0))</f>
        <v>0</v>
      </c>
      <c r="AW110" s="2"/>
      <c r="AX110" s="2"/>
      <c r="AY110" s="2"/>
    </row>
    <row r="111" s="1" customFormat="1" ht="18" customHeight="1" spans="2:51">
      <c r="B111" s="2">
        <v>86</v>
      </c>
      <c r="C111" s="2">
        <f t="shared" si="5"/>
        <v>86000</v>
      </c>
      <c r="D111" s="2">
        <f>ROUND($C$8*$C$5+$C$8*$C$4*(1-$L$5),0)</f>
        <v>88</v>
      </c>
      <c r="E111" s="2">
        <f t="shared" si="6"/>
        <v>7568</v>
      </c>
      <c r="F111" s="2">
        <f>ROUND(E111*VLOOKUP($B$10,总产出!$T$4:$U$14,2,FALSE),0)</f>
        <v>757</v>
      </c>
      <c r="G111" s="2">
        <f t="shared" si="7"/>
        <v>0</v>
      </c>
      <c r="H111" s="2">
        <f t="shared" si="8"/>
        <v>2327</v>
      </c>
      <c r="I111" s="2" t="b">
        <f>IF(I110=0,IF($B111&gt;=achievement!F$96,achievement!F$97,0))</f>
        <v>0</v>
      </c>
      <c r="J111" s="2" t="b">
        <f>IF(J110=0,IF($B111&gt;=achievement!G$96,achievement!G$97,0))</f>
        <v>0</v>
      </c>
      <c r="K111" s="2" t="b">
        <f>IF(K110=0,IF($B111&gt;=achievement!H$96,achievement!H$97,0))</f>
        <v>0</v>
      </c>
      <c r="L111" s="2" t="b">
        <f>IF(L110=0,IF($B111&gt;=achievement!I$96,achievement!I$97,0))</f>
        <v>0</v>
      </c>
      <c r="M111" s="2">
        <f>IF(M110=0,IF($B111&gt;=achievement!J$96,achievement!J$97,0))</f>
        <v>0</v>
      </c>
      <c r="N111" s="2">
        <f>IF(N110=0,IF($B111&gt;=achievement!K$96,achievement!K$97,0))</f>
        <v>0</v>
      </c>
      <c r="O111" s="2">
        <f>IF(O110=0,IF($B111&gt;=achievement!L$96,achievement!L$97,0))</f>
        <v>0</v>
      </c>
      <c r="P111" s="2" t="b">
        <f>IF(P110=0,IF(achievement!M$96*$B111&gt;=1,achievement!M$97,0))</f>
        <v>0</v>
      </c>
      <c r="Q111" s="2" t="b">
        <f>IF(Q110=0,IF(achievement!N$96*$B111&gt;=1,achievement!N$97,0))</f>
        <v>0</v>
      </c>
      <c r="R111" s="2" t="b">
        <f>IF(R110=0,IF(achievement!O$96*$B111&gt;=1,achievement!O$97,0))</f>
        <v>0</v>
      </c>
      <c r="S111" s="2" t="b">
        <f>IF(S110=0,IF(achievement!P$96*$B111&gt;=1,achievement!P$97,0))</f>
        <v>0</v>
      </c>
      <c r="T111" s="2" t="b">
        <f>IF(T110=0,IF(achievement!Q$96*$B111&gt;=1,achievement!Q$97,0))</f>
        <v>0</v>
      </c>
      <c r="U111" s="2" t="b">
        <f>IF(U110=0,IF(achievement!R$96*$B111&gt;=1,achievement!R$97,0))</f>
        <v>0</v>
      </c>
      <c r="V111" s="2" t="b">
        <f>IF(V110=0,IF(achievement!S$96*$B111&gt;=1,achievement!S$97,0))</f>
        <v>0</v>
      </c>
      <c r="W111" s="2" t="b">
        <f>IF(W110=0,IF(achievement!T$96*$B111&gt;=1,achievement!T$97,0))</f>
        <v>0</v>
      </c>
      <c r="X111" s="2" t="b">
        <f>IF(X110=0,IF(achievement!U$96*$B111&gt;=1,achievement!U$97,0))</f>
        <v>0</v>
      </c>
      <c r="Y111" s="2" t="b">
        <f>IF(Y110=0,IF(achievement!V$96*$B111&gt;=1,achievement!V$97,0))</f>
        <v>0</v>
      </c>
      <c r="Z111" s="2" t="b">
        <f>IF(Z110=0,IF(achievement!W$96*$B111&gt;=1,achievement!W$97,0))</f>
        <v>0</v>
      </c>
      <c r="AA111" s="2" t="b">
        <f>IF(AA110=0,IF(achievement!X$96*$B111&gt;=1,achievement!X$97,0))</f>
        <v>0</v>
      </c>
      <c r="AB111" s="2" t="b">
        <f>IF(AB110=0,IF(achievement!Y$96*$B111&gt;=1,achievement!Y$97,0))</f>
        <v>0</v>
      </c>
      <c r="AC111" s="2" t="b">
        <f>IF(AC110=0,IF(achievement!Z$96*$B111&gt;=1,achievement!Z$97,0))</f>
        <v>0</v>
      </c>
      <c r="AD111" s="2" t="b">
        <f>IF(AD110=0,IF(achievement!AA$96*$B111&gt;=1,achievement!AA$97,0))</f>
        <v>0</v>
      </c>
      <c r="AE111" s="2" t="b">
        <f>IF(AE110=0,IF(achievement!AB$96*$B111&gt;=1,achievement!AB$97,0))</f>
        <v>0</v>
      </c>
      <c r="AF111" s="2" t="b">
        <f>IF(AF110=0,IF(achievement!AC$96*$B111&gt;=1,achievement!AC$97,0))</f>
        <v>0</v>
      </c>
      <c r="AG111" s="2" t="b">
        <f>IF(AG110=0,IF(achievement!AD$96*$B111&gt;=1,achievement!AD$97,0))</f>
        <v>0</v>
      </c>
      <c r="AH111" s="2" t="b">
        <f>IF(AH110=0,IF(achievement!AE$96*$B111&gt;=1,achievement!AE$97,0))</f>
        <v>0</v>
      </c>
      <c r="AI111" s="2" t="b">
        <f>IF(AI110=0,IF(achievement!AF$96*$B111&gt;=1,achievement!AF$97,0))</f>
        <v>0</v>
      </c>
      <c r="AJ111" s="2" t="b">
        <f>IF(AJ110=0,IF(achievement!AG$96*$B111&gt;=1,achievement!AG$97,0))</f>
        <v>0</v>
      </c>
      <c r="AK111" s="2" t="b">
        <f>IF(AK110=0,IF(achievement!AH$96*$B111&gt;=1,achievement!AH$97,0))</f>
        <v>0</v>
      </c>
      <c r="AL111" s="2" t="b">
        <f>IF(AL110=0,IF(achievement!AI$96*$B111&gt;=1,achievement!AI$97,0))</f>
        <v>0</v>
      </c>
      <c r="AM111" s="2" t="b">
        <f>IF(AM110=0,IF(achievement!AJ$96*$B111&gt;=1,achievement!AJ$97,0))</f>
        <v>0</v>
      </c>
      <c r="AN111" s="2" t="b">
        <f>IF(AN110=0,IF(achievement!AK$96*$B111&gt;=1,achievement!AK$97,0))</f>
        <v>0</v>
      </c>
      <c r="AO111" s="2" t="b">
        <f>IF(AO110=0,IF(achievement!AL$96*$B111&gt;=1,achievement!AL$97,0))</f>
        <v>0</v>
      </c>
      <c r="AP111" s="2" t="b">
        <f>IF(AP110=0,IF(achievement!AM$96*$B111&gt;=1,achievement!AM$97,0))</f>
        <v>0</v>
      </c>
      <c r="AQ111" s="2" t="b">
        <f>IF(AQ110=0,IF(achievement!AN$96*$B111&gt;=1,achievement!AN$97,0))</f>
        <v>0</v>
      </c>
      <c r="AR111" s="2" t="b">
        <f>IF(AR110=0,IF(achievement!AO$96*$B111&gt;=1,achievement!AO$97,0))</f>
        <v>0</v>
      </c>
      <c r="AS111" s="2" t="b">
        <f>IF(AS110=0,IF(achievement!AP$96*$B111&gt;=1,achievement!AP$97,0))</f>
        <v>0</v>
      </c>
      <c r="AT111" s="2" t="b">
        <f>IF(AT110=0,IF(achievement!AQ$96*$B111&gt;=1,achievement!AQ$97,0))</f>
        <v>0</v>
      </c>
      <c r="AU111" s="2" t="b">
        <f>IF(AU110=0,IF(achievement!AR$96*$B111&gt;=1,achievement!AR$97,0))</f>
        <v>0</v>
      </c>
      <c r="AV111" s="2" t="b">
        <f>IF(AV110=0,IF(achievement!AS$96*$B111&gt;=1,achievement!AS$97,0))</f>
        <v>0</v>
      </c>
      <c r="AW111" s="2"/>
      <c r="AX111" s="2"/>
      <c r="AY111" s="2"/>
    </row>
    <row r="112" s="1" customFormat="1" ht="18" customHeight="1" spans="2:51">
      <c r="B112" s="2">
        <v>87</v>
      </c>
      <c r="C112" s="2">
        <f t="shared" si="5"/>
        <v>87000</v>
      </c>
      <c r="D112" s="2">
        <f>ROUND($C$8*$C$5+$C$8*$C$4*(1-$L$5),0)</f>
        <v>88</v>
      </c>
      <c r="E112" s="2">
        <f t="shared" si="6"/>
        <v>7656</v>
      </c>
      <c r="F112" s="2">
        <f>ROUND(E112*VLOOKUP($B$10,总产出!$T$4:$U$14,2,FALSE),0)</f>
        <v>766</v>
      </c>
      <c r="G112" s="2">
        <f t="shared" si="7"/>
        <v>0</v>
      </c>
      <c r="H112" s="2">
        <f t="shared" si="8"/>
        <v>2327</v>
      </c>
      <c r="I112" s="2" t="b">
        <f>IF(I111=0,IF($B112&gt;=achievement!F$96,achievement!F$97,0))</f>
        <v>0</v>
      </c>
      <c r="J112" s="2" t="b">
        <f>IF(J111=0,IF($B112&gt;=achievement!G$96,achievement!G$97,0))</f>
        <v>0</v>
      </c>
      <c r="K112" s="2" t="b">
        <f>IF(K111=0,IF($B112&gt;=achievement!H$96,achievement!H$97,0))</f>
        <v>0</v>
      </c>
      <c r="L112" s="2" t="b">
        <f>IF(L111=0,IF($B112&gt;=achievement!I$96,achievement!I$97,0))</f>
        <v>0</v>
      </c>
      <c r="M112" s="2">
        <f>IF(M111=0,IF($B112&gt;=achievement!J$96,achievement!J$97,0))</f>
        <v>0</v>
      </c>
      <c r="N112" s="2">
        <f>IF(N111=0,IF($B112&gt;=achievement!K$96,achievement!K$97,0))</f>
        <v>0</v>
      </c>
      <c r="O112" s="2">
        <f>IF(O111=0,IF($B112&gt;=achievement!L$96,achievement!L$97,0))</f>
        <v>0</v>
      </c>
      <c r="P112" s="2" t="b">
        <f>IF(P111=0,IF(achievement!M$96*$B112&gt;=1,achievement!M$97,0))</f>
        <v>0</v>
      </c>
      <c r="Q112" s="2" t="b">
        <f>IF(Q111=0,IF(achievement!N$96*$B112&gt;=1,achievement!N$97,0))</f>
        <v>0</v>
      </c>
      <c r="R112" s="2" t="b">
        <f>IF(R111=0,IF(achievement!O$96*$B112&gt;=1,achievement!O$97,0))</f>
        <v>0</v>
      </c>
      <c r="S112" s="2" t="b">
        <f>IF(S111=0,IF(achievement!P$96*$B112&gt;=1,achievement!P$97,0))</f>
        <v>0</v>
      </c>
      <c r="T112" s="2" t="b">
        <f>IF(T111=0,IF(achievement!Q$96*$B112&gt;=1,achievement!Q$97,0))</f>
        <v>0</v>
      </c>
      <c r="U112" s="2" t="b">
        <f>IF(U111=0,IF(achievement!R$96*$B112&gt;=1,achievement!R$97,0))</f>
        <v>0</v>
      </c>
      <c r="V112" s="2" t="b">
        <f>IF(V111=0,IF(achievement!S$96*$B112&gt;=1,achievement!S$97,0))</f>
        <v>0</v>
      </c>
      <c r="W112" s="2" t="b">
        <f>IF(W111=0,IF(achievement!T$96*$B112&gt;=1,achievement!T$97,0))</f>
        <v>0</v>
      </c>
      <c r="X112" s="2" t="b">
        <f>IF(X111=0,IF(achievement!U$96*$B112&gt;=1,achievement!U$97,0))</f>
        <v>0</v>
      </c>
      <c r="Y112" s="2" t="b">
        <f>IF(Y111=0,IF(achievement!V$96*$B112&gt;=1,achievement!V$97,0))</f>
        <v>0</v>
      </c>
      <c r="Z112" s="2" t="b">
        <f>IF(Z111=0,IF(achievement!W$96*$B112&gt;=1,achievement!W$97,0))</f>
        <v>0</v>
      </c>
      <c r="AA112" s="2" t="b">
        <f>IF(AA111=0,IF(achievement!X$96*$B112&gt;=1,achievement!X$97,0))</f>
        <v>0</v>
      </c>
      <c r="AB112" s="2" t="b">
        <f>IF(AB111=0,IF(achievement!Y$96*$B112&gt;=1,achievement!Y$97,0))</f>
        <v>0</v>
      </c>
      <c r="AC112" s="2" t="b">
        <f>IF(AC111=0,IF(achievement!Z$96*$B112&gt;=1,achievement!Z$97,0))</f>
        <v>0</v>
      </c>
      <c r="AD112" s="2" t="b">
        <f>IF(AD111=0,IF(achievement!AA$96*$B112&gt;=1,achievement!AA$97,0))</f>
        <v>0</v>
      </c>
      <c r="AE112" s="2" t="b">
        <f>IF(AE111=0,IF(achievement!AB$96*$B112&gt;=1,achievement!AB$97,0))</f>
        <v>0</v>
      </c>
      <c r="AF112" s="2" t="b">
        <f>IF(AF111=0,IF(achievement!AC$96*$B112&gt;=1,achievement!AC$97,0))</f>
        <v>0</v>
      </c>
      <c r="AG112" s="2" t="b">
        <f>IF(AG111=0,IF(achievement!AD$96*$B112&gt;=1,achievement!AD$97,0))</f>
        <v>0</v>
      </c>
      <c r="AH112" s="2" t="b">
        <f>IF(AH111=0,IF(achievement!AE$96*$B112&gt;=1,achievement!AE$97,0))</f>
        <v>0</v>
      </c>
      <c r="AI112" s="2" t="b">
        <f>IF(AI111=0,IF(achievement!AF$96*$B112&gt;=1,achievement!AF$97,0))</f>
        <v>0</v>
      </c>
      <c r="AJ112" s="2" t="b">
        <f>IF(AJ111=0,IF(achievement!AG$96*$B112&gt;=1,achievement!AG$97,0))</f>
        <v>0</v>
      </c>
      <c r="AK112" s="2" t="b">
        <f>IF(AK111=0,IF(achievement!AH$96*$B112&gt;=1,achievement!AH$97,0))</f>
        <v>0</v>
      </c>
      <c r="AL112" s="2" t="b">
        <f>IF(AL111=0,IF(achievement!AI$96*$B112&gt;=1,achievement!AI$97,0))</f>
        <v>0</v>
      </c>
      <c r="AM112" s="2" t="b">
        <f>IF(AM111=0,IF(achievement!AJ$96*$B112&gt;=1,achievement!AJ$97,0))</f>
        <v>0</v>
      </c>
      <c r="AN112" s="2" t="b">
        <f>IF(AN111=0,IF(achievement!AK$96*$B112&gt;=1,achievement!AK$97,0))</f>
        <v>0</v>
      </c>
      <c r="AO112" s="2" t="b">
        <f>IF(AO111=0,IF(achievement!AL$96*$B112&gt;=1,achievement!AL$97,0))</f>
        <v>0</v>
      </c>
      <c r="AP112" s="2" t="b">
        <f>IF(AP111=0,IF(achievement!AM$96*$B112&gt;=1,achievement!AM$97,0))</f>
        <v>0</v>
      </c>
      <c r="AQ112" s="2" t="b">
        <f>IF(AQ111=0,IF(achievement!AN$96*$B112&gt;=1,achievement!AN$97,0))</f>
        <v>0</v>
      </c>
      <c r="AR112" s="2" t="b">
        <f>IF(AR111=0,IF(achievement!AO$96*$B112&gt;=1,achievement!AO$97,0))</f>
        <v>0</v>
      </c>
      <c r="AS112" s="2" t="b">
        <f>IF(AS111=0,IF(achievement!AP$96*$B112&gt;=1,achievement!AP$97,0))</f>
        <v>0</v>
      </c>
      <c r="AT112" s="2" t="b">
        <f>IF(AT111=0,IF(achievement!AQ$96*$B112&gt;=1,achievement!AQ$97,0))</f>
        <v>0</v>
      </c>
      <c r="AU112" s="2" t="b">
        <f>IF(AU111=0,IF(achievement!AR$96*$B112&gt;=1,achievement!AR$97,0))</f>
        <v>0</v>
      </c>
      <c r="AV112" s="2" t="b">
        <f>IF(AV111=0,IF(achievement!AS$96*$B112&gt;=1,achievement!AS$97,0))</f>
        <v>0</v>
      </c>
      <c r="AW112" s="2"/>
      <c r="AX112" s="2"/>
      <c r="AY112" s="2"/>
    </row>
    <row r="113" s="1" customFormat="1" ht="18" customHeight="1" spans="2:51">
      <c r="B113" s="2">
        <v>88</v>
      </c>
      <c r="C113" s="2">
        <f t="shared" si="5"/>
        <v>88000</v>
      </c>
      <c r="D113" s="2">
        <f>ROUND($C$8*$C$5+$C$8*$C$4*(1-$L$5),0)</f>
        <v>88</v>
      </c>
      <c r="E113" s="2">
        <f t="shared" si="6"/>
        <v>7744</v>
      </c>
      <c r="F113" s="2">
        <f>ROUND(E113*VLOOKUP($B$10,总产出!$T$4:$U$14,2,FALSE),0)</f>
        <v>774</v>
      </c>
      <c r="G113" s="2">
        <f t="shared" si="7"/>
        <v>0</v>
      </c>
      <c r="H113" s="2">
        <f t="shared" si="8"/>
        <v>2327</v>
      </c>
      <c r="I113" s="2" t="b">
        <f>IF(I112=0,IF($B113&gt;=achievement!F$96,achievement!F$97,0))</f>
        <v>0</v>
      </c>
      <c r="J113" s="2" t="b">
        <f>IF(J112=0,IF($B113&gt;=achievement!G$96,achievement!G$97,0))</f>
        <v>0</v>
      </c>
      <c r="K113" s="2" t="b">
        <f>IF(K112=0,IF($B113&gt;=achievement!H$96,achievement!H$97,0))</f>
        <v>0</v>
      </c>
      <c r="L113" s="2" t="b">
        <f>IF(L112=0,IF($B113&gt;=achievement!I$96,achievement!I$97,0))</f>
        <v>0</v>
      </c>
      <c r="M113" s="2">
        <f>IF(M112=0,IF($B113&gt;=achievement!J$96,achievement!J$97,0))</f>
        <v>0</v>
      </c>
      <c r="N113" s="2">
        <f>IF(N112=0,IF($B113&gt;=achievement!K$96,achievement!K$97,0))</f>
        <v>0</v>
      </c>
      <c r="O113" s="2">
        <f>IF(O112=0,IF($B113&gt;=achievement!L$96,achievement!L$97,0))</f>
        <v>0</v>
      </c>
      <c r="P113" s="2" t="b">
        <f>IF(P112=0,IF(achievement!M$96*$B113&gt;=1,achievement!M$97,0))</f>
        <v>0</v>
      </c>
      <c r="Q113" s="2" t="b">
        <f>IF(Q112=0,IF(achievement!N$96*$B113&gt;=1,achievement!N$97,0))</f>
        <v>0</v>
      </c>
      <c r="R113" s="2" t="b">
        <f>IF(R112=0,IF(achievement!O$96*$B113&gt;=1,achievement!O$97,0))</f>
        <v>0</v>
      </c>
      <c r="S113" s="2" t="b">
        <f>IF(S112=0,IF(achievement!P$96*$B113&gt;=1,achievement!P$97,0))</f>
        <v>0</v>
      </c>
      <c r="T113" s="2" t="b">
        <f>IF(T112=0,IF(achievement!Q$96*$B113&gt;=1,achievement!Q$97,0))</f>
        <v>0</v>
      </c>
      <c r="U113" s="2" t="b">
        <f>IF(U112=0,IF(achievement!R$96*$B113&gt;=1,achievement!R$97,0))</f>
        <v>0</v>
      </c>
      <c r="V113" s="2" t="b">
        <f>IF(V112=0,IF(achievement!S$96*$B113&gt;=1,achievement!S$97,0))</f>
        <v>0</v>
      </c>
      <c r="W113" s="2" t="b">
        <f>IF(W112=0,IF(achievement!T$96*$B113&gt;=1,achievement!T$97,0))</f>
        <v>0</v>
      </c>
      <c r="X113" s="2" t="b">
        <f>IF(X112=0,IF(achievement!U$96*$B113&gt;=1,achievement!U$97,0))</f>
        <v>0</v>
      </c>
      <c r="Y113" s="2" t="b">
        <f>IF(Y112=0,IF(achievement!V$96*$B113&gt;=1,achievement!V$97,0))</f>
        <v>0</v>
      </c>
      <c r="Z113" s="2" t="b">
        <f>IF(Z112=0,IF(achievement!W$96*$B113&gt;=1,achievement!W$97,0))</f>
        <v>0</v>
      </c>
      <c r="AA113" s="2" t="b">
        <f>IF(AA112=0,IF(achievement!X$96*$B113&gt;=1,achievement!X$97,0))</f>
        <v>0</v>
      </c>
      <c r="AB113" s="2" t="b">
        <f>IF(AB112=0,IF(achievement!Y$96*$B113&gt;=1,achievement!Y$97,0))</f>
        <v>0</v>
      </c>
      <c r="AC113" s="2" t="b">
        <f>IF(AC112=0,IF(achievement!Z$96*$B113&gt;=1,achievement!Z$97,0))</f>
        <v>0</v>
      </c>
      <c r="AD113" s="2" t="b">
        <f>IF(AD112=0,IF(achievement!AA$96*$B113&gt;=1,achievement!AA$97,0))</f>
        <v>0</v>
      </c>
      <c r="AE113" s="2" t="b">
        <f>IF(AE112=0,IF(achievement!AB$96*$B113&gt;=1,achievement!AB$97,0))</f>
        <v>0</v>
      </c>
      <c r="AF113" s="2" t="b">
        <f>IF(AF112=0,IF(achievement!AC$96*$B113&gt;=1,achievement!AC$97,0))</f>
        <v>0</v>
      </c>
      <c r="AG113" s="2" t="b">
        <f>IF(AG112=0,IF(achievement!AD$96*$B113&gt;=1,achievement!AD$97,0))</f>
        <v>0</v>
      </c>
      <c r="AH113" s="2" t="b">
        <f>IF(AH112=0,IF(achievement!AE$96*$B113&gt;=1,achievement!AE$97,0))</f>
        <v>0</v>
      </c>
      <c r="AI113" s="2" t="b">
        <f>IF(AI112=0,IF(achievement!AF$96*$B113&gt;=1,achievement!AF$97,0))</f>
        <v>0</v>
      </c>
      <c r="AJ113" s="2" t="b">
        <f>IF(AJ112=0,IF(achievement!AG$96*$B113&gt;=1,achievement!AG$97,0))</f>
        <v>0</v>
      </c>
      <c r="AK113" s="2" t="b">
        <f>IF(AK112=0,IF(achievement!AH$96*$B113&gt;=1,achievement!AH$97,0))</f>
        <v>0</v>
      </c>
      <c r="AL113" s="2" t="b">
        <f>IF(AL112=0,IF(achievement!AI$96*$B113&gt;=1,achievement!AI$97,0))</f>
        <v>0</v>
      </c>
      <c r="AM113" s="2" t="b">
        <f>IF(AM112=0,IF(achievement!AJ$96*$B113&gt;=1,achievement!AJ$97,0))</f>
        <v>0</v>
      </c>
      <c r="AN113" s="2" t="b">
        <f>IF(AN112=0,IF(achievement!AK$96*$B113&gt;=1,achievement!AK$97,0))</f>
        <v>0</v>
      </c>
      <c r="AO113" s="2" t="b">
        <f>IF(AO112=0,IF(achievement!AL$96*$B113&gt;=1,achievement!AL$97,0))</f>
        <v>0</v>
      </c>
      <c r="AP113" s="2" t="b">
        <f>IF(AP112=0,IF(achievement!AM$96*$B113&gt;=1,achievement!AM$97,0))</f>
        <v>0</v>
      </c>
      <c r="AQ113" s="2" t="b">
        <f>IF(AQ112=0,IF(achievement!AN$96*$B113&gt;=1,achievement!AN$97,0))</f>
        <v>0</v>
      </c>
      <c r="AR113" s="2" t="b">
        <f>IF(AR112=0,IF(achievement!AO$96*$B113&gt;=1,achievement!AO$97,0))</f>
        <v>0</v>
      </c>
      <c r="AS113" s="2" t="b">
        <f>IF(AS112=0,IF(achievement!AP$96*$B113&gt;=1,achievement!AP$97,0))</f>
        <v>0</v>
      </c>
      <c r="AT113" s="2" t="b">
        <f>IF(AT112=0,IF(achievement!AQ$96*$B113&gt;=1,achievement!AQ$97,0))</f>
        <v>0</v>
      </c>
      <c r="AU113" s="2" t="b">
        <f>IF(AU112=0,IF(achievement!AR$96*$B113&gt;=1,achievement!AR$97,0))</f>
        <v>0</v>
      </c>
      <c r="AV113" s="2" t="b">
        <f>IF(AV112=0,IF(achievement!AS$96*$B113&gt;=1,achievement!AS$97,0))</f>
        <v>0</v>
      </c>
      <c r="AW113" s="2"/>
      <c r="AX113" s="2"/>
      <c r="AY113" s="2"/>
    </row>
    <row r="114" s="1" customFormat="1" ht="18" customHeight="1" spans="2:51">
      <c r="B114" s="2">
        <v>89</v>
      </c>
      <c r="C114" s="2">
        <f t="shared" si="5"/>
        <v>89000</v>
      </c>
      <c r="D114" s="2">
        <f>ROUND($C$8*$C$5+$C$8*$C$4*(1-$L$5),0)</f>
        <v>88</v>
      </c>
      <c r="E114" s="2">
        <f t="shared" si="6"/>
        <v>7832</v>
      </c>
      <c r="F114" s="2">
        <f>ROUND(E114*VLOOKUP($B$10,总产出!$T$4:$U$14,2,FALSE),0)</f>
        <v>783</v>
      </c>
      <c r="G114" s="2">
        <f t="shared" si="7"/>
        <v>0</v>
      </c>
      <c r="H114" s="2">
        <f t="shared" si="8"/>
        <v>2327</v>
      </c>
      <c r="I114" s="2" t="b">
        <f>IF(I113=0,IF($B114&gt;=achievement!F$96,achievement!F$97,0))</f>
        <v>0</v>
      </c>
      <c r="J114" s="2" t="b">
        <f>IF(J113=0,IF($B114&gt;=achievement!G$96,achievement!G$97,0))</f>
        <v>0</v>
      </c>
      <c r="K114" s="2" t="b">
        <f>IF(K113=0,IF($B114&gt;=achievement!H$96,achievement!H$97,0))</f>
        <v>0</v>
      </c>
      <c r="L114" s="2" t="b">
        <f>IF(L113=0,IF($B114&gt;=achievement!I$96,achievement!I$97,0))</f>
        <v>0</v>
      </c>
      <c r="M114" s="2">
        <f>IF(M113=0,IF($B114&gt;=achievement!J$96,achievement!J$97,0))</f>
        <v>0</v>
      </c>
      <c r="N114" s="2">
        <f>IF(N113=0,IF($B114&gt;=achievement!K$96,achievement!K$97,0))</f>
        <v>0</v>
      </c>
      <c r="O114" s="2">
        <f>IF(O113=0,IF($B114&gt;=achievement!L$96,achievement!L$97,0))</f>
        <v>0</v>
      </c>
      <c r="P114" s="2" t="b">
        <f>IF(P113=0,IF(achievement!M$96*$B114&gt;=1,achievement!M$97,0))</f>
        <v>0</v>
      </c>
      <c r="Q114" s="2" t="b">
        <f>IF(Q113=0,IF(achievement!N$96*$B114&gt;=1,achievement!N$97,0))</f>
        <v>0</v>
      </c>
      <c r="R114" s="2" t="b">
        <f>IF(R113=0,IF(achievement!O$96*$B114&gt;=1,achievement!O$97,0))</f>
        <v>0</v>
      </c>
      <c r="S114" s="2" t="b">
        <f>IF(S113=0,IF(achievement!P$96*$B114&gt;=1,achievement!P$97,0))</f>
        <v>0</v>
      </c>
      <c r="T114" s="2" t="b">
        <f>IF(T113=0,IF(achievement!Q$96*$B114&gt;=1,achievement!Q$97,0))</f>
        <v>0</v>
      </c>
      <c r="U114" s="2" t="b">
        <f>IF(U113=0,IF(achievement!R$96*$B114&gt;=1,achievement!R$97,0))</f>
        <v>0</v>
      </c>
      <c r="V114" s="2" t="b">
        <f>IF(V113=0,IF(achievement!S$96*$B114&gt;=1,achievement!S$97,0))</f>
        <v>0</v>
      </c>
      <c r="W114" s="2" t="b">
        <f>IF(W113=0,IF(achievement!T$96*$B114&gt;=1,achievement!T$97,0))</f>
        <v>0</v>
      </c>
      <c r="X114" s="2" t="b">
        <f>IF(X113=0,IF(achievement!U$96*$B114&gt;=1,achievement!U$97,0))</f>
        <v>0</v>
      </c>
      <c r="Y114" s="2" t="b">
        <f>IF(Y113=0,IF(achievement!V$96*$B114&gt;=1,achievement!V$97,0))</f>
        <v>0</v>
      </c>
      <c r="Z114" s="2" t="b">
        <f>IF(Z113=0,IF(achievement!W$96*$B114&gt;=1,achievement!W$97,0))</f>
        <v>0</v>
      </c>
      <c r="AA114" s="2" t="b">
        <f>IF(AA113=0,IF(achievement!X$96*$B114&gt;=1,achievement!X$97,0))</f>
        <v>0</v>
      </c>
      <c r="AB114" s="2" t="b">
        <f>IF(AB113=0,IF(achievement!Y$96*$B114&gt;=1,achievement!Y$97,0))</f>
        <v>0</v>
      </c>
      <c r="AC114" s="2" t="b">
        <f>IF(AC113=0,IF(achievement!Z$96*$B114&gt;=1,achievement!Z$97,0))</f>
        <v>0</v>
      </c>
      <c r="AD114" s="2" t="b">
        <f>IF(AD113=0,IF(achievement!AA$96*$B114&gt;=1,achievement!AA$97,0))</f>
        <v>0</v>
      </c>
      <c r="AE114" s="2" t="b">
        <f>IF(AE113=0,IF(achievement!AB$96*$B114&gt;=1,achievement!AB$97,0))</f>
        <v>0</v>
      </c>
      <c r="AF114" s="2" t="b">
        <f>IF(AF113=0,IF(achievement!AC$96*$B114&gt;=1,achievement!AC$97,0))</f>
        <v>0</v>
      </c>
      <c r="AG114" s="2" t="b">
        <f>IF(AG113=0,IF(achievement!AD$96*$B114&gt;=1,achievement!AD$97,0))</f>
        <v>0</v>
      </c>
      <c r="AH114" s="2" t="b">
        <f>IF(AH113=0,IF(achievement!AE$96*$B114&gt;=1,achievement!AE$97,0))</f>
        <v>0</v>
      </c>
      <c r="AI114" s="2" t="b">
        <f>IF(AI113=0,IF(achievement!AF$96*$B114&gt;=1,achievement!AF$97,0))</f>
        <v>0</v>
      </c>
      <c r="AJ114" s="2" t="b">
        <f>IF(AJ113=0,IF(achievement!AG$96*$B114&gt;=1,achievement!AG$97,0))</f>
        <v>0</v>
      </c>
      <c r="AK114" s="2" t="b">
        <f>IF(AK113=0,IF(achievement!AH$96*$B114&gt;=1,achievement!AH$97,0))</f>
        <v>0</v>
      </c>
      <c r="AL114" s="2" t="b">
        <f>IF(AL113=0,IF(achievement!AI$96*$B114&gt;=1,achievement!AI$97,0))</f>
        <v>0</v>
      </c>
      <c r="AM114" s="2" t="b">
        <f>IF(AM113=0,IF(achievement!AJ$96*$B114&gt;=1,achievement!AJ$97,0))</f>
        <v>0</v>
      </c>
      <c r="AN114" s="2" t="b">
        <f>IF(AN113=0,IF(achievement!AK$96*$B114&gt;=1,achievement!AK$97,0))</f>
        <v>0</v>
      </c>
      <c r="AO114" s="2" t="b">
        <f>IF(AO113=0,IF(achievement!AL$96*$B114&gt;=1,achievement!AL$97,0))</f>
        <v>0</v>
      </c>
      <c r="AP114" s="2" t="b">
        <f>IF(AP113=0,IF(achievement!AM$96*$B114&gt;=1,achievement!AM$97,0))</f>
        <v>0</v>
      </c>
      <c r="AQ114" s="2" t="b">
        <f>IF(AQ113=0,IF(achievement!AN$96*$B114&gt;=1,achievement!AN$97,0))</f>
        <v>0</v>
      </c>
      <c r="AR114" s="2" t="b">
        <f>IF(AR113=0,IF(achievement!AO$96*$B114&gt;=1,achievement!AO$97,0))</f>
        <v>0</v>
      </c>
      <c r="AS114" s="2" t="b">
        <f>IF(AS113=0,IF(achievement!AP$96*$B114&gt;=1,achievement!AP$97,0))</f>
        <v>0</v>
      </c>
      <c r="AT114" s="2" t="b">
        <f>IF(AT113=0,IF(achievement!AQ$96*$B114&gt;=1,achievement!AQ$97,0))</f>
        <v>0</v>
      </c>
      <c r="AU114" s="2" t="b">
        <f>IF(AU113=0,IF(achievement!AR$96*$B114&gt;=1,achievement!AR$97,0))</f>
        <v>0</v>
      </c>
      <c r="AV114" s="2" t="b">
        <f>IF(AV113=0,IF(achievement!AS$96*$B114&gt;=1,achievement!AS$97,0))</f>
        <v>0</v>
      </c>
      <c r="AW114" s="2"/>
      <c r="AX114" s="2"/>
      <c r="AY114" s="2"/>
    </row>
    <row r="115" s="1" customFormat="1" ht="18" customHeight="1" spans="2:51">
      <c r="B115" s="2">
        <v>90</v>
      </c>
      <c r="C115" s="2">
        <f t="shared" si="5"/>
        <v>90000</v>
      </c>
      <c r="D115" s="2">
        <f>ROUND($C$8*$C$5+$C$8*$C$4*(1-$L$5),0)</f>
        <v>88</v>
      </c>
      <c r="E115" s="2">
        <f t="shared" si="6"/>
        <v>7920</v>
      </c>
      <c r="F115" s="2">
        <f>ROUND(E115*VLOOKUP($B$10,总产出!$T$4:$U$14,2,FALSE),0)</f>
        <v>792</v>
      </c>
      <c r="G115" s="2">
        <f t="shared" si="7"/>
        <v>450</v>
      </c>
      <c r="H115" s="2">
        <f t="shared" si="8"/>
        <v>2777</v>
      </c>
      <c r="I115" s="2" t="b">
        <f>IF(I114=0,IF($B115&gt;=achievement!F$96,achievement!F$97,0))</f>
        <v>0</v>
      </c>
      <c r="J115" s="2" t="b">
        <f>IF(J114=0,IF($B115&gt;=achievement!G$96,achievement!G$97,0))</f>
        <v>0</v>
      </c>
      <c r="K115" s="2" t="b">
        <f>IF(K114=0,IF($B115&gt;=achievement!H$96,achievement!H$97,0))</f>
        <v>0</v>
      </c>
      <c r="L115" s="2" t="b">
        <f>IF(L114=0,IF($B115&gt;=achievement!I$96,achievement!I$97,0))</f>
        <v>0</v>
      </c>
      <c r="M115" s="2">
        <f>IF(M114=0,IF($B115&gt;=achievement!J$96,achievement!J$97,0))</f>
        <v>450</v>
      </c>
      <c r="N115" s="2">
        <f>IF(N114=0,IF($B115&gt;=achievement!K$96,achievement!K$97,0))</f>
        <v>0</v>
      </c>
      <c r="O115" s="2">
        <f>IF(O114=0,IF($B115&gt;=achievement!L$96,achievement!L$97,0))</f>
        <v>0</v>
      </c>
      <c r="P115" s="2" t="b">
        <f>IF(P114=0,IF(achievement!M$96*$B115&gt;=1,achievement!M$97,0))</f>
        <v>0</v>
      </c>
      <c r="Q115" s="2" t="b">
        <f>IF(Q114=0,IF(achievement!N$96*$B115&gt;=1,achievement!N$97,0))</f>
        <v>0</v>
      </c>
      <c r="R115" s="2" t="b">
        <f>IF(R114=0,IF(achievement!O$96*$B115&gt;=1,achievement!O$97,0))</f>
        <v>0</v>
      </c>
      <c r="S115" s="2" t="b">
        <f>IF(S114=0,IF(achievement!P$96*$B115&gt;=1,achievement!P$97,0))</f>
        <v>0</v>
      </c>
      <c r="T115" s="2" t="b">
        <f>IF(T114=0,IF(achievement!Q$96*$B115&gt;=1,achievement!Q$97,0))</f>
        <v>0</v>
      </c>
      <c r="U115" s="2" t="b">
        <f>IF(U114=0,IF(achievement!R$96*$B115&gt;=1,achievement!R$97,0))</f>
        <v>0</v>
      </c>
      <c r="V115" s="2" t="b">
        <f>IF(V114=0,IF(achievement!S$96*$B115&gt;=1,achievement!S$97,0))</f>
        <v>0</v>
      </c>
      <c r="W115" s="2" t="b">
        <f>IF(W114=0,IF(achievement!T$96*$B115&gt;=1,achievement!T$97,0))</f>
        <v>0</v>
      </c>
      <c r="X115" s="2" t="b">
        <f>IF(X114=0,IF(achievement!U$96*$B115&gt;=1,achievement!U$97,0))</f>
        <v>0</v>
      </c>
      <c r="Y115" s="2" t="b">
        <f>IF(Y114=0,IF(achievement!V$96*$B115&gt;=1,achievement!V$97,0))</f>
        <v>0</v>
      </c>
      <c r="Z115" s="2" t="b">
        <f>IF(Z114=0,IF(achievement!W$96*$B115&gt;=1,achievement!W$97,0))</f>
        <v>0</v>
      </c>
      <c r="AA115" s="2" t="b">
        <f>IF(AA114=0,IF(achievement!X$96*$B115&gt;=1,achievement!X$97,0))</f>
        <v>0</v>
      </c>
      <c r="AB115" s="2" t="b">
        <f>IF(AB114=0,IF(achievement!Y$96*$B115&gt;=1,achievement!Y$97,0))</f>
        <v>0</v>
      </c>
      <c r="AC115" s="2" t="b">
        <f>IF(AC114=0,IF(achievement!Z$96*$B115&gt;=1,achievement!Z$97,0))</f>
        <v>0</v>
      </c>
      <c r="AD115" s="2" t="b">
        <f>IF(AD114=0,IF(achievement!AA$96*$B115&gt;=1,achievement!AA$97,0))</f>
        <v>0</v>
      </c>
      <c r="AE115" s="2" t="b">
        <f>IF(AE114=0,IF(achievement!AB$96*$B115&gt;=1,achievement!AB$97,0))</f>
        <v>0</v>
      </c>
      <c r="AF115" s="2" t="b">
        <f>IF(AF114=0,IF(achievement!AC$96*$B115&gt;=1,achievement!AC$97,0))</f>
        <v>0</v>
      </c>
      <c r="AG115" s="2" t="b">
        <f>IF(AG114=0,IF(achievement!AD$96*$B115&gt;=1,achievement!AD$97,0))</f>
        <v>0</v>
      </c>
      <c r="AH115" s="2" t="b">
        <f>IF(AH114=0,IF(achievement!AE$96*$B115&gt;=1,achievement!AE$97,0))</f>
        <v>0</v>
      </c>
      <c r="AI115" s="2" t="b">
        <f>IF(AI114=0,IF(achievement!AF$96*$B115&gt;=1,achievement!AF$97,0))</f>
        <v>0</v>
      </c>
      <c r="AJ115" s="2" t="b">
        <f>IF(AJ114=0,IF(achievement!AG$96*$B115&gt;=1,achievement!AG$97,0))</f>
        <v>0</v>
      </c>
      <c r="AK115" s="2" t="b">
        <f>IF(AK114=0,IF(achievement!AH$96*$B115&gt;=1,achievement!AH$97,0))</f>
        <v>0</v>
      </c>
      <c r="AL115" s="2" t="b">
        <f>IF(AL114=0,IF(achievement!AI$96*$B115&gt;=1,achievement!AI$97,0))</f>
        <v>0</v>
      </c>
      <c r="AM115" s="2" t="b">
        <f>IF(AM114=0,IF(achievement!AJ$96*$B115&gt;=1,achievement!AJ$97,0))</f>
        <v>0</v>
      </c>
      <c r="AN115" s="2" t="b">
        <f>IF(AN114=0,IF(achievement!AK$96*$B115&gt;=1,achievement!AK$97,0))</f>
        <v>0</v>
      </c>
      <c r="AO115" s="2" t="b">
        <f>IF(AO114=0,IF(achievement!AL$96*$B115&gt;=1,achievement!AL$97,0))</f>
        <v>0</v>
      </c>
      <c r="AP115" s="2" t="b">
        <f>IF(AP114=0,IF(achievement!AM$96*$B115&gt;=1,achievement!AM$97,0))</f>
        <v>0</v>
      </c>
      <c r="AQ115" s="2" t="b">
        <f>IF(AQ114=0,IF(achievement!AN$96*$B115&gt;=1,achievement!AN$97,0))</f>
        <v>0</v>
      </c>
      <c r="AR115" s="2" t="b">
        <f>IF(AR114=0,IF(achievement!AO$96*$B115&gt;=1,achievement!AO$97,0))</f>
        <v>0</v>
      </c>
      <c r="AS115" s="2" t="b">
        <f>IF(AS114=0,IF(achievement!AP$96*$B115&gt;=1,achievement!AP$97,0))</f>
        <v>0</v>
      </c>
      <c r="AT115" s="2" t="b">
        <f>IF(AT114=0,IF(achievement!AQ$96*$B115&gt;=1,achievement!AQ$97,0))</f>
        <v>0</v>
      </c>
      <c r="AU115" s="2" t="b">
        <f>IF(AU114=0,IF(achievement!AR$96*$B115&gt;=1,achievement!AR$97,0))</f>
        <v>0</v>
      </c>
      <c r="AV115" s="2" t="b">
        <f>IF(AV114=0,IF(achievement!AS$96*$B115&gt;=1,achievement!AS$97,0))</f>
        <v>0</v>
      </c>
      <c r="AW115" s="2"/>
      <c r="AX115" s="2"/>
      <c r="AY115" s="2"/>
    </row>
    <row r="116" s="1" customFormat="1" ht="18" customHeight="1" spans="2:51">
      <c r="B116" s="2">
        <v>91</v>
      </c>
      <c r="C116" s="2">
        <f t="shared" si="5"/>
        <v>91000</v>
      </c>
      <c r="D116" s="2">
        <f>ROUND($C$8*$C$5+$C$8*$C$4*(1-$L$5),0)</f>
        <v>88</v>
      </c>
      <c r="E116" s="2">
        <f t="shared" si="6"/>
        <v>8008</v>
      </c>
      <c r="F116" s="2">
        <f>ROUND(E116*VLOOKUP($B$10,总产出!$T$4:$U$14,2,FALSE),0)</f>
        <v>801</v>
      </c>
      <c r="G116" s="2">
        <f t="shared" si="7"/>
        <v>0</v>
      </c>
      <c r="H116" s="2">
        <f t="shared" si="8"/>
        <v>2777</v>
      </c>
      <c r="I116" s="2" t="b">
        <f>IF(I115=0,IF($B116&gt;=achievement!F$96,achievement!F$97,0))</f>
        <v>0</v>
      </c>
      <c r="J116" s="2" t="b">
        <f>IF(J115=0,IF($B116&gt;=achievement!G$96,achievement!G$97,0))</f>
        <v>0</v>
      </c>
      <c r="K116" s="2" t="b">
        <f>IF(K115=0,IF($B116&gt;=achievement!H$96,achievement!H$97,0))</f>
        <v>0</v>
      </c>
      <c r="L116" s="2" t="b">
        <f>IF(L115=0,IF($B116&gt;=achievement!I$96,achievement!I$97,0))</f>
        <v>0</v>
      </c>
      <c r="M116" s="2" t="b">
        <f>IF(M115=0,IF($B116&gt;=achievement!J$96,achievement!J$97,0))</f>
        <v>0</v>
      </c>
      <c r="N116" s="2">
        <f>IF(N115=0,IF($B116&gt;=achievement!K$96,achievement!K$97,0))</f>
        <v>0</v>
      </c>
      <c r="O116" s="2">
        <f>IF(O115=0,IF($B116&gt;=achievement!L$96,achievement!L$97,0))</f>
        <v>0</v>
      </c>
      <c r="P116" s="2" t="b">
        <f>IF(P115=0,IF(achievement!M$96*$B116&gt;=1,achievement!M$97,0))</f>
        <v>0</v>
      </c>
      <c r="Q116" s="2" t="b">
        <f>IF(Q115=0,IF(achievement!N$96*$B116&gt;=1,achievement!N$97,0))</f>
        <v>0</v>
      </c>
      <c r="R116" s="2" t="b">
        <f>IF(R115=0,IF(achievement!O$96*$B116&gt;=1,achievement!O$97,0))</f>
        <v>0</v>
      </c>
      <c r="S116" s="2" t="b">
        <f>IF(S115=0,IF(achievement!P$96*$B116&gt;=1,achievement!P$97,0))</f>
        <v>0</v>
      </c>
      <c r="T116" s="2" t="b">
        <f>IF(T115=0,IF(achievement!Q$96*$B116&gt;=1,achievement!Q$97,0))</f>
        <v>0</v>
      </c>
      <c r="U116" s="2" t="b">
        <f>IF(U115=0,IF(achievement!R$96*$B116&gt;=1,achievement!R$97,0))</f>
        <v>0</v>
      </c>
      <c r="V116" s="2" t="b">
        <f>IF(V115=0,IF(achievement!S$96*$B116&gt;=1,achievement!S$97,0))</f>
        <v>0</v>
      </c>
      <c r="W116" s="2" t="b">
        <f>IF(W115=0,IF(achievement!T$96*$B116&gt;=1,achievement!T$97,0))</f>
        <v>0</v>
      </c>
      <c r="X116" s="2" t="b">
        <f>IF(X115=0,IF(achievement!U$96*$B116&gt;=1,achievement!U$97,0))</f>
        <v>0</v>
      </c>
      <c r="Y116" s="2" t="b">
        <f>IF(Y115=0,IF(achievement!V$96*$B116&gt;=1,achievement!V$97,0))</f>
        <v>0</v>
      </c>
      <c r="Z116" s="2" t="b">
        <f>IF(Z115=0,IF(achievement!W$96*$B116&gt;=1,achievement!W$97,0))</f>
        <v>0</v>
      </c>
      <c r="AA116" s="2" t="b">
        <f>IF(AA115=0,IF(achievement!X$96*$B116&gt;=1,achievement!X$97,0))</f>
        <v>0</v>
      </c>
      <c r="AB116" s="2" t="b">
        <f>IF(AB115=0,IF(achievement!Y$96*$B116&gt;=1,achievement!Y$97,0))</f>
        <v>0</v>
      </c>
      <c r="AC116" s="2" t="b">
        <f>IF(AC115=0,IF(achievement!Z$96*$B116&gt;=1,achievement!Z$97,0))</f>
        <v>0</v>
      </c>
      <c r="AD116" s="2" t="b">
        <f>IF(AD115=0,IF(achievement!AA$96*$B116&gt;=1,achievement!AA$97,0))</f>
        <v>0</v>
      </c>
      <c r="AE116" s="2" t="b">
        <f>IF(AE115=0,IF(achievement!AB$96*$B116&gt;=1,achievement!AB$97,0))</f>
        <v>0</v>
      </c>
      <c r="AF116" s="2" t="b">
        <f>IF(AF115=0,IF(achievement!AC$96*$B116&gt;=1,achievement!AC$97,0))</f>
        <v>0</v>
      </c>
      <c r="AG116" s="2" t="b">
        <f>IF(AG115=0,IF(achievement!AD$96*$B116&gt;=1,achievement!AD$97,0))</f>
        <v>0</v>
      </c>
      <c r="AH116" s="2" t="b">
        <f>IF(AH115=0,IF(achievement!AE$96*$B116&gt;=1,achievement!AE$97,0))</f>
        <v>0</v>
      </c>
      <c r="AI116" s="2" t="b">
        <f>IF(AI115=0,IF(achievement!AF$96*$B116&gt;=1,achievement!AF$97,0))</f>
        <v>0</v>
      </c>
      <c r="AJ116" s="2" t="b">
        <f>IF(AJ115=0,IF(achievement!AG$96*$B116&gt;=1,achievement!AG$97,0))</f>
        <v>0</v>
      </c>
      <c r="AK116" s="2" t="b">
        <f>IF(AK115=0,IF(achievement!AH$96*$B116&gt;=1,achievement!AH$97,0))</f>
        <v>0</v>
      </c>
      <c r="AL116" s="2" t="b">
        <f>IF(AL115=0,IF(achievement!AI$96*$B116&gt;=1,achievement!AI$97,0))</f>
        <v>0</v>
      </c>
      <c r="AM116" s="2" t="b">
        <f>IF(AM115=0,IF(achievement!AJ$96*$B116&gt;=1,achievement!AJ$97,0))</f>
        <v>0</v>
      </c>
      <c r="AN116" s="2" t="b">
        <f>IF(AN115=0,IF(achievement!AK$96*$B116&gt;=1,achievement!AK$97,0))</f>
        <v>0</v>
      </c>
      <c r="AO116" s="2" t="b">
        <f>IF(AO115=0,IF(achievement!AL$96*$B116&gt;=1,achievement!AL$97,0))</f>
        <v>0</v>
      </c>
      <c r="AP116" s="2" t="b">
        <f>IF(AP115=0,IF(achievement!AM$96*$B116&gt;=1,achievement!AM$97,0))</f>
        <v>0</v>
      </c>
      <c r="AQ116" s="2" t="b">
        <f>IF(AQ115=0,IF(achievement!AN$96*$B116&gt;=1,achievement!AN$97,0))</f>
        <v>0</v>
      </c>
      <c r="AR116" s="2" t="b">
        <f>IF(AR115=0,IF(achievement!AO$96*$B116&gt;=1,achievement!AO$97,0))</f>
        <v>0</v>
      </c>
      <c r="AS116" s="2" t="b">
        <f>IF(AS115=0,IF(achievement!AP$96*$B116&gt;=1,achievement!AP$97,0))</f>
        <v>0</v>
      </c>
      <c r="AT116" s="2" t="b">
        <f>IF(AT115=0,IF(achievement!AQ$96*$B116&gt;=1,achievement!AQ$97,0))</f>
        <v>0</v>
      </c>
      <c r="AU116" s="2" t="b">
        <f>IF(AU115=0,IF(achievement!AR$96*$B116&gt;=1,achievement!AR$97,0))</f>
        <v>0</v>
      </c>
      <c r="AV116" s="2" t="b">
        <f>IF(AV115=0,IF(achievement!AS$96*$B116&gt;=1,achievement!AS$97,0))</f>
        <v>0</v>
      </c>
      <c r="AW116" s="2"/>
      <c r="AX116" s="2"/>
      <c r="AY116" s="2"/>
    </row>
    <row r="117" s="1" customFormat="1" ht="18" customHeight="1" spans="2:51">
      <c r="B117" s="2">
        <v>92</v>
      </c>
      <c r="C117" s="2">
        <f t="shared" si="5"/>
        <v>92000</v>
      </c>
      <c r="D117" s="2">
        <f>ROUND($C$8*$C$5+$C$8*$C$4*(1-$L$5),0)</f>
        <v>88</v>
      </c>
      <c r="E117" s="2">
        <f t="shared" si="6"/>
        <v>8096</v>
      </c>
      <c r="F117" s="2">
        <f>ROUND(E117*VLOOKUP($B$10,总产出!$T$4:$U$14,2,FALSE),0)</f>
        <v>810</v>
      </c>
      <c r="G117" s="2">
        <f t="shared" si="7"/>
        <v>0</v>
      </c>
      <c r="H117" s="2">
        <f t="shared" si="8"/>
        <v>2777</v>
      </c>
      <c r="I117" s="2" t="b">
        <f>IF(I116=0,IF($B117&gt;=achievement!F$96,achievement!F$97,0))</f>
        <v>0</v>
      </c>
      <c r="J117" s="2" t="b">
        <f>IF(J116=0,IF($B117&gt;=achievement!G$96,achievement!G$97,0))</f>
        <v>0</v>
      </c>
      <c r="K117" s="2" t="b">
        <f>IF(K116=0,IF($B117&gt;=achievement!H$96,achievement!H$97,0))</f>
        <v>0</v>
      </c>
      <c r="L117" s="2" t="b">
        <f>IF(L116=0,IF($B117&gt;=achievement!I$96,achievement!I$97,0))</f>
        <v>0</v>
      </c>
      <c r="M117" s="2" t="b">
        <f>IF(M116=0,IF($B117&gt;=achievement!J$96,achievement!J$97,0))</f>
        <v>0</v>
      </c>
      <c r="N117" s="2">
        <f>IF(N116=0,IF($B117&gt;=achievement!K$96,achievement!K$97,0))</f>
        <v>0</v>
      </c>
      <c r="O117" s="2">
        <f>IF(O116=0,IF($B117&gt;=achievement!L$96,achievement!L$97,0))</f>
        <v>0</v>
      </c>
      <c r="P117" s="2" t="b">
        <f>IF(P116=0,IF(achievement!M$96*$B117&gt;=1,achievement!M$97,0))</f>
        <v>0</v>
      </c>
      <c r="Q117" s="2" t="b">
        <f>IF(Q116=0,IF(achievement!N$96*$B117&gt;=1,achievement!N$97,0))</f>
        <v>0</v>
      </c>
      <c r="R117" s="2" t="b">
        <f>IF(R116=0,IF(achievement!O$96*$B117&gt;=1,achievement!O$97,0))</f>
        <v>0</v>
      </c>
      <c r="S117" s="2" t="b">
        <f>IF(S116=0,IF(achievement!P$96*$B117&gt;=1,achievement!P$97,0))</f>
        <v>0</v>
      </c>
      <c r="T117" s="2" t="b">
        <f>IF(T116=0,IF(achievement!Q$96*$B117&gt;=1,achievement!Q$97,0))</f>
        <v>0</v>
      </c>
      <c r="U117" s="2" t="b">
        <f>IF(U116=0,IF(achievement!R$96*$B117&gt;=1,achievement!R$97,0))</f>
        <v>0</v>
      </c>
      <c r="V117" s="2" t="b">
        <f>IF(V116=0,IF(achievement!S$96*$B117&gt;=1,achievement!S$97,0))</f>
        <v>0</v>
      </c>
      <c r="W117" s="2" t="b">
        <f>IF(W116=0,IF(achievement!T$96*$B117&gt;=1,achievement!T$97,0))</f>
        <v>0</v>
      </c>
      <c r="X117" s="2" t="b">
        <f>IF(X116=0,IF(achievement!U$96*$B117&gt;=1,achievement!U$97,0))</f>
        <v>0</v>
      </c>
      <c r="Y117" s="2" t="b">
        <f>IF(Y116=0,IF(achievement!V$96*$B117&gt;=1,achievement!V$97,0))</f>
        <v>0</v>
      </c>
      <c r="Z117" s="2" t="b">
        <f>IF(Z116=0,IF(achievement!W$96*$B117&gt;=1,achievement!W$97,0))</f>
        <v>0</v>
      </c>
      <c r="AA117" s="2" t="b">
        <f>IF(AA116=0,IF(achievement!X$96*$B117&gt;=1,achievement!X$97,0))</f>
        <v>0</v>
      </c>
      <c r="AB117" s="2" t="b">
        <f>IF(AB116=0,IF(achievement!Y$96*$B117&gt;=1,achievement!Y$97,0))</f>
        <v>0</v>
      </c>
      <c r="AC117" s="2" t="b">
        <f>IF(AC116=0,IF(achievement!Z$96*$B117&gt;=1,achievement!Z$97,0))</f>
        <v>0</v>
      </c>
      <c r="AD117" s="2" t="b">
        <f>IF(AD116=0,IF(achievement!AA$96*$B117&gt;=1,achievement!AA$97,0))</f>
        <v>0</v>
      </c>
      <c r="AE117" s="2" t="b">
        <f>IF(AE116=0,IF(achievement!AB$96*$B117&gt;=1,achievement!AB$97,0))</f>
        <v>0</v>
      </c>
      <c r="AF117" s="2" t="b">
        <f>IF(AF116=0,IF(achievement!AC$96*$B117&gt;=1,achievement!AC$97,0))</f>
        <v>0</v>
      </c>
      <c r="AG117" s="2" t="b">
        <f>IF(AG116=0,IF(achievement!AD$96*$B117&gt;=1,achievement!AD$97,0))</f>
        <v>0</v>
      </c>
      <c r="AH117" s="2" t="b">
        <f>IF(AH116=0,IF(achievement!AE$96*$B117&gt;=1,achievement!AE$97,0))</f>
        <v>0</v>
      </c>
      <c r="AI117" s="2" t="b">
        <f>IF(AI116=0,IF(achievement!AF$96*$B117&gt;=1,achievement!AF$97,0))</f>
        <v>0</v>
      </c>
      <c r="AJ117" s="2" t="b">
        <f>IF(AJ116=0,IF(achievement!AG$96*$B117&gt;=1,achievement!AG$97,0))</f>
        <v>0</v>
      </c>
      <c r="AK117" s="2" t="b">
        <f>IF(AK116=0,IF(achievement!AH$96*$B117&gt;=1,achievement!AH$97,0))</f>
        <v>0</v>
      </c>
      <c r="AL117" s="2" t="b">
        <f>IF(AL116=0,IF(achievement!AI$96*$B117&gt;=1,achievement!AI$97,0))</f>
        <v>0</v>
      </c>
      <c r="AM117" s="2" t="b">
        <f>IF(AM116=0,IF(achievement!AJ$96*$B117&gt;=1,achievement!AJ$97,0))</f>
        <v>0</v>
      </c>
      <c r="AN117" s="2" t="b">
        <f>IF(AN116=0,IF(achievement!AK$96*$B117&gt;=1,achievement!AK$97,0))</f>
        <v>0</v>
      </c>
      <c r="AO117" s="2" t="b">
        <f>IF(AO116=0,IF(achievement!AL$96*$B117&gt;=1,achievement!AL$97,0))</f>
        <v>0</v>
      </c>
      <c r="AP117" s="2" t="b">
        <f>IF(AP116=0,IF(achievement!AM$96*$B117&gt;=1,achievement!AM$97,0))</f>
        <v>0</v>
      </c>
      <c r="AQ117" s="2" t="b">
        <f>IF(AQ116=0,IF(achievement!AN$96*$B117&gt;=1,achievement!AN$97,0))</f>
        <v>0</v>
      </c>
      <c r="AR117" s="2" t="b">
        <f>IF(AR116=0,IF(achievement!AO$96*$B117&gt;=1,achievement!AO$97,0))</f>
        <v>0</v>
      </c>
      <c r="AS117" s="2" t="b">
        <f>IF(AS116=0,IF(achievement!AP$96*$B117&gt;=1,achievement!AP$97,0))</f>
        <v>0</v>
      </c>
      <c r="AT117" s="2" t="b">
        <f>IF(AT116=0,IF(achievement!AQ$96*$B117&gt;=1,achievement!AQ$97,0))</f>
        <v>0</v>
      </c>
      <c r="AU117" s="2" t="b">
        <f>IF(AU116=0,IF(achievement!AR$96*$B117&gt;=1,achievement!AR$97,0))</f>
        <v>0</v>
      </c>
      <c r="AV117" s="2" t="b">
        <f>IF(AV116=0,IF(achievement!AS$96*$B117&gt;=1,achievement!AS$97,0))</f>
        <v>0</v>
      </c>
      <c r="AW117" s="2"/>
      <c r="AX117" s="2"/>
      <c r="AY117" s="2"/>
    </row>
    <row r="118" s="1" customFormat="1" ht="18" customHeight="1" spans="2:51">
      <c r="B118" s="2">
        <v>93</v>
      </c>
      <c r="C118" s="2">
        <f t="shared" si="5"/>
        <v>93000</v>
      </c>
      <c r="D118" s="2">
        <f>ROUND($C$8*$C$5+$C$8*$C$4*(1-$L$5),0)</f>
        <v>88</v>
      </c>
      <c r="E118" s="2">
        <f t="shared" si="6"/>
        <v>8184</v>
      </c>
      <c r="F118" s="2">
        <f>ROUND(E118*VLOOKUP($B$10,总产出!$T$4:$U$14,2,FALSE),0)</f>
        <v>818</v>
      </c>
      <c r="G118" s="2">
        <f t="shared" si="7"/>
        <v>0</v>
      </c>
      <c r="H118" s="2">
        <f t="shared" si="8"/>
        <v>2777</v>
      </c>
      <c r="I118" s="2" t="b">
        <f>IF(I117=0,IF($B118&gt;=achievement!F$96,achievement!F$97,0))</f>
        <v>0</v>
      </c>
      <c r="J118" s="2" t="b">
        <f>IF(J117=0,IF($B118&gt;=achievement!G$96,achievement!G$97,0))</f>
        <v>0</v>
      </c>
      <c r="K118" s="2" t="b">
        <f>IF(K117=0,IF($B118&gt;=achievement!H$96,achievement!H$97,0))</f>
        <v>0</v>
      </c>
      <c r="L118" s="2" t="b">
        <f>IF(L117=0,IF($B118&gt;=achievement!I$96,achievement!I$97,0))</f>
        <v>0</v>
      </c>
      <c r="M118" s="2" t="b">
        <f>IF(M117=0,IF($B118&gt;=achievement!J$96,achievement!J$97,0))</f>
        <v>0</v>
      </c>
      <c r="N118" s="2">
        <f>IF(N117=0,IF($B118&gt;=achievement!K$96,achievement!K$97,0))</f>
        <v>0</v>
      </c>
      <c r="O118" s="2">
        <f>IF(O117=0,IF($B118&gt;=achievement!L$96,achievement!L$97,0))</f>
        <v>0</v>
      </c>
      <c r="P118" s="2" t="b">
        <f>IF(P117=0,IF(achievement!M$96*$B118&gt;=1,achievement!M$97,0))</f>
        <v>0</v>
      </c>
      <c r="Q118" s="2" t="b">
        <f>IF(Q117=0,IF(achievement!N$96*$B118&gt;=1,achievement!N$97,0))</f>
        <v>0</v>
      </c>
      <c r="R118" s="2" t="b">
        <f>IF(R117=0,IF(achievement!O$96*$B118&gt;=1,achievement!O$97,0))</f>
        <v>0</v>
      </c>
      <c r="S118" s="2" t="b">
        <f>IF(S117=0,IF(achievement!P$96*$B118&gt;=1,achievement!P$97,0))</f>
        <v>0</v>
      </c>
      <c r="T118" s="2" t="b">
        <f>IF(T117=0,IF(achievement!Q$96*$B118&gt;=1,achievement!Q$97,0))</f>
        <v>0</v>
      </c>
      <c r="U118" s="2" t="b">
        <f>IF(U117=0,IF(achievement!R$96*$B118&gt;=1,achievement!R$97,0))</f>
        <v>0</v>
      </c>
      <c r="V118" s="2" t="b">
        <f>IF(V117=0,IF(achievement!S$96*$B118&gt;=1,achievement!S$97,0))</f>
        <v>0</v>
      </c>
      <c r="W118" s="2" t="b">
        <f>IF(W117=0,IF(achievement!T$96*$B118&gt;=1,achievement!T$97,0))</f>
        <v>0</v>
      </c>
      <c r="X118" s="2" t="b">
        <f>IF(X117=0,IF(achievement!U$96*$B118&gt;=1,achievement!U$97,0))</f>
        <v>0</v>
      </c>
      <c r="Y118" s="2" t="b">
        <f>IF(Y117=0,IF(achievement!V$96*$B118&gt;=1,achievement!V$97,0))</f>
        <v>0</v>
      </c>
      <c r="Z118" s="2" t="b">
        <f>IF(Z117=0,IF(achievement!W$96*$B118&gt;=1,achievement!W$97,0))</f>
        <v>0</v>
      </c>
      <c r="AA118" s="2" t="b">
        <f>IF(AA117=0,IF(achievement!X$96*$B118&gt;=1,achievement!X$97,0))</f>
        <v>0</v>
      </c>
      <c r="AB118" s="2" t="b">
        <f>IF(AB117=0,IF(achievement!Y$96*$B118&gt;=1,achievement!Y$97,0))</f>
        <v>0</v>
      </c>
      <c r="AC118" s="2" t="b">
        <f>IF(AC117=0,IF(achievement!Z$96*$B118&gt;=1,achievement!Z$97,0))</f>
        <v>0</v>
      </c>
      <c r="AD118" s="2" t="b">
        <f>IF(AD117=0,IF(achievement!AA$96*$B118&gt;=1,achievement!AA$97,0))</f>
        <v>0</v>
      </c>
      <c r="AE118" s="2" t="b">
        <f>IF(AE117=0,IF(achievement!AB$96*$B118&gt;=1,achievement!AB$97,0))</f>
        <v>0</v>
      </c>
      <c r="AF118" s="2" t="b">
        <f>IF(AF117=0,IF(achievement!AC$96*$B118&gt;=1,achievement!AC$97,0))</f>
        <v>0</v>
      </c>
      <c r="AG118" s="2" t="b">
        <f>IF(AG117=0,IF(achievement!AD$96*$B118&gt;=1,achievement!AD$97,0))</f>
        <v>0</v>
      </c>
      <c r="AH118" s="2" t="b">
        <f>IF(AH117=0,IF(achievement!AE$96*$B118&gt;=1,achievement!AE$97,0))</f>
        <v>0</v>
      </c>
      <c r="AI118" s="2" t="b">
        <f>IF(AI117=0,IF(achievement!AF$96*$B118&gt;=1,achievement!AF$97,0))</f>
        <v>0</v>
      </c>
      <c r="AJ118" s="2" t="b">
        <f>IF(AJ117=0,IF(achievement!AG$96*$B118&gt;=1,achievement!AG$97,0))</f>
        <v>0</v>
      </c>
      <c r="AK118" s="2" t="b">
        <f>IF(AK117=0,IF(achievement!AH$96*$B118&gt;=1,achievement!AH$97,0))</f>
        <v>0</v>
      </c>
      <c r="AL118" s="2" t="b">
        <f>IF(AL117=0,IF(achievement!AI$96*$B118&gt;=1,achievement!AI$97,0))</f>
        <v>0</v>
      </c>
      <c r="AM118" s="2" t="b">
        <f>IF(AM117=0,IF(achievement!AJ$96*$B118&gt;=1,achievement!AJ$97,0))</f>
        <v>0</v>
      </c>
      <c r="AN118" s="2" t="b">
        <f>IF(AN117=0,IF(achievement!AK$96*$B118&gt;=1,achievement!AK$97,0))</f>
        <v>0</v>
      </c>
      <c r="AO118" s="2" t="b">
        <f>IF(AO117=0,IF(achievement!AL$96*$B118&gt;=1,achievement!AL$97,0))</f>
        <v>0</v>
      </c>
      <c r="AP118" s="2" t="b">
        <f>IF(AP117=0,IF(achievement!AM$96*$B118&gt;=1,achievement!AM$97,0))</f>
        <v>0</v>
      </c>
      <c r="AQ118" s="2" t="b">
        <f>IF(AQ117=0,IF(achievement!AN$96*$B118&gt;=1,achievement!AN$97,0))</f>
        <v>0</v>
      </c>
      <c r="AR118" s="2" t="b">
        <f>IF(AR117=0,IF(achievement!AO$96*$B118&gt;=1,achievement!AO$97,0))</f>
        <v>0</v>
      </c>
      <c r="AS118" s="2" t="b">
        <f>IF(AS117=0,IF(achievement!AP$96*$B118&gt;=1,achievement!AP$97,0))</f>
        <v>0</v>
      </c>
      <c r="AT118" s="2" t="b">
        <f>IF(AT117=0,IF(achievement!AQ$96*$B118&gt;=1,achievement!AQ$97,0))</f>
        <v>0</v>
      </c>
      <c r="AU118" s="2" t="b">
        <f>IF(AU117=0,IF(achievement!AR$96*$B118&gt;=1,achievement!AR$97,0))</f>
        <v>0</v>
      </c>
      <c r="AV118" s="2" t="b">
        <f>IF(AV117=0,IF(achievement!AS$96*$B118&gt;=1,achievement!AS$97,0))</f>
        <v>0</v>
      </c>
      <c r="AW118" s="2"/>
      <c r="AX118" s="2"/>
      <c r="AY118" s="2"/>
    </row>
    <row r="119" s="1" customFormat="1" ht="18" customHeight="1" spans="2:51">
      <c r="B119" s="2">
        <v>94</v>
      </c>
      <c r="C119" s="2">
        <f t="shared" si="5"/>
        <v>94000</v>
      </c>
      <c r="D119" s="2">
        <f>ROUND($C$8*$C$5+$C$8*$C$4*(1-$L$5),0)</f>
        <v>88</v>
      </c>
      <c r="E119" s="2">
        <f t="shared" si="6"/>
        <v>8272</v>
      </c>
      <c r="F119" s="2">
        <f>ROUND(E119*VLOOKUP($B$10,总产出!$T$4:$U$14,2,FALSE),0)</f>
        <v>827</v>
      </c>
      <c r="G119" s="2">
        <f t="shared" si="7"/>
        <v>0</v>
      </c>
      <c r="H119" s="2">
        <f t="shared" si="8"/>
        <v>2777</v>
      </c>
      <c r="I119" s="2" t="b">
        <f>IF(I118=0,IF($B119&gt;=achievement!F$96,achievement!F$97,0))</f>
        <v>0</v>
      </c>
      <c r="J119" s="2" t="b">
        <f>IF(J118=0,IF($B119&gt;=achievement!G$96,achievement!G$97,0))</f>
        <v>0</v>
      </c>
      <c r="K119" s="2" t="b">
        <f>IF(K118=0,IF($B119&gt;=achievement!H$96,achievement!H$97,0))</f>
        <v>0</v>
      </c>
      <c r="L119" s="2" t="b">
        <f>IF(L118=0,IF($B119&gt;=achievement!I$96,achievement!I$97,0))</f>
        <v>0</v>
      </c>
      <c r="M119" s="2" t="b">
        <f>IF(M118=0,IF($B119&gt;=achievement!J$96,achievement!J$97,0))</f>
        <v>0</v>
      </c>
      <c r="N119" s="2">
        <f>IF(N118=0,IF($B119&gt;=achievement!K$96,achievement!K$97,0))</f>
        <v>0</v>
      </c>
      <c r="O119" s="2">
        <f>IF(O118=0,IF($B119&gt;=achievement!L$96,achievement!L$97,0))</f>
        <v>0</v>
      </c>
      <c r="P119" s="2" t="b">
        <f>IF(P118=0,IF(achievement!M$96*$B119&gt;=1,achievement!M$97,0))</f>
        <v>0</v>
      </c>
      <c r="Q119" s="2" t="b">
        <f>IF(Q118=0,IF(achievement!N$96*$B119&gt;=1,achievement!N$97,0))</f>
        <v>0</v>
      </c>
      <c r="R119" s="2" t="b">
        <f>IF(R118=0,IF(achievement!O$96*$B119&gt;=1,achievement!O$97,0))</f>
        <v>0</v>
      </c>
      <c r="S119" s="2" t="b">
        <f>IF(S118=0,IF(achievement!P$96*$B119&gt;=1,achievement!P$97,0))</f>
        <v>0</v>
      </c>
      <c r="T119" s="2" t="b">
        <f>IF(T118=0,IF(achievement!Q$96*$B119&gt;=1,achievement!Q$97,0))</f>
        <v>0</v>
      </c>
      <c r="U119" s="2" t="b">
        <f>IF(U118=0,IF(achievement!R$96*$B119&gt;=1,achievement!R$97,0))</f>
        <v>0</v>
      </c>
      <c r="V119" s="2" t="b">
        <f>IF(V118=0,IF(achievement!S$96*$B119&gt;=1,achievement!S$97,0))</f>
        <v>0</v>
      </c>
      <c r="W119" s="2" t="b">
        <f>IF(W118=0,IF(achievement!T$96*$B119&gt;=1,achievement!T$97,0))</f>
        <v>0</v>
      </c>
      <c r="X119" s="2" t="b">
        <f>IF(X118=0,IF(achievement!U$96*$B119&gt;=1,achievement!U$97,0))</f>
        <v>0</v>
      </c>
      <c r="Y119" s="2" t="b">
        <f>IF(Y118=0,IF(achievement!V$96*$B119&gt;=1,achievement!V$97,0))</f>
        <v>0</v>
      </c>
      <c r="Z119" s="2" t="b">
        <f>IF(Z118=0,IF(achievement!W$96*$B119&gt;=1,achievement!W$97,0))</f>
        <v>0</v>
      </c>
      <c r="AA119" s="2" t="b">
        <f>IF(AA118=0,IF(achievement!X$96*$B119&gt;=1,achievement!X$97,0))</f>
        <v>0</v>
      </c>
      <c r="AB119" s="2" t="b">
        <f>IF(AB118=0,IF(achievement!Y$96*$B119&gt;=1,achievement!Y$97,0))</f>
        <v>0</v>
      </c>
      <c r="AC119" s="2" t="b">
        <f>IF(AC118=0,IF(achievement!Z$96*$B119&gt;=1,achievement!Z$97,0))</f>
        <v>0</v>
      </c>
      <c r="AD119" s="2" t="b">
        <f>IF(AD118=0,IF(achievement!AA$96*$B119&gt;=1,achievement!AA$97,0))</f>
        <v>0</v>
      </c>
      <c r="AE119" s="2" t="b">
        <f>IF(AE118=0,IF(achievement!AB$96*$B119&gt;=1,achievement!AB$97,0))</f>
        <v>0</v>
      </c>
      <c r="AF119" s="2" t="b">
        <f>IF(AF118=0,IF(achievement!AC$96*$B119&gt;=1,achievement!AC$97,0))</f>
        <v>0</v>
      </c>
      <c r="AG119" s="2" t="b">
        <f>IF(AG118=0,IF(achievement!AD$96*$B119&gt;=1,achievement!AD$97,0))</f>
        <v>0</v>
      </c>
      <c r="AH119" s="2" t="b">
        <f>IF(AH118=0,IF(achievement!AE$96*$B119&gt;=1,achievement!AE$97,0))</f>
        <v>0</v>
      </c>
      <c r="AI119" s="2" t="b">
        <f>IF(AI118=0,IF(achievement!AF$96*$B119&gt;=1,achievement!AF$97,0))</f>
        <v>0</v>
      </c>
      <c r="AJ119" s="2" t="b">
        <f>IF(AJ118=0,IF(achievement!AG$96*$B119&gt;=1,achievement!AG$97,0))</f>
        <v>0</v>
      </c>
      <c r="AK119" s="2" t="b">
        <f>IF(AK118=0,IF(achievement!AH$96*$B119&gt;=1,achievement!AH$97,0))</f>
        <v>0</v>
      </c>
      <c r="AL119" s="2" t="b">
        <f>IF(AL118=0,IF(achievement!AI$96*$B119&gt;=1,achievement!AI$97,0))</f>
        <v>0</v>
      </c>
      <c r="AM119" s="2" t="b">
        <f>IF(AM118=0,IF(achievement!AJ$96*$B119&gt;=1,achievement!AJ$97,0))</f>
        <v>0</v>
      </c>
      <c r="AN119" s="2" t="b">
        <f>IF(AN118=0,IF(achievement!AK$96*$B119&gt;=1,achievement!AK$97,0))</f>
        <v>0</v>
      </c>
      <c r="AO119" s="2" t="b">
        <f>IF(AO118=0,IF(achievement!AL$96*$B119&gt;=1,achievement!AL$97,0))</f>
        <v>0</v>
      </c>
      <c r="AP119" s="2" t="b">
        <f>IF(AP118=0,IF(achievement!AM$96*$B119&gt;=1,achievement!AM$97,0))</f>
        <v>0</v>
      </c>
      <c r="AQ119" s="2" t="b">
        <f>IF(AQ118=0,IF(achievement!AN$96*$B119&gt;=1,achievement!AN$97,0))</f>
        <v>0</v>
      </c>
      <c r="AR119" s="2" t="b">
        <f>IF(AR118=0,IF(achievement!AO$96*$B119&gt;=1,achievement!AO$97,0))</f>
        <v>0</v>
      </c>
      <c r="AS119" s="2" t="b">
        <f>IF(AS118=0,IF(achievement!AP$96*$B119&gt;=1,achievement!AP$97,0))</f>
        <v>0</v>
      </c>
      <c r="AT119" s="2" t="b">
        <f>IF(AT118=0,IF(achievement!AQ$96*$B119&gt;=1,achievement!AQ$97,0))</f>
        <v>0</v>
      </c>
      <c r="AU119" s="2" t="b">
        <f>IF(AU118=0,IF(achievement!AR$96*$B119&gt;=1,achievement!AR$97,0))</f>
        <v>0</v>
      </c>
      <c r="AV119" s="2" t="b">
        <f>IF(AV118=0,IF(achievement!AS$96*$B119&gt;=1,achievement!AS$97,0))</f>
        <v>0</v>
      </c>
      <c r="AW119" s="2"/>
      <c r="AX119" s="2"/>
      <c r="AY119" s="2"/>
    </row>
    <row r="120" s="1" customFormat="1" ht="18" customHeight="1" spans="2:51">
      <c r="B120" s="2">
        <v>95</v>
      </c>
      <c r="C120" s="2">
        <f t="shared" si="5"/>
        <v>95000</v>
      </c>
      <c r="D120" s="2">
        <f>ROUND($C$8*$C$5+$C$8*$C$4*(1-$L$5),0)</f>
        <v>88</v>
      </c>
      <c r="E120" s="2">
        <f t="shared" si="6"/>
        <v>8360</v>
      </c>
      <c r="F120" s="2">
        <f>ROUND(E120*VLOOKUP($B$10,总产出!$T$4:$U$14,2,FALSE),0)</f>
        <v>836</v>
      </c>
      <c r="G120" s="2">
        <f t="shared" si="7"/>
        <v>0</v>
      </c>
      <c r="H120" s="2">
        <f t="shared" si="8"/>
        <v>2777</v>
      </c>
      <c r="I120" s="2" t="b">
        <f>IF(I119=0,IF($B120&gt;=achievement!F$96,achievement!F$97,0))</f>
        <v>0</v>
      </c>
      <c r="J120" s="2" t="b">
        <f>IF(J119=0,IF($B120&gt;=achievement!G$96,achievement!G$97,0))</f>
        <v>0</v>
      </c>
      <c r="K120" s="2" t="b">
        <f>IF(K119=0,IF($B120&gt;=achievement!H$96,achievement!H$97,0))</f>
        <v>0</v>
      </c>
      <c r="L120" s="2" t="b">
        <f>IF(L119=0,IF($B120&gt;=achievement!I$96,achievement!I$97,0))</f>
        <v>0</v>
      </c>
      <c r="M120" s="2" t="b">
        <f>IF(M119=0,IF($B120&gt;=achievement!J$96,achievement!J$97,0))</f>
        <v>0</v>
      </c>
      <c r="N120" s="2">
        <f>IF(N119=0,IF($B120&gt;=achievement!K$96,achievement!K$97,0))</f>
        <v>0</v>
      </c>
      <c r="O120" s="2">
        <f>IF(O119=0,IF($B120&gt;=achievement!L$96,achievement!L$97,0))</f>
        <v>0</v>
      </c>
      <c r="P120" s="2" t="b">
        <f>IF(P119=0,IF(achievement!M$96*$B120&gt;=1,achievement!M$97,0))</f>
        <v>0</v>
      </c>
      <c r="Q120" s="2" t="b">
        <f>IF(Q119=0,IF(achievement!N$96*$B120&gt;=1,achievement!N$97,0))</f>
        <v>0</v>
      </c>
      <c r="R120" s="2" t="b">
        <f>IF(R119=0,IF(achievement!O$96*$B120&gt;=1,achievement!O$97,0))</f>
        <v>0</v>
      </c>
      <c r="S120" s="2" t="b">
        <f>IF(S119=0,IF(achievement!P$96*$B120&gt;=1,achievement!P$97,0))</f>
        <v>0</v>
      </c>
      <c r="T120" s="2" t="b">
        <f>IF(T119=0,IF(achievement!Q$96*$B120&gt;=1,achievement!Q$97,0))</f>
        <v>0</v>
      </c>
      <c r="U120" s="2" t="b">
        <f>IF(U119=0,IF(achievement!R$96*$B120&gt;=1,achievement!R$97,0))</f>
        <v>0</v>
      </c>
      <c r="V120" s="2" t="b">
        <f>IF(V119=0,IF(achievement!S$96*$B120&gt;=1,achievement!S$97,0))</f>
        <v>0</v>
      </c>
      <c r="W120" s="2" t="b">
        <f>IF(W119=0,IF(achievement!T$96*$B120&gt;=1,achievement!T$97,0))</f>
        <v>0</v>
      </c>
      <c r="X120" s="2" t="b">
        <f>IF(X119=0,IF(achievement!U$96*$B120&gt;=1,achievement!U$97,0))</f>
        <v>0</v>
      </c>
      <c r="Y120" s="2" t="b">
        <f>IF(Y119=0,IF(achievement!V$96*$B120&gt;=1,achievement!V$97,0))</f>
        <v>0</v>
      </c>
      <c r="Z120" s="2" t="b">
        <f>IF(Z119=0,IF(achievement!W$96*$B120&gt;=1,achievement!W$97,0))</f>
        <v>0</v>
      </c>
      <c r="AA120" s="2" t="b">
        <f>IF(AA119=0,IF(achievement!X$96*$B120&gt;=1,achievement!X$97,0))</f>
        <v>0</v>
      </c>
      <c r="AB120" s="2" t="b">
        <f>IF(AB119=0,IF(achievement!Y$96*$B120&gt;=1,achievement!Y$97,0))</f>
        <v>0</v>
      </c>
      <c r="AC120" s="2" t="b">
        <f>IF(AC119=0,IF(achievement!Z$96*$B120&gt;=1,achievement!Z$97,0))</f>
        <v>0</v>
      </c>
      <c r="AD120" s="2" t="b">
        <f>IF(AD119=0,IF(achievement!AA$96*$B120&gt;=1,achievement!AA$97,0))</f>
        <v>0</v>
      </c>
      <c r="AE120" s="2" t="b">
        <f>IF(AE119=0,IF(achievement!AB$96*$B120&gt;=1,achievement!AB$97,0))</f>
        <v>0</v>
      </c>
      <c r="AF120" s="2" t="b">
        <f>IF(AF119=0,IF(achievement!AC$96*$B120&gt;=1,achievement!AC$97,0))</f>
        <v>0</v>
      </c>
      <c r="AG120" s="2" t="b">
        <f>IF(AG119=0,IF(achievement!AD$96*$B120&gt;=1,achievement!AD$97,0))</f>
        <v>0</v>
      </c>
      <c r="AH120" s="2" t="b">
        <f>IF(AH119=0,IF(achievement!AE$96*$B120&gt;=1,achievement!AE$97,0))</f>
        <v>0</v>
      </c>
      <c r="AI120" s="2" t="b">
        <f>IF(AI119=0,IF(achievement!AF$96*$B120&gt;=1,achievement!AF$97,0))</f>
        <v>0</v>
      </c>
      <c r="AJ120" s="2" t="b">
        <f>IF(AJ119=0,IF(achievement!AG$96*$B120&gt;=1,achievement!AG$97,0))</f>
        <v>0</v>
      </c>
      <c r="AK120" s="2" t="b">
        <f>IF(AK119=0,IF(achievement!AH$96*$B120&gt;=1,achievement!AH$97,0))</f>
        <v>0</v>
      </c>
      <c r="AL120" s="2" t="b">
        <f>IF(AL119=0,IF(achievement!AI$96*$B120&gt;=1,achievement!AI$97,0))</f>
        <v>0</v>
      </c>
      <c r="AM120" s="2" t="b">
        <f>IF(AM119=0,IF(achievement!AJ$96*$B120&gt;=1,achievement!AJ$97,0))</f>
        <v>0</v>
      </c>
      <c r="AN120" s="2" t="b">
        <f>IF(AN119=0,IF(achievement!AK$96*$B120&gt;=1,achievement!AK$97,0))</f>
        <v>0</v>
      </c>
      <c r="AO120" s="2" t="b">
        <f>IF(AO119=0,IF(achievement!AL$96*$B120&gt;=1,achievement!AL$97,0))</f>
        <v>0</v>
      </c>
      <c r="AP120" s="2" t="b">
        <f>IF(AP119=0,IF(achievement!AM$96*$B120&gt;=1,achievement!AM$97,0))</f>
        <v>0</v>
      </c>
      <c r="AQ120" s="2" t="b">
        <f>IF(AQ119=0,IF(achievement!AN$96*$B120&gt;=1,achievement!AN$97,0))</f>
        <v>0</v>
      </c>
      <c r="AR120" s="2" t="b">
        <f>IF(AR119=0,IF(achievement!AO$96*$B120&gt;=1,achievement!AO$97,0))</f>
        <v>0</v>
      </c>
      <c r="AS120" s="2" t="b">
        <f>IF(AS119=0,IF(achievement!AP$96*$B120&gt;=1,achievement!AP$97,0))</f>
        <v>0</v>
      </c>
      <c r="AT120" s="2" t="b">
        <f>IF(AT119=0,IF(achievement!AQ$96*$B120&gt;=1,achievement!AQ$97,0))</f>
        <v>0</v>
      </c>
      <c r="AU120" s="2" t="b">
        <f>IF(AU119=0,IF(achievement!AR$96*$B120&gt;=1,achievement!AR$97,0))</f>
        <v>0</v>
      </c>
      <c r="AV120" s="2" t="b">
        <f>IF(AV119=0,IF(achievement!AS$96*$B120&gt;=1,achievement!AS$97,0))</f>
        <v>0</v>
      </c>
      <c r="AW120" s="2"/>
      <c r="AX120" s="2"/>
      <c r="AY120" s="2"/>
    </row>
    <row r="121" s="1" customFormat="1" ht="18" customHeight="1" spans="2:51">
      <c r="B121" s="2">
        <v>96</v>
      </c>
      <c r="C121" s="2">
        <f t="shared" si="5"/>
        <v>96000</v>
      </c>
      <c r="D121" s="2">
        <f>ROUND($C$8*$C$5+$C$8*$C$4*(1-$L$5),0)</f>
        <v>88</v>
      </c>
      <c r="E121" s="2">
        <f t="shared" si="6"/>
        <v>8448</v>
      </c>
      <c r="F121" s="2">
        <f>ROUND(E121*VLOOKUP($B$10,总产出!$T$4:$U$14,2,FALSE),0)</f>
        <v>845</v>
      </c>
      <c r="G121" s="2">
        <f t="shared" si="7"/>
        <v>0</v>
      </c>
      <c r="H121" s="2">
        <f t="shared" si="8"/>
        <v>2777</v>
      </c>
      <c r="I121" s="2" t="b">
        <f>IF(I120=0,IF($B121&gt;=achievement!F$96,achievement!F$97,0))</f>
        <v>0</v>
      </c>
      <c r="J121" s="2" t="b">
        <f>IF(J120=0,IF($B121&gt;=achievement!G$96,achievement!G$97,0))</f>
        <v>0</v>
      </c>
      <c r="K121" s="2" t="b">
        <f>IF(K120=0,IF($B121&gt;=achievement!H$96,achievement!H$97,0))</f>
        <v>0</v>
      </c>
      <c r="L121" s="2" t="b">
        <f>IF(L120=0,IF($B121&gt;=achievement!I$96,achievement!I$97,0))</f>
        <v>0</v>
      </c>
      <c r="M121" s="2" t="b">
        <f>IF(M120=0,IF($B121&gt;=achievement!J$96,achievement!J$97,0))</f>
        <v>0</v>
      </c>
      <c r="N121" s="2">
        <f>IF(N120=0,IF($B121&gt;=achievement!K$96,achievement!K$97,0))</f>
        <v>0</v>
      </c>
      <c r="O121" s="2">
        <f>IF(O120=0,IF($B121&gt;=achievement!L$96,achievement!L$97,0))</f>
        <v>0</v>
      </c>
      <c r="P121" s="2" t="b">
        <f>IF(P120=0,IF(achievement!M$96*$B121&gt;=1,achievement!M$97,0))</f>
        <v>0</v>
      </c>
      <c r="Q121" s="2" t="b">
        <f>IF(Q120=0,IF(achievement!N$96*$B121&gt;=1,achievement!N$97,0))</f>
        <v>0</v>
      </c>
      <c r="R121" s="2" t="b">
        <f>IF(R120=0,IF(achievement!O$96*$B121&gt;=1,achievement!O$97,0))</f>
        <v>0</v>
      </c>
      <c r="S121" s="2" t="b">
        <f>IF(S120=0,IF(achievement!P$96*$B121&gt;=1,achievement!P$97,0))</f>
        <v>0</v>
      </c>
      <c r="T121" s="2" t="b">
        <f>IF(T120=0,IF(achievement!Q$96*$B121&gt;=1,achievement!Q$97,0))</f>
        <v>0</v>
      </c>
      <c r="U121" s="2" t="b">
        <f>IF(U120=0,IF(achievement!R$96*$B121&gt;=1,achievement!R$97,0))</f>
        <v>0</v>
      </c>
      <c r="V121" s="2" t="b">
        <f>IF(V120=0,IF(achievement!S$96*$B121&gt;=1,achievement!S$97,0))</f>
        <v>0</v>
      </c>
      <c r="W121" s="2" t="b">
        <f>IF(W120=0,IF(achievement!T$96*$B121&gt;=1,achievement!T$97,0))</f>
        <v>0</v>
      </c>
      <c r="X121" s="2" t="b">
        <f>IF(X120=0,IF(achievement!U$96*$B121&gt;=1,achievement!U$97,0))</f>
        <v>0</v>
      </c>
      <c r="Y121" s="2" t="b">
        <f>IF(Y120=0,IF(achievement!V$96*$B121&gt;=1,achievement!V$97,0))</f>
        <v>0</v>
      </c>
      <c r="Z121" s="2" t="b">
        <f>IF(Z120=0,IF(achievement!W$96*$B121&gt;=1,achievement!W$97,0))</f>
        <v>0</v>
      </c>
      <c r="AA121" s="2" t="b">
        <f>IF(AA120=0,IF(achievement!X$96*$B121&gt;=1,achievement!X$97,0))</f>
        <v>0</v>
      </c>
      <c r="AB121" s="2" t="b">
        <f>IF(AB120=0,IF(achievement!Y$96*$B121&gt;=1,achievement!Y$97,0))</f>
        <v>0</v>
      </c>
      <c r="AC121" s="2" t="b">
        <f>IF(AC120=0,IF(achievement!Z$96*$B121&gt;=1,achievement!Z$97,0))</f>
        <v>0</v>
      </c>
      <c r="AD121" s="2" t="b">
        <f>IF(AD120=0,IF(achievement!AA$96*$B121&gt;=1,achievement!AA$97,0))</f>
        <v>0</v>
      </c>
      <c r="AE121" s="2" t="b">
        <f>IF(AE120=0,IF(achievement!AB$96*$B121&gt;=1,achievement!AB$97,0))</f>
        <v>0</v>
      </c>
      <c r="AF121" s="2" t="b">
        <f>IF(AF120=0,IF(achievement!AC$96*$B121&gt;=1,achievement!AC$97,0))</f>
        <v>0</v>
      </c>
      <c r="AG121" s="2" t="b">
        <f>IF(AG120=0,IF(achievement!AD$96*$B121&gt;=1,achievement!AD$97,0))</f>
        <v>0</v>
      </c>
      <c r="AH121" s="2" t="b">
        <f>IF(AH120=0,IF(achievement!AE$96*$B121&gt;=1,achievement!AE$97,0))</f>
        <v>0</v>
      </c>
      <c r="AI121" s="2" t="b">
        <f>IF(AI120=0,IF(achievement!AF$96*$B121&gt;=1,achievement!AF$97,0))</f>
        <v>0</v>
      </c>
      <c r="AJ121" s="2" t="b">
        <f>IF(AJ120=0,IF(achievement!AG$96*$B121&gt;=1,achievement!AG$97,0))</f>
        <v>0</v>
      </c>
      <c r="AK121" s="2" t="b">
        <f>IF(AK120=0,IF(achievement!AH$96*$B121&gt;=1,achievement!AH$97,0))</f>
        <v>0</v>
      </c>
      <c r="AL121" s="2" t="b">
        <f>IF(AL120=0,IF(achievement!AI$96*$B121&gt;=1,achievement!AI$97,0))</f>
        <v>0</v>
      </c>
      <c r="AM121" s="2" t="b">
        <f>IF(AM120=0,IF(achievement!AJ$96*$B121&gt;=1,achievement!AJ$97,0))</f>
        <v>0</v>
      </c>
      <c r="AN121" s="2" t="b">
        <f>IF(AN120=0,IF(achievement!AK$96*$B121&gt;=1,achievement!AK$97,0))</f>
        <v>0</v>
      </c>
      <c r="AO121" s="2" t="b">
        <f>IF(AO120=0,IF(achievement!AL$96*$B121&gt;=1,achievement!AL$97,0))</f>
        <v>0</v>
      </c>
      <c r="AP121" s="2" t="b">
        <f>IF(AP120=0,IF(achievement!AM$96*$B121&gt;=1,achievement!AM$97,0))</f>
        <v>0</v>
      </c>
      <c r="AQ121" s="2" t="b">
        <f>IF(AQ120=0,IF(achievement!AN$96*$B121&gt;=1,achievement!AN$97,0))</f>
        <v>0</v>
      </c>
      <c r="AR121" s="2" t="b">
        <f>IF(AR120=0,IF(achievement!AO$96*$B121&gt;=1,achievement!AO$97,0))</f>
        <v>0</v>
      </c>
      <c r="AS121" s="2" t="b">
        <f>IF(AS120=0,IF(achievement!AP$96*$B121&gt;=1,achievement!AP$97,0))</f>
        <v>0</v>
      </c>
      <c r="AT121" s="2" t="b">
        <f>IF(AT120=0,IF(achievement!AQ$96*$B121&gt;=1,achievement!AQ$97,0))</f>
        <v>0</v>
      </c>
      <c r="AU121" s="2" t="b">
        <f>IF(AU120=0,IF(achievement!AR$96*$B121&gt;=1,achievement!AR$97,0))</f>
        <v>0</v>
      </c>
      <c r="AV121" s="2" t="b">
        <f>IF(AV120=0,IF(achievement!AS$96*$B121&gt;=1,achievement!AS$97,0))</f>
        <v>0</v>
      </c>
      <c r="AW121" s="2"/>
      <c r="AX121" s="2"/>
      <c r="AY121" s="2"/>
    </row>
    <row r="122" s="1" customFormat="1" ht="18" customHeight="1" spans="2:51">
      <c r="B122" s="2">
        <v>97</v>
      </c>
      <c r="C122" s="2">
        <f t="shared" si="5"/>
        <v>97000</v>
      </c>
      <c r="D122" s="2">
        <f>ROUND($C$8*$C$5+$C$8*$C$4*(1-$L$5),0)</f>
        <v>88</v>
      </c>
      <c r="E122" s="2">
        <f t="shared" si="6"/>
        <v>8536</v>
      </c>
      <c r="F122" s="2">
        <f>ROUND(E122*VLOOKUP($B$10,总产出!$T$4:$U$14,2,FALSE),0)</f>
        <v>854</v>
      </c>
      <c r="G122" s="2">
        <f t="shared" si="7"/>
        <v>0</v>
      </c>
      <c r="H122" s="2">
        <f t="shared" si="8"/>
        <v>2777</v>
      </c>
      <c r="I122" s="2" t="b">
        <f>IF(I121=0,IF($B122&gt;=achievement!F$96,achievement!F$97,0))</f>
        <v>0</v>
      </c>
      <c r="J122" s="2" t="b">
        <f>IF(J121=0,IF($B122&gt;=achievement!G$96,achievement!G$97,0))</f>
        <v>0</v>
      </c>
      <c r="K122" s="2" t="b">
        <f>IF(K121=0,IF($B122&gt;=achievement!H$96,achievement!H$97,0))</f>
        <v>0</v>
      </c>
      <c r="L122" s="2" t="b">
        <f>IF(L121=0,IF($B122&gt;=achievement!I$96,achievement!I$97,0))</f>
        <v>0</v>
      </c>
      <c r="M122" s="2" t="b">
        <f>IF(M121=0,IF($B122&gt;=achievement!J$96,achievement!J$97,0))</f>
        <v>0</v>
      </c>
      <c r="N122" s="2">
        <f>IF(N121=0,IF($B122&gt;=achievement!K$96,achievement!K$97,0))</f>
        <v>0</v>
      </c>
      <c r="O122" s="2">
        <f>IF(O121=0,IF($B122&gt;=achievement!L$96,achievement!L$97,0))</f>
        <v>0</v>
      </c>
      <c r="P122" s="2" t="b">
        <f>IF(P121=0,IF(achievement!M$96*$B122&gt;=1,achievement!M$97,0))</f>
        <v>0</v>
      </c>
      <c r="Q122" s="2" t="b">
        <f>IF(Q121=0,IF(achievement!N$96*$B122&gt;=1,achievement!N$97,0))</f>
        <v>0</v>
      </c>
      <c r="R122" s="2" t="b">
        <f>IF(R121=0,IF(achievement!O$96*$B122&gt;=1,achievement!O$97,0))</f>
        <v>0</v>
      </c>
      <c r="S122" s="2" t="b">
        <f>IF(S121=0,IF(achievement!P$96*$B122&gt;=1,achievement!P$97,0))</f>
        <v>0</v>
      </c>
      <c r="T122" s="2" t="b">
        <f>IF(T121=0,IF(achievement!Q$96*$B122&gt;=1,achievement!Q$97,0))</f>
        <v>0</v>
      </c>
      <c r="U122" s="2" t="b">
        <f>IF(U121=0,IF(achievement!R$96*$B122&gt;=1,achievement!R$97,0))</f>
        <v>0</v>
      </c>
      <c r="V122" s="2" t="b">
        <f>IF(V121=0,IF(achievement!S$96*$B122&gt;=1,achievement!S$97,0))</f>
        <v>0</v>
      </c>
      <c r="W122" s="2" t="b">
        <f>IF(W121=0,IF(achievement!T$96*$B122&gt;=1,achievement!T$97,0))</f>
        <v>0</v>
      </c>
      <c r="X122" s="2" t="b">
        <f>IF(X121=0,IF(achievement!U$96*$B122&gt;=1,achievement!U$97,0))</f>
        <v>0</v>
      </c>
      <c r="Y122" s="2" t="b">
        <f>IF(Y121=0,IF(achievement!V$96*$B122&gt;=1,achievement!V$97,0))</f>
        <v>0</v>
      </c>
      <c r="Z122" s="2" t="b">
        <f>IF(Z121=0,IF(achievement!W$96*$B122&gt;=1,achievement!W$97,0))</f>
        <v>0</v>
      </c>
      <c r="AA122" s="2" t="b">
        <f>IF(AA121=0,IF(achievement!X$96*$B122&gt;=1,achievement!X$97,0))</f>
        <v>0</v>
      </c>
      <c r="AB122" s="2" t="b">
        <f>IF(AB121=0,IF(achievement!Y$96*$B122&gt;=1,achievement!Y$97,0))</f>
        <v>0</v>
      </c>
      <c r="AC122" s="2" t="b">
        <f>IF(AC121=0,IF(achievement!Z$96*$B122&gt;=1,achievement!Z$97,0))</f>
        <v>0</v>
      </c>
      <c r="AD122" s="2" t="b">
        <f>IF(AD121=0,IF(achievement!AA$96*$B122&gt;=1,achievement!AA$97,0))</f>
        <v>0</v>
      </c>
      <c r="AE122" s="2" t="b">
        <f>IF(AE121=0,IF(achievement!AB$96*$B122&gt;=1,achievement!AB$97,0))</f>
        <v>0</v>
      </c>
      <c r="AF122" s="2" t="b">
        <f>IF(AF121=0,IF(achievement!AC$96*$B122&gt;=1,achievement!AC$97,0))</f>
        <v>0</v>
      </c>
      <c r="AG122" s="2" t="b">
        <f>IF(AG121=0,IF(achievement!AD$96*$B122&gt;=1,achievement!AD$97,0))</f>
        <v>0</v>
      </c>
      <c r="AH122" s="2" t="b">
        <f>IF(AH121=0,IF(achievement!AE$96*$B122&gt;=1,achievement!AE$97,0))</f>
        <v>0</v>
      </c>
      <c r="AI122" s="2" t="b">
        <f>IF(AI121=0,IF(achievement!AF$96*$B122&gt;=1,achievement!AF$97,0))</f>
        <v>0</v>
      </c>
      <c r="AJ122" s="2" t="b">
        <f>IF(AJ121=0,IF(achievement!AG$96*$B122&gt;=1,achievement!AG$97,0))</f>
        <v>0</v>
      </c>
      <c r="AK122" s="2" t="b">
        <f>IF(AK121=0,IF(achievement!AH$96*$B122&gt;=1,achievement!AH$97,0))</f>
        <v>0</v>
      </c>
      <c r="AL122" s="2" t="b">
        <f>IF(AL121=0,IF(achievement!AI$96*$B122&gt;=1,achievement!AI$97,0))</f>
        <v>0</v>
      </c>
      <c r="AM122" s="2" t="b">
        <f>IF(AM121=0,IF(achievement!AJ$96*$B122&gt;=1,achievement!AJ$97,0))</f>
        <v>0</v>
      </c>
      <c r="AN122" s="2" t="b">
        <f>IF(AN121=0,IF(achievement!AK$96*$B122&gt;=1,achievement!AK$97,0))</f>
        <v>0</v>
      </c>
      <c r="AO122" s="2" t="b">
        <f>IF(AO121=0,IF(achievement!AL$96*$B122&gt;=1,achievement!AL$97,0))</f>
        <v>0</v>
      </c>
      <c r="AP122" s="2" t="b">
        <f>IF(AP121=0,IF(achievement!AM$96*$B122&gt;=1,achievement!AM$97,0))</f>
        <v>0</v>
      </c>
      <c r="AQ122" s="2" t="b">
        <f>IF(AQ121=0,IF(achievement!AN$96*$B122&gt;=1,achievement!AN$97,0))</f>
        <v>0</v>
      </c>
      <c r="AR122" s="2" t="b">
        <f>IF(AR121=0,IF(achievement!AO$96*$B122&gt;=1,achievement!AO$97,0))</f>
        <v>0</v>
      </c>
      <c r="AS122" s="2" t="b">
        <f>IF(AS121=0,IF(achievement!AP$96*$B122&gt;=1,achievement!AP$97,0))</f>
        <v>0</v>
      </c>
      <c r="AT122" s="2" t="b">
        <f>IF(AT121=0,IF(achievement!AQ$96*$B122&gt;=1,achievement!AQ$97,0))</f>
        <v>0</v>
      </c>
      <c r="AU122" s="2" t="b">
        <f>IF(AU121=0,IF(achievement!AR$96*$B122&gt;=1,achievement!AR$97,0))</f>
        <v>0</v>
      </c>
      <c r="AV122" s="2" t="b">
        <f>IF(AV121=0,IF(achievement!AS$96*$B122&gt;=1,achievement!AS$97,0))</f>
        <v>0</v>
      </c>
      <c r="AW122" s="2"/>
      <c r="AX122" s="2"/>
      <c r="AY122" s="2"/>
    </row>
    <row r="123" s="1" customFormat="1" ht="18" customHeight="1" spans="2:51">
      <c r="B123" s="2">
        <v>98</v>
      </c>
      <c r="C123" s="2">
        <f t="shared" si="5"/>
        <v>98000</v>
      </c>
      <c r="D123" s="2">
        <f>ROUND($C$8*$C$5+$C$8*$C$4*(1-$L$5),0)</f>
        <v>88</v>
      </c>
      <c r="E123" s="2">
        <f t="shared" si="6"/>
        <v>8624</v>
      </c>
      <c r="F123" s="2">
        <f>ROUND(E123*VLOOKUP($B$10,总产出!$T$4:$U$14,2,FALSE),0)</f>
        <v>862</v>
      </c>
      <c r="G123" s="2">
        <f t="shared" si="7"/>
        <v>0</v>
      </c>
      <c r="H123" s="2">
        <f t="shared" si="8"/>
        <v>2777</v>
      </c>
      <c r="I123" s="2" t="b">
        <f>IF(I122=0,IF($B123&gt;=achievement!F$96,achievement!F$97,0))</f>
        <v>0</v>
      </c>
      <c r="J123" s="2" t="b">
        <f>IF(J122=0,IF($B123&gt;=achievement!G$96,achievement!G$97,0))</f>
        <v>0</v>
      </c>
      <c r="K123" s="2" t="b">
        <f>IF(K122=0,IF($B123&gt;=achievement!H$96,achievement!H$97,0))</f>
        <v>0</v>
      </c>
      <c r="L123" s="2" t="b">
        <f>IF(L122=0,IF($B123&gt;=achievement!I$96,achievement!I$97,0))</f>
        <v>0</v>
      </c>
      <c r="M123" s="2" t="b">
        <f>IF(M122=0,IF($B123&gt;=achievement!J$96,achievement!J$97,0))</f>
        <v>0</v>
      </c>
      <c r="N123" s="2">
        <f>IF(N122=0,IF($B123&gt;=achievement!K$96,achievement!K$97,0))</f>
        <v>0</v>
      </c>
      <c r="O123" s="2">
        <f>IF(O122=0,IF($B123&gt;=achievement!L$96,achievement!L$97,0))</f>
        <v>0</v>
      </c>
      <c r="P123" s="2" t="b">
        <f>IF(P122=0,IF(achievement!M$96*$B123&gt;=1,achievement!M$97,0))</f>
        <v>0</v>
      </c>
      <c r="Q123" s="2" t="b">
        <f>IF(Q122=0,IF(achievement!N$96*$B123&gt;=1,achievement!N$97,0))</f>
        <v>0</v>
      </c>
      <c r="R123" s="2" t="b">
        <f>IF(R122=0,IF(achievement!O$96*$B123&gt;=1,achievement!O$97,0))</f>
        <v>0</v>
      </c>
      <c r="S123" s="2" t="b">
        <f>IF(S122=0,IF(achievement!P$96*$B123&gt;=1,achievement!P$97,0))</f>
        <v>0</v>
      </c>
      <c r="T123" s="2" t="b">
        <f>IF(T122=0,IF(achievement!Q$96*$B123&gt;=1,achievement!Q$97,0))</f>
        <v>0</v>
      </c>
      <c r="U123" s="2" t="b">
        <f>IF(U122=0,IF(achievement!R$96*$B123&gt;=1,achievement!R$97,0))</f>
        <v>0</v>
      </c>
      <c r="V123" s="2" t="b">
        <f>IF(V122=0,IF(achievement!S$96*$B123&gt;=1,achievement!S$97,0))</f>
        <v>0</v>
      </c>
      <c r="W123" s="2" t="b">
        <f>IF(W122=0,IF(achievement!T$96*$B123&gt;=1,achievement!T$97,0))</f>
        <v>0</v>
      </c>
      <c r="X123" s="2" t="b">
        <f>IF(X122=0,IF(achievement!U$96*$B123&gt;=1,achievement!U$97,0))</f>
        <v>0</v>
      </c>
      <c r="Y123" s="2" t="b">
        <f>IF(Y122=0,IF(achievement!V$96*$B123&gt;=1,achievement!V$97,0))</f>
        <v>0</v>
      </c>
      <c r="Z123" s="2" t="b">
        <f>IF(Z122=0,IF(achievement!W$96*$B123&gt;=1,achievement!W$97,0))</f>
        <v>0</v>
      </c>
      <c r="AA123" s="2" t="b">
        <f>IF(AA122=0,IF(achievement!X$96*$B123&gt;=1,achievement!X$97,0))</f>
        <v>0</v>
      </c>
      <c r="AB123" s="2" t="b">
        <f>IF(AB122=0,IF(achievement!Y$96*$B123&gt;=1,achievement!Y$97,0))</f>
        <v>0</v>
      </c>
      <c r="AC123" s="2" t="b">
        <f>IF(AC122=0,IF(achievement!Z$96*$B123&gt;=1,achievement!Z$97,0))</f>
        <v>0</v>
      </c>
      <c r="AD123" s="2" t="b">
        <f>IF(AD122=0,IF(achievement!AA$96*$B123&gt;=1,achievement!AA$97,0))</f>
        <v>0</v>
      </c>
      <c r="AE123" s="2" t="b">
        <f>IF(AE122=0,IF(achievement!AB$96*$B123&gt;=1,achievement!AB$97,0))</f>
        <v>0</v>
      </c>
      <c r="AF123" s="2" t="b">
        <f>IF(AF122=0,IF(achievement!AC$96*$B123&gt;=1,achievement!AC$97,0))</f>
        <v>0</v>
      </c>
      <c r="AG123" s="2" t="b">
        <f>IF(AG122=0,IF(achievement!AD$96*$B123&gt;=1,achievement!AD$97,0))</f>
        <v>0</v>
      </c>
      <c r="AH123" s="2" t="b">
        <f>IF(AH122=0,IF(achievement!AE$96*$B123&gt;=1,achievement!AE$97,0))</f>
        <v>0</v>
      </c>
      <c r="AI123" s="2" t="b">
        <f>IF(AI122=0,IF(achievement!AF$96*$B123&gt;=1,achievement!AF$97,0))</f>
        <v>0</v>
      </c>
      <c r="AJ123" s="2" t="b">
        <f>IF(AJ122=0,IF(achievement!AG$96*$B123&gt;=1,achievement!AG$97,0))</f>
        <v>0</v>
      </c>
      <c r="AK123" s="2" t="b">
        <f>IF(AK122=0,IF(achievement!AH$96*$B123&gt;=1,achievement!AH$97,0))</f>
        <v>0</v>
      </c>
      <c r="AL123" s="2" t="b">
        <f>IF(AL122=0,IF(achievement!AI$96*$B123&gt;=1,achievement!AI$97,0))</f>
        <v>0</v>
      </c>
      <c r="AM123" s="2" t="b">
        <f>IF(AM122=0,IF(achievement!AJ$96*$B123&gt;=1,achievement!AJ$97,0))</f>
        <v>0</v>
      </c>
      <c r="AN123" s="2" t="b">
        <f>IF(AN122=0,IF(achievement!AK$96*$B123&gt;=1,achievement!AK$97,0))</f>
        <v>0</v>
      </c>
      <c r="AO123" s="2" t="b">
        <f>IF(AO122=0,IF(achievement!AL$96*$B123&gt;=1,achievement!AL$97,0))</f>
        <v>0</v>
      </c>
      <c r="AP123" s="2" t="b">
        <f>IF(AP122=0,IF(achievement!AM$96*$B123&gt;=1,achievement!AM$97,0))</f>
        <v>0</v>
      </c>
      <c r="AQ123" s="2" t="b">
        <f>IF(AQ122=0,IF(achievement!AN$96*$B123&gt;=1,achievement!AN$97,0))</f>
        <v>0</v>
      </c>
      <c r="AR123" s="2" t="b">
        <f>IF(AR122=0,IF(achievement!AO$96*$B123&gt;=1,achievement!AO$97,0))</f>
        <v>0</v>
      </c>
      <c r="AS123" s="2" t="b">
        <f>IF(AS122=0,IF(achievement!AP$96*$B123&gt;=1,achievement!AP$97,0))</f>
        <v>0</v>
      </c>
      <c r="AT123" s="2" t="b">
        <f>IF(AT122=0,IF(achievement!AQ$96*$B123&gt;=1,achievement!AQ$97,0))</f>
        <v>0</v>
      </c>
      <c r="AU123" s="2" t="b">
        <f>IF(AU122=0,IF(achievement!AR$96*$B123&gt;=1,achievement!AR$97,0))</f>
        <v>0</v>
      </c>
      <c r="AV123" s="2" t="b">
        <f>IF(AV122=0,IF(achievement!AS$96*$B123&gt;=1,achievement!AS$97,0))</f>
        <v>0</v>
      </c>
      <c r="AW123" s="2"/>
      <c r="AX123" s="2"/>
      <c r="AY123" s="2"/>
    </row>
    <row r="124" s="1" customFormat="1" ht="18" customHeight="1" spans="2:51">
      <c r="B124" s="2">
        <v>99</v>
      </c>
      <c r="C124" s="2">
        <f t="shared" si="5"/>
        <v>99000</v>
      </c>
      <c r="D124" s="2">
        <f>ROUND($C$8*$C$5+$C$8*$C$4*(1-$L$5),0)</f>
        <v>88</v>
      </c>
      <c r="E124" s="2">
        <f t="shared" si="6"/>
        <v>8712</v>
      </c>
      <c r="F124" s="2">
        <f>ROUND(E124*VLOOKUP($B$10,总产出!$T$4:$U$14,2,FALSE),0)</f>
        <v>871</v>
      </c>
      <c r="G124" s="2">
        <f t="shared" si="7"/>
        <v>0</v>
      </c>
      <c r="H124" s="2">
        <f t="shared" si="8"/>
        <v>2777</v>
      </c>
      <c r="I124" s="2" t="b">
        <f>IF(I123=0,IF($B124&gt;=achievement!F$96,achievement!F$97,0))</f>
        <v>0</v>
      </c>
      <c r="J124" s="2" t="b">
        <f>IF(J123=0,IF($B124&gt;=achievement!G$96,achievement!G$97,0))</f>
        <v>0</v>
      </c>
      <c r="K124" s="2" t="b">
        <f>IF(K123=0,IF($B124&gt;=achievement!H$96,achievement!H$97,0))</f>
        <v>0</v>
      </c>
      <c r="L124" s="2" t="b">
        <f>IF(L123=0,IF($B124&gt;=achievement!I$96,achievement!I$97,0))</f>
        <v>0</v>
      </c>
      <c r="M124" s="2" t="b">
        <f>IF(M123=0,IF($B124&gt;=achievement!J$96,achievement!J$97,0))</f>
        <v>0</v>
      </c>
      <c r="N124" s="2">
        <f>IF(N123=0,IF($B124&gt;=achievement!K$96,achievement!K$97,0))</f>
        <v>0</v>
      </c>
      <c r="O124" s="2">
        <f>IF(O123=0,IF($B124&gt;=achievement!L$96,achievement!L$97,0))</f>
        <v>0</v>
      </c>
      <c r="P124" s="2" t="b">
        <f>IF(P123=0,IF(achievement!M$96*$B124&gt;=1,achievement!M$97,0))</f>
        <v>0</v>
      </c>
      <c r="Q124" s="2" t="b">
        <f>IF(Q123=0,IF(achievement!N$96*$B124&gt;=1,achievement!N$97,0))</f>
        <v>0</v>
      </c>
      <c r="R124" s="2" t="b">
        <f>IF(R123=0,IF(achievement!O$96*$B124&gt;=1,achievement!O$97,0))</f>
        <v>0</v>
      </c>
      <c r="S124" s="2" t="b">
        <f>IF(S123=0,IF(achievement!P$96*$B124&gt;=1,achievement!P$97,0))</f>
        <v>0</v>
      </c>
      <c r="T124" s="2" t="b">
        <f>IF(T123=0,IF(achievement!Q$96*$B124&gt;=1,achievement!Q$97,0))</f>
        <v>0</v>
      </c>
      <c r="U124" s="2" t="b">
        <f>IF(U123=0,IF(achievement!R$96*$B124&gt;=1,achievement!R$97,0))</f>
        <v>0</v>
      </c>
      <c r="V124" s="2" t="b">
        <f>IF(V123=0,IF(achievement!S$96*$B124&gt;=1,achievement!S$97,0))</f>
        <v>0</v>
      </c>
      <c r="W124" s="2" t="b">
        <f>IF(W123=0,IF(achievement!T$96*$B124&gt;=1,achievement!T$97,0))</f>
        <v>0</v>
      </c>
      <c r="X124" s="2" t="b">
        <f>IF(X123=0,IF(achievement!U$96*$B124&gt;=1,achievement!U$97,0))</f>
        <v>0</v>
      </c>
      <c r="Y124" s="2" t="b">
        <f>IF(Y123=0,IF(achievement!V$96*$B124&gt;=1,achievement!V$97,0))</f>
        <v>0</v>
      </c>
      <c r="Z124" s="2" t="b">
        <f>IF(Z123=0,IF(achievement!W$96*$B124&gt;=1,achievement!W$97,0))</f>
        <v>0</v>
      </c>
      <c r="AA124" s="2" t="b">
        <f>IF(AA123=0,IF(achievement!X$96*$B124&gt;=1,achievement!X$97,0))</f>
        <v>0</v>
      </c>
      <c r="AB124" s="2" t="b">
        <f>IF(AB123=0,IF(achievement!Y$96*$B124&gt;=1,achievement!Y$97,0))</f>
        <v>0</v>
      </c>
      <c r="AC124" s="2" t="b">
        <f>IF(AC123=0,IF(achievement!Z$96*$B124&gt;=1,achievement!Z$97,0))</f>
        <v>0</v>
      </c>
      <c r="AD124" s="2" t="b">
        <f>IF(AD123=0,IF(achievement!AA$96*$B124&gt;=1,achievement!AA$97,0))</f>
        <v>0</v>
      </c>
      <c r="AE124" s="2" t="b">
        <f>IF(AE123=0,IF(achievement!AB$96*$B124&gt;=1,achievement!AB$97,0))</f>
        <v>0</v>
      </c>
      <c r="AF124" s="2" t="b">
        <f>IF(AF123=0,IF(achievement!AC$96*$B124&gt;=1,achievement!AC$97,0))</f>
        <v>0</v>
      </c>
      <c r="AG124" s="2" t="b">
        <f>IF(AG123=0,IF(achievement!AD$96*$B124&gt;=1,achievement!AD$97,0))</f>
        <v>0</v>
      </c>
      <c r="AH124" s="2" t="b">
        <f>IF(AH123=0,IF(achievement!AE$96*$B124&gt;=1,achievement!AE$97,0))</f>
        <v>0</v>
      </c>
      <c r="AI124" s="2" t="b">
        <f>IF(AI123=0,IF(achievement!AF$96*$B124&gt;=1,achievement!AF$97,0))</f>
        <v>0</v>
      </c>
      <c r="AJ124" s="2" t="b">
        <f>IF(AJ123=0,IF(achievement!AG$96*$B124&gt;=1,achievement!AG$97,0))</f>
        <v>0</v>
      </c>
      <c r="AK124" s="2" t="b">
        <f>IF(AK123=0,IF(achievement!AH$96*$B124&gt;=1,achievement!AH$97,0))</f>
        <v>0</v>
      </c>
      <c r="AL124" s="2" t="b">
        <f>IF(AL123=0,IF(achievement!AI$96*$B124&gt;=1,achievement!AI$97,0))</f>
        <v>0</v>
      </c>
      <c r="AM124" s="2" t="b">
        <f>IF(AM123=0,IF(achievement!AJ$96*$B124&gt;=1,achievement!AJ$97,0))</f>
        <v>0</v>
      </c>
      <c r="AN124" s="2" t="b">
        <f>IF(AN123=0,IF(achievement!AK$96*$B124&gt;=1,achievement!AK$97,0))</f>
        <v>0</v>
      </c>
      <c r="AO124" s="2" t="b">
        <f>IF(AO123=0,IF(achievement!AL$96*$B124&gt;=1,achievement!AL$97,0))</f>
        <v>0</v>
      </c>
      <c r="AP124" s="2" t="b">
        <f>IF(AP123=0,IF(achievement!AM$96*$B124&gt;=1,achievement!AM$97,0))</f>
        <v>0</v>
      </c>
      <c r="AQ124" s="2" t="b">
        <f>IF(AQ123=0,IF(achievement!AN$96*$B124&gt;=1,achievement!AN$97,0))</f>
        <v>0</v>
      </c>
      <c r="AR124" s="2" t="b">
        <f>IF(AR123=0,IF(achievement!AO$96*$B124&gt;=1,achievement!AO$97,0))</f>
        <v>0</v>
      </c>
      <c r="AS124" s="2" t="b">
        <f>IF(AS123=0,IF(achievement!AP$96*$B124&gt;=1,achievement!AP$97,0))</f>
        <v>0</v>
      </c>
      <c r="AT124" s="2" t="b">
        <f>IF(AT123=0,IF(achievement!AQ$96*$B124&gt;=1,achievement!AQ$97,0))</f>
        <v>0</v>
      </c>
      <c r="AU124" s="2" t="b">
        <f>IF(AU123=0,IF(achievement!AR$96*$B124&gt;=1,achievement!AR$97,0))</f>
        <v>0</v>
      </c>
      <c r="AV124" s="2" t="b">
        <f>IF(AV123=0,IF(achievement!AS$96*$B124&gt;=1,achievement!AS$97,0))</f>
        <v>0</v>
      </c>
      <c r="AW124" s="2"/>
      <c r="AX124" s="2"/>
      <c r="AY124" s="2"/>
    </row>
    <row r="125" s="1" customFormat="1" ht="18" customHeight="1" spans="2:51">
      <c r="B125" s="2">
        <v>100</v>
      </c>
      <c r="C125" s="2">
        <f t="shared" si="5"/>
        <v>100000</v>
      </c>
      <c r="D125" s="2">
        <f>ROUND($C$8*$C$5+$C$8*$C$4*(1-$L$5),0)</f>
        <v>88</v>
      </c>
      <c r="E125" s="2">
        <f t="shared" si="6"/>
        <v>8800</v>
      </c>
      <c r="F125" s="2">
        <f>ROUND(E125*VLOOKUP($B$10,总产出!$T$4:$U$14,2,FALSE),0)</f>
        <v>880</v>
      </c>
      <c r="G125" s="2">
        <f t="shared" si="7"/>
        <v>0</v>
      </c>
      <c r="H125" s="2">
        <f t="shared" si="8"/>
        <v>2777</v>
      </c>
      <c r="I125" s="2" t="b">
        <f>IF(I124=0,IF($B125&gt;=achievement!F$96,achievement!F$97,0))</f>
        <v>0</v>
      </c>
      <c r="J125" s="2" t="b">
        <f>IF(J124=0,IF($B125&gt;=achievement!G$96,achievement!G$97,0))</f>
        <v>0</v>
      </c>
      <c r="K125" s="2" t="b">
        <f>IF(K124=0,IF($B125&gt;=achievement!H$96,achievement!H$97,0))</f>
        <v>0</v>
      </c>
      <c r="L125" s="2" t="b">
        <f>IF(L124=0,IF($B125&gt;=achievement!I$96,achievement!I$97,0))</f>
        <v>0</v>
      </c>
      <c r="M125" s="2" t="b">
        <f>IF(M124=0,IF($B125&gt;=achievement!J$96,achievement!J$97,0))</f>
        <v>0</v>
      </c>
      <c r="N125" s="2">
        <f>IF(N124=0,IF($B125&gt;=achievement!K$96,achievement!K$97,0))</f>
        <v>0</v>
      </c>
      <c r="O125" s="2">
        <f>IF(O124=0,IF($B125&gt;=achievement!L$96,achievement!L$97,0))</f>
        <v>0</v>
      </c>
      <c r="P125" s="2" t="b">
        <f>IF(P124=0,IF(achievement!M$96*$B125&gt;=1,achievement!M$97,0))</f>
        <v>0</v>
      </c>
      <c r="Q125" s="2" t="b">
        <f>IF(Q124=0,IF(achievement!N$96*$B125&gt;=1,achievement!N$97,0))</f>
        <v>0</v>
      </c>
      <c r="R125" s="2" t="b">
        <f>IF(R124=0,IF(achievement!O$96*$B125&gt;=1,achievement!O$97,0))</f>
        <v>0</v>
      </c>
      <c r="S125" s="2" t="b">
        <f>IF(S124=0,IF(achievement!P$96*$B125&gt;=1,achievement!P$97,0))</f>
        <v>0</v>
      </c>
      <c r="T125" s="2" t="b">
        <f>IF(T124=0,IF(achievement!Q$96*$B125&gt;=1,achievement!Q$97,0))</f>
        <v>0</v>
      </c>
      <c r="U125" s="2" t="b">
        <f>IF(U124=0,IF(achievement!R$96*$B125&gt;=1,achievement!R$97,0))</f>
        <v>0</v>
      </c>
      <c r="V125" s="2" t="b">
        <f>IF(V124=0,IF(achievement!S$96*$B125&gt;=1,achievement!S$97,0))</f>
        <v>0</v>
      </c>
      <c r="W125" s="2" t="b">
        <f>IF(W124=0,IF(achievement!T$96*$B125&gt;=1,achievement!T$97,0))</f>
        <v>0</v>
      </c>
      <c r="X125" s="2" t="b">
        <f>IF(X124=0,IF(achievement!U$96*$B125&gt;=1,achievement!U$97,0))</f>
        <v>0</v>
      </c>
      <c r="Y125" s="2" t="b">
        <f>IF(Y124=0,IF(achievement!V$96*$B125&gt;=1,achievement!V$97,0))</f>
        <v>0</v>
      </c>
      <c r="Z125" s="2" t="b">
        <f>IF(Z124=0,IF(achievement!W$96*$B125&gt;=1,achievement!W$97,0))</f>
        <v>0</v>
      </c>
      <c r="AA125" s="2" t="b">
        <f>IF(AA124=0,IF(achievement!X$96*$B125&gt;=1,achievement!X$97,0))</f>
        <v>0</v>
      </c>
      <c r="AB125" s="2" t="b">
        <f>IF(AB124=0,IF(achievement!Y$96*$B125&gt;=1,achievement!Y$97,0))</f>
        <v>0</v>
      </c>
      <c r="AC125" s="2" t="b">
        <f>IF(AC124=0,IF(achievement!Z$96*$B125&gt;=1,achievement!Z$97,0))</f>
        <v>0</v>
      </c>
      <c r="AD125" s="2" t="b">
        <f>IF(AD124=0,IF(achievement!AA$96*$B125&gt;=1,achievement!AA$97,0))</f>
        <v>0</v>
      </c>
      <c r="AE125" s="2" t="b">
        <f>IF(AE124=0,IF(achievement!AB$96*$B125&gt;=1,achievement!AB$97,0))</f>
        <v>0</v>
      </c>
      <c r="AF125" s="2" t="b">
        <f>IF(AF124=0,IF(achievement!AC$96*$B125&gt;=1,achievement!AC$97,0))</f>
        <v>0</v>
      </c>
      <c r="AG125" s="2" t="b">
        <f>IF(AG124=0,IF(achievement!AD$96*$B125&gt;=1,achievement!AD$97,0))</f>
        <v>0</v>
      </c>
      <c r="AH125" s="2" t="b">
        <f>IF(AH124=0,IF(achievement!AE$96*$B125&gt;=1,achievement!AE$97,0))</f>
        <v>0</v>
      </c>
      <c r="AI125" s="2" t="b">
        <f>IF(AI124=0,IF(achievement!AF$96*$B125&gt;=1,achievement!AF$97,0))</f>
        <v>0</v>
      </c>
      <c r="AJ125" s="2" t="b">
        <f>IF(AJ124=0,IF(achievement!AG$96*$B125&gt;=1,achievement!AG$97,0))</f>
        <v>0</v>
      </c>
      <c r="AK125" s="2" t="b">
        <f>IF(AK124=0,IF(achievement!AH$96*$B125&gt;=1,achievement!AH$97,0))</f>
        <v>0</v>
      </c>
      <c r="AL125" s="2" t="b">
        <f>IF(AL124=0,IF(achievement!AI$96*$B125&gt;=1,achievement!AI$97,0))</f>
        <v>0</v>
      </c>
      <c r="AM125" s="2" t="b">
        <f>IF(AM124=0,IF(achievement!AJ$96*$B125&gt;=1,achievement!AJ$97,0))</f>
        <v>0</v>
      </c>
      <c r="AN125" s="2" t="b">
        <f>IF(AN124=0,IF(achievement!AK$96*$B125&gt;=1,achievement!AK$97,0))</f>
        <v>0</v>
      </c>
      <c r="AO125" s="2" t="b">
        <f>IF(AO124=0,IF(achievement!AL$96*$B125&gt;=1,achievement!AL$97,0))</f>
        <v>0</v>
      </c>
      <c r="AP125" s="2" t="b">
        <f>IF(AP124=0,IF(achievement!AM$96*$B125&gt;=1,achievement!AM$97,0))</f>
        <v>0</v>
      </c>
      <c r="AQ125" s="2" t="b">
        <f>IF(AQ124=0,IF(achievement!AN$96*$B125&gt;=1,achievement!AN$97,0))</f>
        <v>0</v>
      </c>
      <c r="AR125" s="2" t="b">
        <f>IF(AR124=0,IF(achievement!AO$96*$B125&gt;=1,achievement!AO$97,0))</f>
        <v>0</v>
      </c>
      <c r="AS125" s="2" t="b">
        <f>IF(AS124=0,IF(achievement!AP$96*$B125&gt;=1,achievement!AP$97,0))</f>
        <v>0</v>
      </c>
      <c r="AT125" s="2" t="b">
        <f>IF(AT124=0,IF(achievement!AQ$96*$B125&gt;=1,achievement!AQ$97,0))</f>
        <v>0</v>
      </c>
      <c r="AU125" s="2" t="b">
        <f>IF(AU124=0,IF(achievement!AR$96*$B125&gt;=1,achievement!AR$97,0))</f>
        <v>0</v>
      </c>
      <c r="AV125" s="2" t="b">
        <f>IF(AV124=0,IF(achievement!AS$96*$B125&gt;=1,achievement!AS$97,0))</f>
        <v>0</v>
      </c>
      <c r="AW125" s="2"/>
      <c r="AX125" s="2"/>
      <c r="AY125" s="2"/>
    </row>
  </sheetData>
  <mergeCells count="3">
    <mergeCell ref="B2:C3"/>
    <mergeCell ref="E2:F3"/>
    <mergeCell ref="K2:L3"/>
  </mergeCells>
  <pageMargins left="0.7" right="0.7" top="0.75" bottom="0.75" header="0.3" footer="0.3"/>
  <pageSetup paperSize="9" orientation="portrait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25"/>
  <sheetViews>
    <sheetView workbookViewId="0">
      <pane ySplit="25" topLeftCell="A26" activePane="bottomLeft" state="frozen"/>
      <selection/>
      <selection pane="bottomLeft" activeCell="L14" sqref="L14"/>
    </sheetView>
  </sheetViews>
  <sheetFormatPr defaultColWidth="9" defaultRowHeight="13.5"/>
  <cols>
    <col min="2" max="7" width="18.625" customWidth="1"/>
    <col min="8" max="8" width="21.625" customWidth="1"/>
    <col min="9" max="13" width="15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K4" s="9"/>
      <c r="L4" s="9"/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8"/>
      <c r="I5" s="8"/>
      <c r="K5" s="9" t="s">
        <v>16</v>
      </c>
      <c r="L5" s="7">
        <f>总产出!L5</f>
        <v>0.990909090909091</v>
      </c>
    </row>
    <row r="6" s="1" customFormat="1" ht="18" customHeight="1" spans="2:6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31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13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611</v>
      </c>
      <c r="H25" s="9" t="s">
        <v>612</v>
      </c>
      <c r="I25" s="9" t="s">
        <v>613</v>
      </c>
      <c r="J25" s="9" t="s">
        <v>614</v>
      </c>
      <c r="K25" s="9" t="s">
        <v>615</v>
      </c>
      <c r="L25" s="9"/>
      <c r="M25" s="9"/>
    </row>
    <row r="26" s="2" customFormat="1" ht="18" customHeight="1" spans="2:11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4</v>
      </c>
      <c r="G26" s="2">
        <f>SUM(I26:M26)</f>
        <v>0</v>
      </c>
      <c r="H26" s="2">
        <f>G26</f>
        <v>0</v>
      </c>
      <c r="I26" s="2">
        <f>ROUND(IF(总产出!$E$25&gt;='top-up'!$E$13,总产出!$E$25*'top-up'!$F$13/3/15,0),0)</f>
        <v>0</v>
      </c>
      <c r="J26" s="2">
        <f>ROUND(IF(总产出!$E$25&gt;='top-up'!$E$14,总产出!$E$25*'top-up'!$F$14/2/3/15,0),0)</f>
        <v>0</v>
      </c>
      <c r="K26" s="2">
        <f>ROUND(IF(总产出!$E$25&gt;='top-up'!$E$15,总产出!$E$25*'top-up'!$F$15/3/3/15,0),0)</f>
        <v>0</v>
      </c>
    </row>
    <row r="27" s="2" customFormat="1" ht="18" customHeight="1" spans="2:11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9</v>
      </c>
      <c r="G27" s="2">
        <f t="shared" ref="G26:G89" si="2">SUM(I27:M27)</f>
        <v>0</v>
      </c>
      <c r="H27" s="2">
        <f t="shared" ref="H27:H90" si="3">G27+H26</f>
        <v>0</v>
      </c>
      <c r="I27" s="2">
        <f>ROUND(IF(总产出!$E$25&gt;='top-up'!$E$13,总产出!$E$25*'top-up'!$F$13/3/15,0),0)</f>
        <v>0</v>
      </c>
      <c r="J27" s="2">
        <f>ROUND(IF(总产出!$E$25&gt;='top-up'!$E$14,总产出!$E$25*'top-up'!$F$14/2/3/15,0),0)</f>
        <v>0</v>
      </c>
      <c r="K27" s="2">
        <f>ROUND(IF(总产出!$E$25&gt;='top-up'!$E$15,总产出!$E$25*'top-up'!$F$15/3/3/15,0),0)</f>
        <v>0</v>
      </c>
    </row>
    <row r="28" s="2" customFormat="1" ht="18" customHeight="1" spans="2:11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13</v>
      </c>
      <c r="G28" s="2">
        <f t="shared" si="2"/>
        <v>0</v>
      </c>
      <c r="H28" s="2">
        <f t="shared" si="3"/>
        <v>0</v>
      </c>
      <c r="I28" s="2">
        <f>ROUND(IF(总产出!$E$25&gt;='top-up'!$E$13,总产出!$E$25*'top-up'!$F$13/3/15,0),0)</f>
        <v>0</v>
      </c>
      <c r="J28" s="2">
        <f>ROUND(IF(总产出!$E$25&gt;='top-up'!$E$14,总产出!$E$25*'top-up'!$F$14/2/3/15,0),0)</f>
        <v>0</v>
      </c>
      <c r="K28" s="2">
        <f>ROUND(IF(总产出!$E$25&gt;='top-up'!$E$15,总产出!$E$25*'top-up'!$F$15/3/3/15,0),0)</f>
        <v>0</v>
      </c>
    </row>
    <row r="29" s="2" customFormat="1" ht="18" customHeight="1" spans="2:11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18</v>
      </c>
      <c r="G29" s="2">
        <f t="shared" si="2"/>
        <v>0</v>
      </c>
      <c r="H29" s="2">
        <f t="shared" si="3"/>
        <v>0</v>
      </c>
      <c r="I29" s="2">
        <f>ROUND(IF(总产出!$E$25&gt;='top-up'!$E$13,总产出!$E$25*'top-up'!$F$13/3/15,0),0)</f>
        <v>0</v>
      </c>
      <c r="J29" s="2">
        <f>ROUND(IF(总产出!$E$25&gt;='top-up'!$E$14,总产出!$E$25*'top-up'!$F$14/2/3/15,0),0)</f>
        <v>0</v>
      </c>
      <c r="K29" s="2">
        <f>ROUND(IF(总产出!$E$25&gt;='top-up'!$E$15,总产出!$E$25*'top-up'!$F$15/3/3/15,0),0)</f>
        <v>0</v>
      </c>
    </row>
    <row r="30" s="2" customFormat="1" ht="18" customHeight="1" spans="2:11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22</v>
      </c>
      <c r="G30" s="2">
        <f t="shared" si="2"/>
        <v>0</v>
      </c>
      <c r="H30" s="2">
        <f t="shared" si="3"/>
        <v>0</v>
      </c>
      <c r="I30" s="2">
        <f>ROUND(IF(总产出!$E$25&gt;='top-up'!$E$13,总产出!$E$25*'top-up'!$F$13/3/15,0),0)</f>
        <v>0</v>
      </c>
      <c r="J30" s="2">
        <f>ROUND(IF(总产出!$E$25&gt;='top-up'!$E$14,总产出!$E$25*'top-up'!$F$14/2/3/15,0),0)</f>
        <v>0</v>
      </c>
      <c r="K30" s="2">
        <f>ROUND(IF(总产出!$E$25&gt;='top-up'!$E$15,总产出!$E$25*'top-up'!$F$15/3/3/15,0),0)</f>
        <v>0</v>
      </c>
    </row>
    <row r="31" s="2" customFormat="1" ht="18" customHeight="1" spans="2:11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26</v>
      </c>
      <c r="G31" s="2">
        <f t="shared" si="2"/>
        <v>0</v>
      </c>
      <c r="H31" s="2">
        <f t="shared" si="3"/>
        <v>0</v>
      </c>
      <c r="I31" s="2">
        <f>ROUND(IF(总产出!$E$25&gt;='top-up'!$E$13,总产出!$E$25*'top-up'!$F$13/3/15,0),0)</f>
        <v>0</v>
      </c>
      <c r="J31" s="2">
        <f>ROUND(IF(总产出!$E$25&gt;='top-up'!$E$14,总产出!$E$25*'top-up'!$F$14/2/3/15,0),0)</f>
        <v>0</v>
      </c>
      <c r="K31" s="2">
        <f>ROUND(IF(总产出!$E$25&gt;='top-up'!$E$15,总产出!$E$25*'top-up'!$F$15/3/3/15,0),0)</f>
        <v>0</v>
      </c>
    </row>
    <row r="32" s="2" customFormat="1" ht="18" customHeight="1" spans="2:11">
      <c r="B32" s="2">
        <v>7</v>
      </c>
      <c r="C32" s="2">
        <f t="shared" si="0"/>
        <v>7000</v>
      </c>
      <c r="D32" s="2">
        <f>ROUND($C$8*$C$5+$C$8*$C$4*(1-$L$5),0)</f>
        <v>88</v>
      </c>
      <c r="E32" s="2">
        <f t="shared" si="1"/>
        <v>616</v>
      </c>
      <c r="F32" s="2">
        <f>ROUND(E32*VLOOKUP($B$10,总产出!$T$4:$U$14,2,FALSE),0)</f>
        <v>31</v>
      </c>
      <c r="G32" s="2">
        <f t="shared" si="2"/>
        <v>0</v>
      </c>
      <c r="H32" s="2">
        <f t="shared" si="3"/>
        <v>0</v>
      </c>
      <c r="I32" s="2">
        <f>ROUND(IF(总产出!$E$25&gt;='top-up'!$E$13,总产出!$E$25*'top-up'!$F$13/3/15,0),0)</f>
        <v>0</v>
      </c>
      <c r="J32" s="2">
        <f>ROUND(IF(总产出!$E$25&gt;='top-up'!$E$14,总产出!$E$25*'top-up'!$F$14/2/3/15,0),0)</f>
        <v>0</v>
      </c>
      <c r="K32" s="2">
        <f>ROUND(IF(总产出!$E$25&gt;='top-up'!$E$15,总产出!$E$25*'top-up'!$F$15/3/3/15,0),0)</f>
        <v>0</v>
      </c>
    </row>
    <row r="33" s="2" customFormat="1" ht="18" customHeight="1" spans="2:11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35</v>
      </c>
      <c r="G33" s="2">
        <f t="shared" si="2"/>
        <v>0</v>
      </c>
      <c r="H33" s="2">
        <f t="shared" si="3"/>
        <v>0</v>
      </c>
      <c r="I33" s="2">
        <f>ROUND(IF(总产出!$E$25&gt;='top-up'!$E$13,总产出!$E$25*'top-up'!$F$13/3/15,0),0)</f>
        <v>0</v>
      </c>
      <c r="J33" s="2">
        <f>ROUND(IF(总产出!$E$25&gt;='top-up'!$E$14,总产出!$E$25*'top-up'!$F$14/2/3/15,0),0)</f>
        <v>0</v>
      </c>
      <c r="K33" s="2">
        <f>ROUND(IF(总产出!$E$25&gt;='top-up'!$E$15,总产出!$E$25*'top-up'!$F$15/3/3/15,0),0)</f>
        <v>0</v>
      </c>
    </row>
    <row r="34" s="2" customFormat="1" ht="18" customHeight="1" spans="2:11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40</v>
      </c>
      <c r="G34" s="2">
        <f t="shared" si="2"/>
        <v>0</v>
      </c>
      <c r="H34" s="2">
        <f t="shared" si="3"/>
        <v>0</v>
      </c>
      <c r="I34" s="2">
        <f>ROUND(IF(总产出!$E$25&gt;='top-up'!$E$13,总产出!$E$25*'top-up'!$F$13/3/15,0),0)</f>
        <v>0</v>
      </c>
      <c r="J34" s="2">
        <f>ROUND(IF(总产出!$E$25&gt;='top-up'!$E$14,总产出!$E$25*'top-up'!$F$14/2/3/15,0),0)</f>
        <v>0</v>
      </c>
      <c r="K34" s="2">
        <f>ROUND(IF(总产出!$E$25&gt;='top-up'!$E$15,总产出!$E$25*'top-up'!$F$15/3/3/15,0),0)</f>
        <v>0</v>
      </c>
    </row>
    <row r="35" s="2" customFormat="1" ht="18" customHeight="1" spans="2:11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44</v>
      </c>
      <c r="G35" s="2">
        <f t="shared" si="2"/>
        <v>0</v>
      </c>
      <c r="H35" s="2">
        <f t="shared" si="3"/>
        <v>0</v>
      </c>
      <c r="I35" s="2">
        <f>ROUND(IF(总产出!$E$25&gt;='top-up'!$E$13,总产出!$E$25*'top-up'!$F$13/3/15,0),0)</f>
        <v>0</v>
      </c>
      <c r="J35" s="2">
        <f>ROUND(IF(总产出!$E$25&gt;='top-up'!$E$14,总产出!$E$25*'top-up'!$F$14/2/3/15,0),0)</f>
        <v>0</v>
      </c>
      <c r="K35" s="2">
        <f>ROUND(IF(总产出!$E$25&gt;='top-up'!$E$15,总产出!$E$25*'top-up'!$F$15/3/3/15,0),0)</f>
        <v>0</v>
      </c>
    </row>
    <row r="36" s="2" customFormat="1" ht="18" customHeight="1" spans="2:11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48</v>
      </c>
      <c r="G36" s="2">
        <f t="shared" si="2"/>
        <v>0</v>
      </c>
      <c r="H36" s="2">
        <f t="shared" si="3"/>
        <v>0</v>
      </c>
      <c r="I36" s="2">
        <f>ROUND(IF(总产出!$E$25&gt;='top-up'!$E$13,总产出!$E$25*'top-up'!$F$13/3/15,0),0)</f>
        <v>0</v>
      </c>
      <c r="J36" s="2">
        <f>ROUND(IF(总产出!$E$25&gt;='top-up'!$E$14,总产出!$E$25*'top-up'!$F$14/2/3/15,0),0)</f>
        <v>0</v>
      </c>
      <c r="K36" s="2">
        <f>ROUND(IF(总产出!$E$25&gt;='top-up'!$E$15,总产出!$E$25*'top-up'!$F$15/3/3/15,0),0)</f>
        <v>0</v>
      </c>
    </row>
    <row r="37" s="2" customFormat="1" ht="18" customHeight="1" spans="2:11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53</v>
      </c>
      <c r="G37" s="2">
        <f t="shared" si="2"/>
        <v>0</v>
      </c>
      <c r="H37" s="2">
        <f t="shared" si="3"/>
        <v>0</v>
      </c>
      <c r="I37" s="2">
        <f>ROUND(IF(总产出!$E$25&gt;='top-up'!$E$13,总产出!$E$25*'top-up'!$F$13/3/15,0),0)</f>
        <v>0</v>
      </c>
      <c r="J37" s="2">
        <f>ROUND(IF(总产出!$E$25&gt;='top-up'!$E$14,总产出!$E$25*'top-up'!$F$14/2/3/15,0),0)</f>
        <v>0</v>
      </c>
      <c r="K37" s="2">
        <f>ROUND(IF(总产出!$E$25&gt;='top-up'!$E$15,总产出!$E$25*'top-up'!$F$15/3/3/15,0),0)</f>
        <v>0</v>
      </c>
    </row>
    <row r="38" s="2" customFormat="1" ht="18" customHeight="1" spans="2:11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57</v>
      </c>
      <c r="G38" s="2">
        <f t="shared" si="2"/>
        <v>0</v>
      </c>
      <c r="H38" s="2">
        <f t="shared" si="3"/>
        <v>0</v>
      </c>
      <c r="I38" s="2">
        <f>ROUND(IF(总产出!$E$25&gt;='top-up'!$E$13,总产出!$E$25*'top-up'!$F$13/3/15,0),0)</f>
        <v>0</v>
      </c>
      <c r="J38" s="2">
        <f>ROUND(IF(总产出!$E$25&gt;='top-up'!$E$14,总产出!$E$25*'top-up'!$F$14/2/3/15,0),0)</f>
        <v>0</v>
      </c>
      <c r="K38" s="2">
        <f>ROUND(IF(总产出!$E$25&gt;='top-up'!$E$15,总产出!$E$25*'top-up'!$F$15/3/3/15,0),0)</f>
        <v>0</v>
      </c>
    </row>
    <row r="39" s="2" customFormat="1" ht="18" customHeight="1" spans="2:11">
      <c r="B39" s="2">
        <v>14</v>
      </c>
      <c r="C39" s="2">
        <f t="shared" si="0"/>
        <v>14000</v>
      </c>
      <c r="D39" s="2">
        <f>ROUND($C$8*$C$5+$C$8*$C$4*(1-$L$5),0)</f>
        <v>88</v>
      </c>
      <c r="E39" s="2">
        <f t="shared" si="1"/>
        <v>1232</v>
      </c>
      <c r="F39" s="2">
        <f>ROUND(E39*VLOOKUP($B$10,总产出!$T$4:$U$14,2,FALSE),0)</f>
        <v>62</v>
      </c>
      <c r="G39" s="2">
        <f t="shared" si="2"/>
        <v>0</v>
      </c>
      <c r="H39" s="2">
        <f t="shared" si="3"/>
        <v>0</v>
      </c>
      <c r="I39" s="2">
        <f>ROUND(IF(总产出!$E$25&gt;='top-up'!$E$13,总产出!$E$25*'top-up'!$F$13/3/15,0),0)</f>
        <v>0</v>
      </c>
      <c r="J39" s="2">
        <f>ROUND(IF(总产出!$E$25&gt;='top-up'!$E$14,总产出!$E$25*'top-up'!$F$14/2/3/15,0),0)</f>
        <v>0</v>
      </c>
      <c r="K39" s="2">
        <f>ROUND(IF(总产出!$E$25&gt;='top-up'!$E$15,总产出!$E$25*'top-up'!$F$15/3/3/15,0),0)</f>
        <v>0</v>
      </c>
    </row>
    <row r="40" s="2" customFormat="1" ht="18" customHeight="1" spans="2:11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66</v>
      </c>
      <c r="G40" s="2">
        <f t="shared" si="2"/>
        <v>0</v>
      </c>
      <c r="H40" s="2">
        <f t="shared" si="3"/>
        <v>0</v>
      </c>
      <c r="I40" s="2">
        <f>ROUND(IF(总产出!$E$25&gt;='top-up'!$E$13,总产出!$E$25*'top-up'!$F$13/3/15,0),0)</f>
        <v>0</v>
      </c>
      <c r="J40" s="2">
        <f>ROUND(IF(总产出!$E$25&gt;='top-up'!$E$14,总产出!$E$25*'top-up'!$F$14/2/3/15,0),0)</f>
        <v>0</v>
      </c>
      <c r="K40" s="2">
        <f>ROUND(IF(总产出!$E$25&gt;='top-up'!$E$15,总产出!$E$25*'top-up'!$F$15/3/3/15,0),0)</f>
        <v>0</v>
      </c>
    </row>
    <row r="41" s="2" customFormat="1" ht="18" customHeight="1" spans="2:8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70</v>
      </c>
      <c r="G41" s="2">
        <f t="shared" si="2"/>
        <v>0</v>
      </c>
      <c r="H41" s="2">
        <f t="shared" si="3"/>
        <v>0</v>
      </c>
    </row>
    <row r="42" s="2" customFormat="1" ht="18" customHeight="1" spans="2:8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75</v>
      </c>
      <c r="G42" s="2">
        <f t="shared" si="2"/>
        <v>0</v>
      </c>
      <c r="H42" s="2">
        <f t="shared" si="3"/>
        <v>0</v>
      </c>
    </row>
    <row r="43" s="2" customFormat="1" ht="18" customHeight="1" spans="2:8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79</v>
      </c>
      <c r="G43" s="2">
        <f t="shared" si="2"/>
        <v>0</v>
      </c>
      <c r="H43" s="2">
        <f t="shared" si="3"/>
        <v>0</v>
      </c>
    </row>
    <row r="44" s="2" customFormat="1" ht="18" customHeight="1" spans="2:8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84</v>
      </c>
      <c r="G44" s="2">
        <f t="shared" si="2"/>
        <v>0</v>
      </c>
      <c r="H44" s="2">
        <f t="shared" si="3"/>
        <v>0</v>
      </c>
    </row>
    <row r="45" s="1" customFormat="1" ht="18" customHeight="1" spans="2:13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88</v>
      </c>
      <c r="G45" s="2">
        <f t="shared" si="2"/>
        <v>0</v>
      </c>
      <c r="H45" s="2">
        <f t="shared" si="3"/>
        <v>0</v>
      </c>
      <c r="I45" s="2"/>
      <c r="J45" s="2"/>
      <c r="K45" s="2"/>
      <c r="L45" s="2"/>
      <c r="M45" s="2"/>
    </row>
    <row r="46" s="1" customFormat="1" ht="18" customHeight="1" spans="2:13">
      <c r="B46" s="2">
        <v>21</v>
      </c>
      <c r="C46" s="2">
        <f t="shared" si="0"/>
        <v>21000</v>
      </c>
      <c r="D46" s="2">
        <f>ROUND($C$8*$C$5+$C$8*$C$4*(1-$L$5),0)</f>
        <v>88</v>
      </c>
      <c r="E46" s="2">
        <f t="shared" si="1"/>
        <v>1848</v>
      </c>
      <c r="F46" s="2">
        <f>ROUND(E46*VLOOKUP($B$10,总产出!$T$4:$U$14,2,FALSE),0)</f>
        <v>92</v>
      </c>
      <c r="G46" s="2">
        <f t="shared" si="2"/>
        <v>0</v>
      </c>
      <c r="H46" s="2">
        <f t="shared" si="3"/>
        <v>0</v>
      </c>
      <c r="I46" s="2"/>
      <c r="J46" s="2"/>
      <c r="K46" s="2"/>
      <c r="L46" s="2"/>
      <c r="M46" s="2"/>
    </row>
    <row r="47" s="1" customFormat="1" ht="18" customHeight="1" spans="2:13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97</v>
      </c>
      <c r="G47" s="2">
        <f t="shared" si="2"/>
        <v>0</v>
      </c>
      <c r="H47" s="2">
        <f t="shared" si="3"/>
        <v>0</v>
      </c>
      <c r="I47" s="2"/>
      <c r="J47" s="2"/>
      <c r="K47" s="2"/>
      <c r="L47" s="2"/>
      <c r="M47" s="2"/>
    </row>
    <row r="48" s="1" customFormat="1" ht="18" customHeight="1" spans="2:13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101</v>
      </c>
      <c r="G48" s="2">
        <f t="shared" si="2"/>
        <v>0</v>
      </c>
      <c r="H48" s="2">
        <f t="shared" si="3"/>
        <v>0</v>
      </c>
      <c r="I48" s="2"/>
      <c r="J48" s="2"/>
      <c r="K48" s="2"/>
      <c r="L48" s="2"/>
      <c r="M48" s="2"/>
    </row>
    <row r="49" s="1" customFormat="1" ht="18" customHeight="1" spans="2:13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106</v>
      </c>
      <c r="G49" s="2">
        <f t="shared" si="2"/>
        <v>0</v>
      </c>
      <c r="H49" s="2">
        <f t="shared" si="3"/>
        <v>0</v>
      </c>
      <c r="I49" s="2"/>
      <c r="J49" s="2"/>
      <c r="K49" s="2"/>
      <c r="L49" s="2"/>
      <c r="M49" s="2"/>
    </row>
    <row r="50" s="1" customFormat="1" ht="18" customHeight="1" spans="2:13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110</v>
      </c>
      <c r="G50" s="2">
        <f t="shared" si="2"/>
        <v>0</v>
      </c>
      <c r="H50" s="2">
        <f t="shared" si="3"/>
        <v>0</v>
      </c>
      <c r="I50" s="2"/>
      <c r="J50" s="2"/>
      <c r="K50" s="2"/>
      <c r="L50" s="2"/>
      <c r="M50" s="2"/>
    </row>
    <row r="51" s="1" customFormat="1" ht="18" customHeight="1" spans="2:13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114</v>
      </c>
      <c r="G51" s="2">
        <f t="shared" si="2"/>
        <v>0</v>
      </c>
      <c r="H51" s="2">
        <f t="shared" si="3"/>
        <v>0</v>
      </c>
      <c r="I51" s="2"/>
      <c r="J51" s="2"/>
      <c r="K51" s="2"/>
      <c r="L51" s="2"/>
      <c r="M51" s="2"/>
    </row>
    <row r="52" s="1" customFormat="1" ht="18" customHeight="1" spans="2:13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119</v>
      </c>
      <c r="G52" s="2">
        <f t="shared" si="2"/>
        <v>0</v>
      </c>
      <c r="H52" s="2">
        <f t="shared" si="3"/>
        <v>0</v>
      </c>
      <c r="I52" s="2"/>
      <c r="J52" s="2"/>
      <c r="K52" s="2"/>
      <c r="L52" s="2"/>
      <c r="M52" s="2"/>
    </row>
    <row r="53" s="1" customFormat="1" ht="18" customHeight="1" spans="2:13">
      <c r="B53" s="2">
        <v>28</v>
      </c>
      <c r="C53" s="2">
        <f t="shared" si="0"/>
        <v>28000</v>
      </c>
      <c r="D53" s="2">
        <f>ROUND($C$8*$C$5+$C$8*$C$4*(1-$L$5),0)</f>
        <v>88</v>
      </c>
      <c r="E53" s="2">
        <f t="shared" si="1"/>
        <v>2464</v>
      </c>
      <c r="F53" s="2">
        <f>ROUND(E53*VLOOKUP($B$10,总产出!$T$4:$U$14,2,FALSE),0)</f>
        <v>123</v>
      </c>
      <c r="G53" s="2">
        <f t="shared" si="2"/>
        <v>0</v>
      </c>
      <c r="H53" s="2">
        <f t="shared" si="3"/>
        <v>0</v>
      </c>
      <c r="I53" s="2"/>
      <c r="J53" s="2"/>
      <c r="K53" s="2"/>
      <c r="L53" s="2"/>
      <c r="M53" s="2"/>
    </row>
    <row r="54" s="1" customFormat="1" ht="18" customHeight="1" spans="2:13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128</v>
      </c>
      <c r="G54" s="2">
        <f t="shared" si="2"/>
        <v>0</v>
      </c>
      <c r="H54" s="2">
        <f t="shared" si="3"/>
        <v>0</v>
      </c>
      <c r="I54" s="2"/>
      <c r="J54" s="2"/>
      <c r="K54" s="2"/>
      <c r="L54" s="2"/>
      <c r="M54" s="2"/>
    </row>
    <row r="55" s="1" customFormat="1" ht="18" customHeight="1" spans="2:13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132</v>
      </c>
      <c r="G55" s="2">
        <f t="shared" si="2"/>
        <v>0</v>
      </c>
      <c r="H55" s="2">
        <f t="shared" si="3"/>
        <v>0</v>
      </c>
      <c r="I55" s="2"/>
      <c r="J55" s="2"/>
      <c r="K55" s="2"/>
      <c r="L55" s="2"/>
      <c r="M55" s="2"/>
    </row>
    <row r="56" s="1" customFormat="1" ht="18" customHeight="1" spans="2:13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136</v>
      </c>
      <c r="G56" s="2">
        <f t="shared" si="2"/>
        <v>0</v>
      </c>
      <c r="H56" s="2">
        <f t="shared" si="3"/>
        <v>0</v>
      </c>
      <c r="I56" s="2"/>
      <c r="J56" s="2"/>
      <c r="K56" s="2"/>
      <c r="L56" s="2"/>
      <c r="M56" s="2"/>
    </row>
    <row r="57" s="1" customFormat="1" ht="18" customHeight="1" spans="2:13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141</v>
      </c>
      <c r="G57" s="2">
        <f t="shared" si="2"/>
        <v>0</v>
      </c>
      <c r="H57" s="2">
        <f t="shared" si="3"/>
        <v>0</v>
      </c>
      <c r="I57" s="2"/>
      <c r="J57" s="2"/>
      <c r="K57" s="2"/>
      <c r="L57" s="2"/>
      <c r="M57" s="2"/>
    </row>
    <row r="58" s="1" customFormat="1" ht="18" customHeight="1" spans="2:13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145</v>
      </c>
      <c r="G58" s="2">
        <f t="shared" si="2"/>
        <v>0</v>
      </c>
      <c r="H58" s="2">
        <f t="shared" si="3"/>
        <v>0</v>
      </c>
      <c r="I58" s="2"/>
      <c r="J58" s="2"/>
      <c r="K58" s="2"/>
      <c r="L58" s="2"/>
      <c r="M58" s="2"/>
    </row>
    <row r="59" s="1" customFormat="1" ht="18" customHeight="1" spans="2:13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150</v>
      </c>
      <c r="G59" s="2">
        <f t="shared" si="2"/>
        <v>0</v>
      </c>
      <c r="H59" s="2">
        <f t="shared" si="3"/>
        <v>0</v>
      </c>
      <c r="I59" s="2"/>
      <c r="J59" s="2"/>
      <c r="K59" s="2"/>
      <c r="L59" s="2"/>
      <c r="M59" s="2"/>
    </row>
    <row r="60" s="1" customFormat="1" ht="18" customHeight="1" spans="2:13">
      <c r="B60" s="2">
        <v>35</v>
      </c>
      <c r="C60" s="2">
        <f t="shared" si="0"/>
        <v>35000</v>
      </c>
      <c r="D60" s="2">
        <f>ROUND($C$8*$C$5+$C$8*$C$4*(1-$L$5),0)</f>
        <v>88</v>
      </c>
      <c r="E60" s="2">
        <f t="shared" si="1"/>
        <v>3080</v>
      </c>
      <c r="F60" s="2">
        <f>ROUND(E60*VLOOKUP($B$10,总产出!$T$4:$U$14,2,FALSE),0)</f>
        <v>154</v>
      </c>
      <c r="G60" s="2">
        <f t="shared" si="2"/>
        <v>0</v>
      </c>
      <c r="H60" s="2">
        <f t="shared" si="3"/>
        <v>0</v>
      </c>
      <c r="I60" s="2"/>
      <c r="J60" s="2"/>
      <c r="K60" s="2"/>
      <c r="L60" s="2"/>
      <c r="M60" s="2"/>
    </row>
    <row r="61" s="1" customFormat="1" ht="18" customHeight="1" spans="2:13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158</v>
      </c>
      <c r="G61" s="2">
        <f t="shared" si="2"/>
        <v>0</v>
      </c>
      <c r="H61" s="2">
        <f t="shared" si="3"/>
        <v>0</v>
      </c>
      <c r="I61" s="2"/>
      <c r="J61" s="2"/>
      <c r="K61" s="2"/>
      <c r="L61" s="2"/>
      <c r="M61" s="2"/>
    </row>
    <row r="62" s="1" customFormat="1" ht="18" customHeight="1" spans="2:13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163</v>
      </c>
      <c r="G62" s="2">
        <f t="shared" si="2"/>
        <v>0</v>
      </c>
      <c r="H62" s="2">
        <f t="shared" si="3"/>
        <v>0</v>
      </c>
      <c r="I62" s="2"/>
      <c r="J62" s="2"/>
      <c r="K62" s="2"/>
      <c r="L62" s="2"/>
      <c r="M62" s="2"/>
    </row>
    <row r="63" s="1" customFormat="1" ht="18" customHeight="1" spans="2:13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167</v>
      </c>
      <c r="G63" s="2">
        <f t="shared" si="2"/>
        <v>0</v>
      </c>
      <c r="H63" s="2">
        <f t="shared" si="3"/>
        <v>0</v>
      </c>
      <c r="I63" s="2"/>
      <c r="J63" s="2"/>
      <c r="K63" s="2"/>
      <c r="L63" s="2"/>
      <c r="M63" s="2"/>
    </row>
    <row r="64" s="1" customFormat="1" ht="18" customHeight="1" spans="2:13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172</v>
      </c>
      <c r="G64" s="2">
        <f t="shared" si="2"/>
        <v>0</v>
      </c>
      <c r="H64" s="2">
        <f t="shared" si="3"/>
        <v>0</v>
      </c>
      <c r="I64" s="2"/>
      <c r="J64" s="2"/>
      <c r="K64" s="2"/>
      <c r="L64" s="2"/>
      <c r="M64" s="2"/>
    </row>
    <row r="65" s="1" customFormat="1" ht="18" customHeight="1" spans="2:13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176</v>
      </c>
      <c r="G65" s="2">
        <f t="shared" si="2"/>
        <v>0</v>
      </c>
      <c r="H65" s="2">
        <f t="shared" si="3"/>
        <v>0</v>
      </c>
      <c r="I65" s="2"/>
      <c r="J65" s="2"/>
      <c r="K65" s="2"/>
      <c r="L65" s="2"/>
      <c r="M65" s="2"/>
    </row>
    <row r="66" s="1" customFormat="1" ht="18" customHeight="1" spans="2:13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180</v>
      </c>
      <c r="G66" s="2">
        <f t="shared" si="2"/>
        <v>0</v>
      </c>
      <c r="H66" s="2">
        <f t="shared" si="3"/>
        <v>0</v>
      </c>
      <c r="I66" s="2"/>
      <c r="J66" s="2"/>
      <c r="K66" s="2"/>
      <c r="L66" s="2"/>
      <c r="M66" s="2"/>
    </row>
    <row r="67" s="1" customFormat="1" ht="18" customHeight="1" spans="2:13">
      <c r="B67" s="2">
        <v>42</v>
      </c>
      <c r="C67" s="2">
        <f t="shared" si="0"/>
        <v>42000</v>
      </c>
      <c r="D67" s="2">
        <f>ROUND($C$8*$C$5+$C$8*$C$4*(1-$L$5),0)</f>
        <v>88</v>
      </c>
      <c r="E67" s="2">
        <f t="shared" si="1"/>
        <v>3696</v>
      </c>
      <c r="F67" s="2">
        <f>ROUND(E67*VLOOKUP($B$10,总产出!$T$4:$U$14,2,FALSE),0)</f>
        <v>185</v>
      </c>
      <c r="G67" s="2">
        <f t="shared" si="2"/>
        <v>0</v>
      </c>
      <c r="H67" s="2">
        <f t="shared" si="3"/>
        <v>0</v>
      </c>
      <c r="I67" s="2"/>
      <c r="J67" s="2"/>
      <c r="K67" s="2"/>
      <c r="L67" s="2"/>
      <c r="M67" s="2"/>
    </row>
    <row r="68" s="1" customFormat="1" ht="18" customHeight="1" spans="2:13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189</v>
      </c>
      <c r="G68" s="2">
        <f t="shared" si="2"/>
        <v>0</v>
      </c>
      <c r="H68" s="2">
        <f t="shared" si="3"/>
        <v>0</v>
      </c>
      <c r="I68" s="2"/>
      <c r="J68" s="2"/>
      <c r="K68" s="2"/>
      <c r="L68" s="2"/>
      <c r="M68" s="2"/>
    </row>
    <row r="69" s="1" customFormat="1" ht="18" customHeight="1" spans="2:13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194</v>
      </c>
      <c r="G69" s="2">
        <f t="shared" si="2"/>
        <v>0</v>
      </c>
      <c r="H69" s="2">
        <f t="shared" si="3"/>
        <v>0</v>
      </c>
      <c r="I69" s="2"/>
      <c r="J69" s="2"/>
      <c r="K69" s="2"/>
      <c r="L69" s="2"/>
      <c r="M69" s="2"/>
    </row>
    <row r="70" s="1" customFormat="1" ht="18" customHeight="1" spans="2:13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198</v>
      </c>
      <c r="G70" s="2">
        <f t="shared" si="2"/>
        <v>0</v>
      </c>
      <c r="H70" s="2">
        <f t="shared" si="3"/>
        <v>0</v>
      </c>
      <c r="I70" s="2"/>
      <c r="J70" s="2"/>
      <c r="K70" s="2"/>
      <c r="L70" s="2"/>
      <c r="M70" s="2"/>
    </row>
    <row r="71" s="1" customFormat="1" ht="18" customHeight="1" spans="2:13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202</v>
      </c>
      <c r="G71" s="2">
        <f t="shared" si="2"/>
        <v>0</v>
      </c>
      <c r="H71" s="2">
        <f t="shared" si="3"/>
        <v>0</v>
      </c>
      <c r="I71" s="2"/>
      <c r="J71" s="2"/>
      <c r="K71" s="2"/>
      <c r="L71" s="2"/>
      <c r="M71" s="2"/>
    </row>
    <row r="72" s="1" customFormat="1" ht="18" customHeight="1" spans="2:13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207</v>
      </c>
      <c r="G72" s="2">
        <f t="shared" si="2"/>
        <v>0</v>
      </c>
      <c r="H72" s="2">
        <f t="shared" si="3"/>
        <v>0</v>
      </c>
      <c r="I72" s="2"/>
      <c r="J72" s="2"/>
      <c r="K72" s="2"/>
      <c r="L72" s="2"/>
      <c r="M72" s="2"/>
    </row>
    <row r="73" s="1" customFormat="1" ht="18" customHeight="1" spans="2:13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211</v>
      </c>
      <c r="G73" s="2">
        <f t="shared" si="2"/>
        <v>0</v>
      </c>
      <c r="H73" s="2">
        <f t="shared" si="3"/>
        <v>0</v>
      </c>
      <c r="I73" s="2"/>
      <c r="J73" s="2"/>
      <c r="K73" s="2"/>
      <c r="L73" s="2"/>
      <c r="M73" s="2"/>
    </row>
    <row r="74" s="1" customFormat="1" ht="18" customHeight="1" spans="2:13">
      <c r="B74" s="2">
        <v>49</v>
      </c>
      <c r="C74" s="2">
        <f t="shared" si="0"/>
        <v>49000</v>
      </c>
      <c r="D74" s="2">
        <f>ROUND($C$8*$C$5+$C$8*$C$4*(1-$L$5),0)</f>
        <v>88</v>
      </c>
      <c r="E74" s="2">
        <f t="shared" si="1"/>
        <v>4312</v>
      </c>
      <c r="F74" s="2">
        <f>ROUND(E74*VLOOKUP($B$10,总产出!$T$4:$U$14,2,FALSE),0)</f>
        <v>216</v>
      </c>
      <c r="G74" s="2">
        <f t="shared" si="2"/>
        <v>0</v>
      </c>
      <c r="H74" s="2">
        <f t="shared" si="3"/>
        <v>0</v>
      </c>
      <c r="I74" s="2"/>
      <c r="J74" s="2"/>
      <c r="K74" s="2"/>
      <c r="L74" s="2"/>
      <c r="M74" s="2"/>
    </row>
    <row r="75" s="1" customFormat="1" ht="18" customHeight="1" spans="2:13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220</v>
      </c>
      <c r="G75" s="2">
        <f t="shared" si="2"/>
        <v>0</v>
      </c>
      <c r="H75" s="2">
        <f t="shared" si="3"/>
        <v>0</v>
      </c>
      <c r="I75" s="2"/>
      <c r="J75" s="2"/>
      <c r="K75" s="2"/>
      <c r="L75" s="2"/>
      <c r="M75" s="2"/>
    </row>
    <row r="76" s="1" customFormat="1" ht="18" customHeight="1" spans="2:13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224</v>
      </c>
      <c r="G76" s="2">
        <f t="shared" si="2"/>
        <v>0</v>
      </c>
      <c r="H76" s="2">
        <f t="shared" si="3"/>
        <v>0</v>
      </c>
      <c r="I76" s="2"/>
      <c r="J76" s="2"/>
      <c r="K76" s="2"/>
      <c r="L76" s="2"/>
      <c r="M76" s="2"/>
    </row>
    <row r="77" s="1" customFormat="1" ht="18" customHeight="1" spans="2:13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229</v>
      </c>
      <c r="G77" s="2">
        <f t="shared" si="2"/>
        <v>0</v>
      </c>
      <c r="H77" s="2">
        <f t="shared" si="3"/>
        <v>0</v>
      </c>
      <c r="I77" s="2"/>
      <c r="J77" s="2"/>
      <c r="K77" s="2"/>
      <c r="L77" s="2"/>
      <c r="M77" s="2"/>
    </row>
    <row r="78" s="1" customFormat="1" ht="18" customHeight="1" spans="2:13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233</v>
      </c>
      <c r="G78" s="2">
        <f t="shared" si="2"/>
        <v>0</v>
      </c>
      <c r="H78" s="2">
        <f t="shared" si="3"/>
        <v>0</v>
      </c>
      <c r="I78" s="2"/>
      <c r="J78" s="2"/>
      <c r="K78" s="2"/>
      <c r="L78" s="2"/>
      <c r="M78" s="2"/>
    </row>
    <row r="79" s="1" customFormat="1" ht="18" customHeight="1" spans="2:13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238</v>
      </c>
      <c r="G79" s="2">
        <f t="shared" si="2"/>
        <v>0</v>
      </c>
      <c r="H79" s="2">
        <f t="shared" si="3"/>
        <v>0</v>
      </c>
      <c r="I79" s="2"/>
      <c r="J79" s="2"/>
      <c r="K79" s="2"/>
      <c r="L79" s="2"/>
      <c r="M79" s="2"/>
    </row>
    <row r="80" s="1" customFormat="1" ht="18" customHeight="1" spans="2:13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242</v>
      </c>
      <c r="G80" s="2">
        <f t="shared" si="2"/>
        <v>0</v>
      </c>
      <c r="H80" s="2">
        <f t="shared" si="3"/>
        <v>0</v>
      </c>
      <c r="I80" s="2"/>
      <c r="J80" s="2"/>
      <c r="K80" s="2"/>
      <c r="L80" s="2"/>
      <c r="M80" s="2"/>
    </row>
    <row r="81" s="1" customFormat="1" ht="18" customHeight="1" spans="2:13">
      <c r="B81" s="2">
        <v>56</v>
      </c>
      <c r="C81" s="2">
        <f t="shared" si="0"/>
        <v>56000</v>
      </c>
      <c r="D81" s="2">
        <f>ROUND($C$8*$C$5+$C$8*$C$4*(1-$L$5),0)</f>
        <v>88</v>
      </c>
      <c r="E81" s="2">
        <f t="shared" si="1"/>
        <v>4928</v>
      </c>
      <c r="F81" s="2">
        <f>ROUND(E81*VLOOKUP($B$10,总产出!$T$4:$U$14,2,FALSE),0)</f>
        <v>246</v>
      </c>
      <c r="G81" s="2">
        <f t="shared" si="2"/>
        <v>0</v>
      </c>
      <c r="H81" s="2">
        <f t="shared" si="3"/>
        <v>0</v>
      </c>
      <c r="I81" s="2"/>
      <c r="J81" s="2"/>
      <c r="K81" s="2"/>
      <c r="L81" s="2"/>
      <c r="M81" s="2"/>
    </row>
    <row r="82" s="1" customFormat="1" ht="18" customHeight="1" spans="2:13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251</v>
      </c>
      <c r="G82" s="2">
        <f t="shared" si="2"/>
        <v>0</v>
      </c>
      <c r="H82" s="2">
        <f t="shared" si="3"/>
        <v>0</v>
      </c>
      <c r="I82" s="2"/>
      <c r="J82" s="2"/>
      <c r="K82" s="2"/>
      <c r="L82" s="2"/>
      <c r="M82" s="2"/>
    </row>
    <row r="83" s="1" customFormat="1" ht="18" customHeight="1" spans="2:13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255</v>
      </c>
      <c r="G83" s="2">
        <f t="shared" si="2"/>
        <v>0</v>
      </c>
      <c r="H83" s="2">
        <f t="shared" si="3"/>
        <v>0</v>
      </c>
      <c r="I83" s="2"/>
      <c r="J83" s="2"/>
      <c r="K83" s="2"/>
      <c r="L83" s="2"/>
      <c r="M83" s="2"/>
    </row>
    <row r="84" s="1" customFormat="1" ht="18" customHeight="1" spans="2:13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260</v>
      </c>
      <c r="G84" s="2">
        <f t="shared" si="2"/>
        <v>0</v>
      </c>
      <c r="H84" s="2">
        <f t="shared" si="3"/>
        <v>0</v>
      </c>
      <c r="I84" s="2"/>
      <c r="J84" s="2"/>
      <c r="K84" s="2"/>
      <c r="L84" s="2"/>
      <c r="M84" s="2"/>
    </row>
    <row r="85" s="1" customFormat="1" ht="18" customHeight="1" spans="2:13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264</v>
      </c>
      <c r="G85" s="2">
        <f t="shared" si="2"/>
        <v>0</v>
      </c>
      <c r="H85" s="2">
        <f t="shared" si="3"/>
        <v>0</v>
      </c>
      <c r="I85" s="2"/>
      <c r="J85" s="2"/>
      <c r="K85" s="2"/>
      <c r="L85" s="2"/>
      <c r="M85" s="2"/>
    </row>
    <row r="86" s="1" customFormat="1" ht="18" customHeight="1" spans="2:13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268</v>
      </c>
      <c r="G86" s="2">
        <f t="shared" si="2"/>
        <v>0</v>
      </c>
      <c r="H86" s="2">
        <f t="shared" si="3"/>
        <v>0</v>
      </c>
      <c r="I86" s="2"/>
      <c r="J86" s="2"/>
      <c r="K86" s="2"/>
      <c r="L86" s="2"/>
      <c r="M86" s="2"/>
    </row>
    <row r="87" s="1" customFormat="1" ht="18" customHeight="1" spans="2:13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273</v>
      </c>
      <c r="G87" s="2">
        <f t="shared" si="2"/>
        <v>0</v>
      </c>
      <c r="H87" s="2">
        <f t="shared" si="3"/>
        <v>0</v>
      </c>
      <c r="I87" s="2"/>
      <c r="J87" s="2"/>
      <c r="K87" s="2"/>
      <c r="L87" s="2"/>
      <c r="M87" s="2"/>
    </row>
    <row r="88" s="1" customFormat="1" ht="18" customHeight="1" spans="2:13">
      <c r="B88" s="2">
        <v>63</v>
      </c>
      <c r="C88" s="2">
        <f t="shared" si="0"/>
        <v>63000</v>
      </c>
      <c r="D88" s="2">
        <f>ROUND($C$8*$C$5+$C$8*$C$4*(1-$L$5),0)</f>
        <v>88</v>
      </c>
      <c r="E88" s="2">
        <f t="shared" si="1"/>
        <v>5544</v>
      </c>
      <c r="F88" s="2">
        <f>ROUND(E88*VLOOKUP($B$10,总产出!$T$4:$U$14,2,FALSE),0)</f>
        <v>277</v>
      </c>
      <c r="G88" s="2">
        <f t="shared" si="2"/>
        <v>0</v>
      </c>
      <c r="H88" s="2">
        <f t="shared" si="3"/>
        <v>0</v>
      </c>
      <c r="I88" s="2"/>
      <c r="J88" s="2"/>
      <c r="K88" s="2"/>
      <c r="L88" s="2"/>
      <c r="M88" s="2"/>
    </row>
    <row r="89" s="1" customFormat="1" ht="18" customHeight="1" spans="2:13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282</v>
      </c>
      <c r="G89" s="2">
        <f t="shared" si="2"/>
        <v>0</v>
      </c>
      <c r="H89" s="2">
        <f t="shared" si="3"/>
        <v>0</v>
      </c>
      <c r="I89" s="2"/>
      <c r="J89" s="2"/>
      <c r="K89" s="2"/>
      <c r="L89" s="2"/>
      <c r="M89" s="2"/>
    </row>
    <row r="90" s="1" customFormat="1" ht="18" customHeight="1" spans="2:13">
      <c r="B90" s="2">
        <v>65</v>
      </c>
      <c r="C90" s="2">
        <f t="shared" ref="C90:C125" si="4">$C$8*B90</f>
        <v>65000</v>
      </c>
      <c r="D90" s="2">
        <f>ROUND($C$8*$C$5+$C$8*$C$4*(1-$L$5),0)</f>
        <v>88</v>
      </c>
      <c r="E90" s="2">
        <f t="shared" ref="E90:E125" si="5">D90*B90</f>
        <v>5720</v>
      </c>
      <c r="F90" s="2">
        <f>ROUND(E90*VLOOKUP($B$10,总产出!$T$4:$U$14,2,FALSE),0)</f>
        <v>286</v>
      </c>
      <c r="G90" s="2">
        <f t="shared" ref="G90:G125" si="6">SUM(I90:M90)</f>
        <v>0</v>
      </c>
      <c r="H90" s="2">
        <f t="shared" si="3"/>
        <v>0</v>
      </c>
      <c r="I90" s="2"/>
      <c r="J90" s="2"/>
      <c r="K90" s="2"/>
      <c r="L90" s="2"/>
      <c r="M90" s="2"/>
    </row>
    <row r="91" s="1" customFormat="1" ht="18" customHeight="1" spans="2:13">
      <c r="B91" s="2">
        <v>66</v>
      </c>
      <c r="C91" s="2">
        <f t="shared" si="4"/>
        <v>66000</v>
      </c>
      <c r="D91" s="2">
        <f>ROUND($C$8*$C$5+$C$8*$C$4*(1-$L$5),0)</f>
        <v>88</v>
      </c>
      <c r="E91" s="2">
        <f t="shared" si="5"/>
        <v>5808</v>
      </c>
      <c r="F91" s="2">
        <f>ROUND(E91*VLOOKUP($B$10,总产出!$T$4:$U$14,2,FALSE),0)</f>
        <v>290</v>
      </c>
      <c r="G91" s="2">
        <f t="shared" si="6"/>
        <v>0</v>
      </c>
      <c r="H91" s="2">
        <f t="shared" ref="H91:H125" si="7">G91+H90</f>
        <v>0</v>
      </c>
      <c r="I91" s="2"/>
      <c r="J91" s="2"/>
      <c r="K91" s="2"/>
      <c r="L91" s="2"/>
      <c r="M91" s="2"/>
    </row>
    <row r="92" s="1" customFormat="1" ht="18" customHeight="1" spans="2:13">
      <c r="B92" s="2">
        <v>67</v>
      </c>
      <c r="C92" s="2">
        <f t="shared" si="4"/>
        <v>67000</v>
      </c>
      <c r="D92" s="2">
        <f>ROUND($C$8*$C$5+$C$8*$C$4*(1-$L$5),0)</f>
        <v>88</v>
      </c>
      <c r="E92" s="2">
        <f t="shared" si="5"/>
        <v>5896</v>
      </c>
      <c r="F92" s="2">
        <f>ROUND(E92*VLOOKUP($B$10,总产出!$T$4:$U$14,2,FALSE),0)</f>
        <v>295</v>
      </c>
      <c r="G92" s="2">
        <f t="shared" si="6"/>
        <v>0</v>
      </c>
      <c r="H92" s="2">
        <f t="shared" si="7"/>
        <v>0</v>
      </c>
      <c r="I92" s="2"/>
      <c r="J92" s="2"/>
      <c r="K92" s="2"/>
      <c r="L92" s="2"/>
      <c r="M92" s="2"/>
    </row>
    <row r="93" s="1" customFormat="1" ht="18" customHeight="1" spans="2:13">
      <c r="B93" s="2">
        <v>68</v>
      </c>
      <c r="C93" s="2">
        <f t="shared" si="4"/>
        <v>68000</v>
      </c>
      <c r="D93" s="2">
        <f>ROUND($C$8*$C$5+$C$8*$C$4*(1-$L$5),0)</f>
        <v>88</v>
      </c>
      <c r="E93" s="2">
        <f t="shared" si="5"/>
        <v>5984</v>
      </c>
      <c r="F93" s="2">
        <f>ROUND(E93*VLOOKUP($B$10,总产出!$T$4:$U$14,2,FALSE),0)</f>
        <v>299</v>
      </c>
      <c r="G93" s="2">
        <f t="shared" si="6"/>
        <v>0</v>
      </c>
      <c r="H93" s="2">
        <f t="shared" si="7"/>
        <v>0</v>
      </c>
      <c r="I93" s="2"/>
      <c r="J93" s="2"/>
      <c r="K93" s="2"/>
      <c r="L93" s="2"/>
      <c r="M93" s="2"/>
    </row>
    <row r="94" s="1" customFormat="1" ht="18" customHeight="1" spans="2:13">
      <c r="B94" s="2">
        <v>69</v>
      </c>
      <c r="C94" s="2">
        <f t="shared" si="4"/>
        <v>69000</v>
      </c>
      <c r="D94" s="2">
        <f>ROUND($C$8*$C$5+$C$8*$C$4*(1-$L$5),0)</f>
        <v>88</v>
      </c>
      <c r="E94" s="2">
        <f t="shared" si="5"/>
        <v>6072</v>
      </c>
      <c r="F94" s="2">
        <f>ROUND(E94*VLOOKUP($B$10,总产出!$T$4:$U$14,2,FALSE),0)</f>
        <v>304</v>
      </c>
      <c r="G94" s="2">
        <f t="shared" si="6"/>
        <v>0</v>
      </c>
      <c r="H94" s="2">
        <f t="shared" si="7"/>
        <v>0</v>
      </c>
      <c r="I94" s="2"/>
      <c r="J94" s="2"/>
      <c r="K94" s="2"/>
      <c r="L94" s="2"/>
      <c r="M94" s="2"/>
    </row>
    <row r="95" s="1" customFormat="1" ht="18" customHeight="1" spans="2:13">
      <c r="B95" s="2">
        <v>70</v>
      </c>
      <c r="C95" s="2">
        <f t="shared" si="4"/>
        <v>70000</v>
      </c>
      <c r="D95" s="2">
        <f>ROUND($C$8*$C$5+$C$8*$C$4*(1-$L$5),0)</f>
        <v>88</v>
      </c>
      <c r="E95" s="2">
        <f t="shared" si="5"/>
        <v>6160</v>
      </c>
      <c r="F95" s="2">
        <f>ROUND(E95*VLOOKUP($B$10,总产出!$T$4:$U$14,2,FALSE),0)</f>
        <v>308</v>
      </c>
      <c r="G95" s="2">
        <f t="shared" si="6"/>
        <v>0</v>
      </c>
      <c r="H95" s="2">
        <f t="shared" si="7"/>
        <v>0</v>
      </c>
      <c r="I95" s="2"/>
      <c r="J95" s="2"/>
      <c r="K95" s="2"/>
      <c r="L95" s="2"/>
      <c r="M95" s="2"/>
    </row>
    <row r="96" s="1" customFormat="1" ht="18" customHeight="1" spans="2:13">
      <c r="B96" s="2">
        <v>71</v>
      </c>
      <c r="C96" s="2">
        <f t="shared" si="4"/>
        <v>71000</v>
      </c>
      <c r="D96" s="2">
        <f>ROUND($C$8*$C$5+$C$8*$C$4*(1-$L$5),0)</f>
        <v>88</v>
      </c>
      <c r="E96" s="2">
        <f t="shared" si="5"/>
        <v>6248</v>
      </c>
      <c r="F96" s="2">
        <f>ROUND(E96*VLOOKUP($B$10,总产出!$T$4:$U$14,2,FALSE),0)</f>
        <v>312</v>
      </c>
      <c r="G96" s="2">
        <f t="shared" si="6"/>
        <v>0</v>
      </c>
      <c r="H96" s="2">
        <f t="shared" si="7"/>
        <v>0</v>
      </c>
      <c r="I96" s="2"/>
      <c r="J96" s="2"/>
      <c r="K96" s="2"/>
      <c r="L96" s="2"/>
      <c r="M96" s="2"/>
    </row>
    <row r="97" s="1" customFormat="1" ht="18" customHeight="1" spans="2:13">
      <c r="B97" s="2">
        <v>72</v>
      </c>
      <c r="C97" s="2">
        <f t="shared" si="4"/>
        <v>72000</v>
      </c>
      <c r="D97" s="2">
        <f>ROUND($C$8*$C$5+$C$8*$C$4*(1-$L$5),0)</f>
        <v>88</v>
      </c>
      <c r="E97" s="2">
        <f t="shared" si="5"/>
        <v>6336</v>
      </c>
      <c r="F97" s="2">
        <f>ROUND(E97*VLOOKUP($B$10,总产出!$T$4:$U$14,2,FALSE),0)</f>
        <v>317</v>
      </c>
      <c r="G97" s="2">
        <f t="shared" si="6"/>
        <v>0</v>
      </c>
      <c r="H97" s="2">
        <f t="shared" si="7"/>
        <v>0</v>
      </c>
      <c r="I97" s="2"/>
      <c r="J97" s="2"/>
      <c r="K97" s="2"/>
      <c r="L97" s="2"/>
      <c r="M97" s="2"/>
    </row>
    <row r="98" s="1" customFormat="1" ht="18" customHeight="1" spans="2:13">
      <c r="B98" s="2">
        <v>73</v>
      </c>
      <c r="C98" s="2">
        <f t="shared" si="4"/>
        <v>73000</v>
      </c>
      <c r="D98" s="2">
        <f>ROUND($C$8*$C$5+$C$8*$C$4*(1-$L$5),0)</f>
        <v>88</v>
      </c>
      <c r="E98" s="2">
        <f t="shared" si="5"/>
        <v>6424</v>
      </c>
      <c r="F98" s="2">
        <f>ROUND(E98*VLOOKUP($B$10,总产出!$T$4:$U$14,2,FALSE),0)</f>
        <v>321</v>
      </c>
      <c r="G98" s="2">
        <f t="shared" si="6"/>
        <v>0</v>
      </c>
      <c r="H98" s="2">
        <f t="shared" si="7"/>
        <v>0</v>
      </c>
      <c r="I98" s="2"/>
      <c r="J98" s="2"/>
      <c r="K98" s="2"/>
      <c r="L98" s="2"/>
      <c r="M98" s="2"/>
    </row>
    <row r="99" s="1" customFormat="1" ht="18" customHeight="1" spans="2:13">
      <c r="B99" s="2">
        <v>74</v>
      </c>
      <c r="C99" s="2">
        <f t="shared" si="4"/>
        <v>74000</v>
      </c>
      <c r="D99" s="2">
        <f>ROUND($C$8*$C$5+$C$8*$C$4*(1-$L$5),0)</f>
        <v>88</v>
      </c>
      <c r="E99" s="2">
        <f t="shared" si="5"/>
        <v>6512</v>
      </c>
      <c r="F99" s="2">
        <f>ROUND(E99*VLOOKUP($B$10,总产出!$T$4:$U$14,2,FALSE),0)</f>
        <v>326</v>
      </c>
      <c r="G99" s="2">
        <f t="shared" si="6"/>
        <v>0</v>
      </c>
      <c r="H99" s="2">
        <f t="shared" si="7"/>
        <v>0</v>
      </c>
      <c r="I99" s="2"/>
      <c r="J99" s="2"/>
      <c r="K99" s="2"/>
      <c r="L99" s="2"/>
      <c r="M99" s="2"/>
    </row>
    <row r="100" s="1" customFormat="1" ht="18" customHeight="1" spans="2:13">
      <c r="B100" s="2">
        <v>75</v>
      </c>
      <c r="C100" s="2">
        <f t="shared" si="4"/>
        <v>75000</v>
      </c>
      <c r="D100" s="2">
        <f>ROUND($C$8*$C$5+$C$8*$C$4*(1-$L$5),0)</f>
        <v>88</v>
      </c>
      <c r="E100" s="2">
        <f t="shared" si="5"/>
        <v>6600</v>
      </c>
      <c r="F100" s="2">
        <f>ROUND(E100*VLOOKUP($B$10,总产出!$T$4:$U$14,2,FALSE),0)</f>
        <v>330</v>
      </c>
      <c r="G100" s="2">
        <f t="shared" si="6"/>
        <v>0</v>
      </c>
      <c r="H100" s="2">
        <f t="shared" si="7"/>
        <v>0</v>
      </c>
      <c r="I100" s="2"/>
      <c r="J100" s="2"/>
      <c r="K100" s="2"/>
      <c r="L100" s="2"/>
      <c r="M100" s="2"/>
    </row>
    <row r="101" s="1" customFormat="1" ht="18" customHeight="1" spans="2:13">
      <c r="B101" s="2">
        <v>76</v>
      </c>
      <c r="C101" s="2">
        <f t="shared" si="4"/>
        <v>76000</v>
      </c>
      <c r="D101" s="2">
        <f>ROUND($C$8*$C$5+$C$8*$C$4*(1-$L$5),0)</f>
        <v>88</v>
      </c>
      <c r="E101" s="2">
        <f t="shared" si="5"/>
        <v>6688</v>
      </c>
      <c r="F101" s="2">
        <f>ROUND(E101*VLOOKUP($B$10,总产出!$T$4:$U$14,2,FALSE),0)</f>
        <v>334</v>
      </c>
      <c r="G101" s="2">
        <f t="shared" si="6"/>
        <v>0</v>
      </c>
      <c r="H101" s="2">
        <f t="shared" si="7"/>
        <v>0</v>
      </c>
      <c r="I101" s="2"/>
      <c r="J101" s="2"/>
      <c r="K101" s="2"/>
      <c r="L101" s="2"/>
      <c r="M101" s="2"/>
    </row>
    <row r="102" s="1" customFormat="1" ht="18" customHeight="1" spans="2:13">
      <c r="B102" s="2">
        <v>77</v>
      </c>
      <c r="C102" s="2">
        <f t="shared" si="4"/>
        <v>77000</v>
      </c>
      <c r="D102" s="2">
        <f>ROUND($C$8*$C$5+$C$8*$C$4*(1-$L$5),0)</f>
        <v>88</v>
      </c>
      <c r="E102" s="2">
        <f t="shared" si="5"/>
        <v>6776</v>
      </c>
      <c r="F102" s="2">
        <f>ROUND(E102*VLOOKUP($B$10,总产出!$T$4:$U$14,2,FALSE),0)</f>
        <v>339</v>
      </c>
      <c r="G102" s="2">
        <f t="shared" si="6"/>
        <v>0</v>
      </c>
      <c r="H102" s="2">
        <f t="shared" si="7"/>
        <v>0</v>
      </c>
      <c r="I102" s="2"/>
      <c r="J102" s="2"/>
      <c r="K102" s="2"/>
      <c r="L102" s="2"/>
      <c r="M102" s="2"/>
    </row>
    <row r="103" s="1" customFormat="1" ht="18" customHeight="1" spans="2:13">
      <c r="B103" s="2">
        <v>78</v>
      </c>
      <c r="C103" s="2">
        <f t="shared" si="4"/>
        <v>78000</v>
      </c>
      <c r="D103" s="2">
        <f>ROUND($C$8*$C$5+$C$8*$C$4*(1-$L$5),0)</f>
        <v>88</v>
      </c>
      <c r="E103" s="2">
        <f t="shared" si="5"/>
        <v>6864</v>
      </c>
      <c r="F103" s="2">
        <f>ROUND(E103*VLOOKUP($B$10,总产出!$T$4:$U$14,2,FALSE),0)</f>
        <v>343</v>
      </c>
      <c r="G103" s="2">
        <f t="shared" si="6"/>
        <v>0</v>
      </c>
      <c r="H103" s="2">
        <f t="shared" si="7"/>
        <v>0</v>
      </c>
      <c r="I103" s="2"/>
      <c r="J103" s="2"/>
      <c r="K103" s="2"/>
      <c r="L103" s="2"/>
      <c r="M103" s="2"/>
    </row>
    <row r="104" s="1" customFormat="1" ht="18" customHeight="1" spans="2:13">
      <c r="B104" s="2">
        <v>79</v>
      </c>
      <c r="C104" s="2">
        <f t="shared" si="4"/>
        <v>79000</v>
      </c>
      <c r="D104" s="2">
        <f>ROUND($C$8*$C$5+$C$8*$C$4*(1-$L$5),0)</f>
        <v>88</v>
      </c>
      <c r="E104" s="2">
        <f t="shared" si="5"/>
        <v>6952</v>
      </c>
      <c r="F104" s="2">
        <f>ROUND(E104*VLOOKUP($B$10,总产出!$T$4:$U$14,2,FALSE),0)</f>
        <v>348</v>
      </c>
      <c r="G104" s="2">
        <f t="shared" si="6"/>
        <v>0</v>
      </c>
      <c r="H104" s="2">
        <f t="shared" si="7"/>
        <v>0</v>
      </c>
      <c r="I104" s="2"/>
      <c r="J104" s="2"/>
      <c r="K104" s="2"/>
      <c r="L104" s="2"/>
      <c r="M104" s="2"/>
    </row>
    <row r="105" s="1" customFormat="1" ht="18" customHeight="1" spans="2:13">
      <c r="B105" s="2">
        <v>80</v>
      </c>
      <c r="C105" s="2">
        <f t="shared" si="4"/>
        <v>80000</v>
      </c>
      <c r="D105" s="2">
        <f>ROUND($C$8*$C$5+$C$8*$C$4*(1-$L$5),0)</f>
        <v>88</v>
      </c>
      <c r="E105" s="2">
        <f t="shared" si="5"/>
        <v>7040</v>
      </c>
      <c r="F105" s="2">
        <f>ROUND(E105*VLOOKUP($B$10,总产出!$T$4:$U$14,2,FALSE),0)</f>
        <v>352</v>
      </c>
      <c r="G105" s="2">
        <f t="shared" si="6"/>
        <v>0</v>
      </c>
      <c r="H105" s="2">
        <f t="shared" si="7"/>
        <v>0</v>
      </c>
      <c r="I105" s="2"/>
      <c r="J105" s="2"/>
      <c r="K105" s="2"/>
      <c r="L105" s="2"/>
      <c r="M105" s="2"/>
    </row>
    <row r="106" s="1" customFormat="1" ht="18" customHeight="1" spans="2:13">
      <c r="B106" s="2">
        <v>81</v>
      </c>
      <c r="C106" s="2">
        <f t="shared" si="4"/>
        <v>81000</v>
      </c>
      <c r="D106" s="2">
        <f>ROUND($C$8*$C$5+$C$8*$C$4*(1-$L$5),0)</f>
        <v>88</v>
      </c>
      <c r="E106" s="2">
        <f t="shared" si="5"/>
        <v>7128</v>
      </c>
      <c r="F106" s="2">
        <f>ROUND(E106*VLOOKUP($B$10,总产出!$T$4:$U$14,2,FALSE),0)</f>
        <v>356</v>
      </c>
      <c r="G106" s="2">
        <f t="shared" si="6"/>
        <v>0</v>
      </c>
      <c r="H106" s="2">
        <f t="shared" si="7"/>
        <v>0</v>
      </c>
      <c r="I106" s="2"/>
      <c r="J106" s="2"/>
      <c r="K106" s="2"/>
      <c r="L106" s="2"/>
      <c r="M106" s="2"/>
    </row>
    <row r="107" s="1" customFormat="1" ht="18" customHeight="1" spans="2:13">
      <c r="B107" s="2">
        <v>82</v>
      </c>
      <c r="C107" s="2">
        <f t="shared" si="4"/>
        <v>82000</v>
      </c>
      <c r="D107" s="2">
        <f>ROUND($C$8*$C$5+$C$8*$C$4*(1-$L$5),0)</f>
        <v>88</v>
      </c>
      <c r="E107" s="2">
        <f t="shared" si="5"/>
        <v>7216</v>
      </c>
      <c r="F107" s="2">
        <f>ROUND(E107*VLOOKUP($B$10,总产出!$T$4:$U$14,2,FALSE),0)</f>
        <v>361</v>
      </c>
      <c r="G107" s="2">
        <f t="shared" si="6"/>
        <v>0</v>
      </c>
      <c r="H107" s="2">
        <f t="shared" si="7"/>
        <v>0</v>
      </c>
      <c r="I107" s="2"/>
      <c r="J107" s="2"/>
      <c r="K107" s="2"/>
      <c r="L107" s="2"/>
      <c r="M107" s="2"/>
    </row>
    <row r="108" s="1" customFormat="1" ht="18" customHeight="1" spans="2:13">
      <c r="B108" s="2">
        <v>83</v>
      </c>
      <c r="C108" s="2">
        <f t="shared" si="4"/>
        <v>83000</v>
      </c>
      <c r="D108" s="2">
        <f>ROUND($C$8*$C$5+$C$8*$C$4*(1-$L$5),0)</f>
        <v>88</v>
      </c>
      <c r="E108" s="2">
        <f t="shared" si="5"/>
        <v>7304</v>
      </c>
      <c r="F108" s="2">
        <f>ROUND(E108*VLOOKUP($B$10,总产出!$T$4:$U$14,2,FALSE),0)</f>
        <v>365</v>
      </c>
      <c r="G108" s="2">
        <f t="shared" si="6"/>
        <v>0</v>
      </c>
      <c r="H108" s="2">
        <f t="shared" si="7"/>
        <v>0</v>
      </c>
      <c r="I108" s="2"/>
      <c r="J108" s="2"/>
      <c r="K108" s="2"/>
      <c r="L108" s="2"/>
      <c r="M108" s="2"/>
    </row>
    <row r="109" s="1" customFormat="1" ht="18" customHeight="1" spans="2:13">
      <c r="B109" s="2">
        <v>84</v>
      </c>
      <c r="C109" s="2">
        <f t="shared" si="4"/>
        <v>84000</v>
      </c>
      <c r="D109" s="2">
        <f>ROUND($C$8*$C$5+$C$8*$C$4*(1-$L$5),0)</f>
        <v>88</v>
      </c>
      <c r="E109" s="2">
        <f t="shared" si="5"/>
        <v>7392</v>
      </c>
      <c r="F109" s="2">
        <f>ROUND(E109*VLOOKUP($B$10,总产出!$T$4:$U$14,2,FALSE),0)</f>
        <v>370</v>
      </c>
      <c r="G109" s="2">
        <f t="shared" si="6"/>
        <v>0</v>
      </c>
      <c r="H109" s="2">
        <f t="shared" si="7"/>
        <v>0</v>
      </c>
      <c r="I109" s="2"/>
      <c r="J109" s="2"/>
      <c r="K109" s="2"/>
      <c r="L109" s="2"/>
      <c r="M109" s="2"/>
    </row>
    <row r="110" s="1" customFormat="1" ht="18" customHeight="1" spans="2:13">
      <c r="B110" s="2">
        <v>85</v>
      </c>
      <c r="C110" s="2">
        <f t="shared" si="4"/>
        <v>85000</v>
      </c>
      <c r="D110" s="2">
        <f>ROUND($C$8*$C$5+$C$8*$C$4*(1-$L$5),0)</f>
        <v>88</v>
      </c>
      <c r="E110" s="2">
        <f t="shared" si="5"/>
        <v>7480</v>
      </c>
      <c r="F110" s="2">
        <f>ROUND(E110*VLOOKUP($B$10,总产出!$T$4:$U$14,2,FALSE),0)</f>
        <v>374</v>
      </c>
      <c r="G110" s="2">
        <f t="shared" si="6"/>
        <v>0</v>
      </c>
      <c r="H110" s="2">
        <f t="shared" si="7"/>
        <v>0</v>
      </c>
      <c r="I110" s="2"/>
      <c r="J110" s="2"/>
      <c r="K110" s="2"/>
      <c r="L110" s="2"/>
      <c r="M110" s="2"/>
    </row>
    <row r="111" s="1" customFormat="1" ht="18" customHeight="1" spans="2:13">
      <c r="B111" s="2">
        <v>86</v>
      </c>
      <c r="C111" s="2">
        <f t="shared" si="4"/>
        <v>86000</v>
      </c>
      <c r="D111" s="2">
        <f>ROUND($C$8*$C$5+$C$8*$C$4*(1-$L$5),0)</f>
        <v>88</v>
      </c>
      <c r="E111" s="2">
        <f t="shared" si="5"/>
        <v>7568</v>
      </c>
      <c r="F111" s="2">
        <f>ROUND(E111*VLOOKUP($B$10,总产出!$T$4:$U$14,2,FALSE),0)</f>
        <v>378</v>
      </c>
      <c r="G111" s="2">
        <f t="shared" si="6"/>
        <v>0</v>
      </c>
      <c r="H111" s="2">
        <f t="shared" si="7"/>
        <v>0</v>
      </c>
      <c r="I111" s="2"/>
      <c r="J111" s="2"/>
      <c r="K111" s="2"/>
      <c r="L111" s="2"/>
      <c r="M111" s="2"/>
    </row>
    <row r="112" s="1" customFormat="1" ht="18" customHeight="1" spans="2:13">
      <c r="B112" s="2">
        <v>87</v>
      </c>
      <c r="C112" s="2">
        <f t="shared" si="4"/>
        <v>87000</v>
      </c>
      <c r="D112" s="2">
        <f>ROUND($C$8*$C$5+$C$8*$C$4*(1-$L$5),0)</f>
        <v>88</v>
      </c>
      <c r="E112" s="2">
        <f t="shared" si="5"/>
        <v>7656</v>
      </c>
      <c r="F112" s="2">
        <f>ROUND(E112*VLOOKUP($B$10,总产出!$T$4:$U$14,2,FALSE),0)</f>
        <v>383</v>
      </c>
      <c r="G112" s="2">
        <f t="shared" si="6"/>
        <v>0</v>
      </c>
      <c r="H112" s="2">
        <f t="shared" si="7"/>
        <v>0</v>
      </c>
      <c r="I112" s="2"/>
      <c r="J112" s="2"/>
      <c r="K112" s="2"/>
      <c r="L112" s="2"/>
      <c r="M112" s="2"/>
    </row>
    <row r="113" s="1" customFormat="1" ht="18" customHeight="1" spans="2:13">
      <c r="B113" s="2">
        <v>88</v>
      </c>
      <c r="C113" s="2">
        <f t="shared" si="4"/>
        <v>88000</v>
      </c>
      <c r="D113" s="2">
        <f>ROUND($C$8*$C$5+$C$8*$C$4*(1-$L$5),0)</f>
        <v>88</v>
      </c>
      <c r="E113" s="2">
        <f t="shared" si="5"/>
        <v>7744</v>
      </c>
      <c r="F113" s="2">
        <f>ROUND(E113*VLOOKUP($B$10,总产出!$T$4:$U$14,2,FALSE),0)</f>
        <v>387</v>
      </c>
      <c r="G113" s="2">
        <f t="shared" si="6"/>
        <v>0</v>
      </c>
      <c r="H113" s="2">
        <f t="shared" si="7"/>
        <v>0</v>
      </c>
      <c r="I113" s="2"/>
      <c r="J113" s="2"/>
      <c r="K113" s="2"/>
      <c r="L113" s="2"/>
      <c r="M113" s="2"/>
    </row>
    <row r="114" s="1" customFormat="1" ht="18" customHeight="1" spans="2:13">
      <c r="B114" s="2">
        <v>89</v>
      </c>
      <c r="C114" s="2">
        <f t="shared" si="4"/>
        <v>89000</v>
      </c>
      <c r="D114" s="2">
        <f>ROUND($C$8*$C$5+$C$8*$C$4*(1-$L$5),0)</f>
        <v>88</v>
      </c>
      <c r="E114" s="2">
        <f t="shared" si="5"/>
        <v>7832</v>
      </c>
      <c r="F114" s="2">
        <f>ROUND(E114*VLOOKUP($B$10,总产出!$T$4:$U$14,2,FALSE),0)</f>
        <v>392</v>
      </c>
      <c r="G114" s="2">
        <f t="shared" si="6"/>
        <v>0</v>
      </c>
      <c r="H114" s="2">
        <f t="shared" si="7"/>
        <v>0</v>
      </c>
      <c r="I114" s="2"/>
      <c r="J114" s="2"/>
      <c r="K114" s="2"/>
      <c r="L114" s="2"/>
      <c r="M114" s="2"/>
    </row>
    <row r="115" s="1" customFormat="1" ht="18" customHeight="1" spans="2:13">
      <c r="B115" s="2">
        <v>90</v>
      </c>
      <c r="C115" s="2">
        <f t="shared" si="4"/>
        <v>90000</v>
      </c>
      <c r="D115" s="2">
        <f>ROUND($C$8*$C$5+$C$8*$C$4*(1-$L$5),0)</f>
        <v>88</v>
      </c>
      <c r="E115" s="2">
        <f t="shared" si="5"/>
        <v>7920</v>
      </c>
      <c r="F115" s="2">
        <f>ROUND(E115*VLOOKUP($B$10,总产出!$T$4:$U$14,2,FALSE),0)</f>
        <v>396</v>
      </c>
      <c r="G115" s="2">
        <f t="shared" si="6"/>
        <v>0</v>
      </c>
      <c r="H115" s="2">
        <f t="shared" si="7"/>
        <v>0</v>
      </c>
      <c r="I115" s="2"/>
      <c r="J115" s="2"/>
      <c r="K115" s="2"/>
      <c r="L115" s="2"/>
      <c r="M115" s="2"/>
    </row>
    <row r="116" s="1" customFormat="1" ht="18" customHeight="1" spans="2:13">
      <c r="B116" s="2">
        <v>91</v>
      </c>
      <c r="C116" s="2">
        <f t="shared" si="4"/>
        <v>91000</v>
      </c>
      <c r="D116" s="2">
        <f>ROUND($C$8*$C$5+$C$8*$C$4*(1-$L$5),0)</f>
        <v>88</v>
      </c>
      <c r="E116" s="2">
        <f t="shared" si="5"/>
        <v>8008</v>
      </c>
      <c r="F116" s="2">
        <f>ROUND(E116*VLOOKUP($B$10,总产出!$T$4:$U$14,2,FALSE),0)</f>
        <v>400</v>
      </c>
      <c r="G116" s="2">
        <f t="shared" si="6"/>
        <v>0</v>
      </c>
      <c r="H116" s="2">
        <f t="shared" si="7"/>
        <v>0</v>
      </c>
      <c r="I116" s="2"/>
      <c r="J116" s="2"/>
      <c r="K116" s="2"/>
      <c r="L116" s="2"/>
      <c r="M116" s="2"/>
    </row>
    <row r="117" s="1" customFormat="1" ht="18" customHeight="1" spans="2:13">
      <c r="B117" s="2">
        <v>92</v>
      </c>
      <c r="C117" s="2">
        <f t="shared" si="4"/>
        <v>92000</v>
      </c>
      <c r="D117" s="2">
        <f>ROUND($C$8*$C$5+$C$8*$C$4*(1-$L$5),0)</f>
        <v>88</v>
      </c>
      <c r="E117" s="2">
        <f t="shared" si="5"/>
        <v>8096</v>
      </c>
      <c r="F117" s="2">
        <f>ROUND(E117*VLOOKUP($B$10,总产出!$T$4:$U$14,2,FALSE),0)</f>
        <v>405</v>
      </c>
      <c r="G117" s="2">
        <f t="shared" si="6"/>
        <v>0</v>
      </c>
      <c r="H117" s="2">
        <f t="shared" si="7"/>
        <v>0</v>
      </c>
      <c r="I117" s="2"/>
      <c r="J117" s="2"/>
      <c r="K117" s="2"/>
      <c r="L117" s="2"/>
      <c r="M117" s="2"/>
    </row>
    <row r="118" s="1" customFormat="1" ht="18" customHeight="1" spans="2:13">
      <c r="B118" s="2">
        <v>93</v>
      </c>
      <c r="C118" s="2">
        <f t="shared" si="4"/>
        <v>93000</v>
      </c>
      <c r="D118" s="2">
        <f>ROUND($C$8*$C$5+$C$8*$C$4*(1-$L$5),0)</f>
        <v>88</v>
      </c>
      <c r="E118" s="2">
        <f t="shared" si="5"/>
        <v>8184</v>
      </c>
      <c r="F118" s="2">
        <f>ROUND(E118*VLOOKUP($B$10,总产出!$T$4:$U$14,2,FALSE),0)</f>
        <v>409</v>
      </c>
      <c r="G118" s="2">
        <f t="shared" si="6"/>
        <v>0</v>
      </c>
      <c r="H118" s="2">
        <f t="shared" si="7"/>
        <v>0</v>
      </c>
      <c r="I118" s="2"/>
      <c r="J118" s="2"/>
      <c r="K118" s="2"/>
      <c r="L118" s="2"/>
      <c r="M118" s="2"/>
    </row>
    <row r="119" s="1" customFormat="1" ht="18" customHeight="1" spans="2:13">
      <c r="B119" s="2">
        <v>94</v>
      </c>
      <c r="C119" s="2">
        <f t="shared" si="4"/>
        <v>94000</v>
      </c>
      <c r="D119" s="2">
        <f>ROUND($C$8*$C$5+$C$8*$C$4*(1-$L$5),0)</f>
        <v>88</v>
      </c>
      <c r="E119" s="2">
        <f t="shared" si="5"/>
        <v>8272</v>
      </c>
      <c r="F119" s="2">
        <f>ROUND(E119*VLOOKUP($B$10,总产出!$T$4:$U$14,2,FALSE),0)</f>
        <v>414</v>
      </c>
      <c r="G119" s="2">
        <f t="shared" si="6"/>
        <v>0</v>
      </c>
      <c r="H119" s="2">
        <f t="shared" si="7"/>
        <v>0</v>
      </c>
      <c r="I119" s="2"/>
      <c r="J119" s="2"/>
      <c r="K119" s="2"/>
      <c r="L119" s="2"/>
      <c r="M119" s="2"/>
    </row>
    <row r="120" s="1" customFormat="1" ht="18" customHeight="1" spans="2:13">
      <c r="B120" s="2">
        <v>95</v>
      </c>
      <c r="C120" s="2">
        <f t="shared" si="4"/>
        <v>95000</v>
      </c>
      <c r="D120" s="2">
        <f>ROUND($C$8*$C$5+$C$8*$C$4*(1-$L$5),0)</f>
        <v>88</v>
      </c>
      <c r="E120" s="2">
        <f t="shared" si="5"/>
        <v>8360</v>
      </c>
      <c r="F120" s="2">
        <f>ROUND(E120*VLOOKUP($B$10,总产出!$T$4:$U$14,2,FALSE),0)</f>
        <v>418</v>
      </c>
      <c r="G120" s="2">
        <f t="shared" si="6"/>
        <v>0</v>
      </c>
      <c r="H120" s="2">
        <f t="shared" si="7"/>
        <v>0</v>
      </c>
      <c r="I120" s="2"/>
      <c r="J120" s="2"/>
      <c r="K120" s="2"/>
      <c r="L120" s="2"/>
      <c r="M120" s="2"/>
    </row>
    <row r="121" s="1" customFormat="1" ht="18" customHeight="1" spans="2:13">
      <c r="B121" s="2">
        <v>96</v>
      </c>
      <c r="C121" s="2">
        <f t="shared" si="4"/>
        <v>96000</v>
      </c>
      <c r="D121" s="2">
        <f>ROUND($C$8*$C$5+$C$8*$C$4*(1-$L$5),0)</f>
        <v>88</v>
      </c>
      <c r="E121" s="2">
        <f t="shared" si="5"/>
        <v>8448</v>
      </c>
      <c r="F121" s="2">
        <f>ROUND(E121*VLOOKUP($B$10,总产出!$T$4:$U$14,2,FALSE),0)</f>
        <v>422</v>
      </c>
      <c r="G121" s="2">
        <f t="shared" si="6"/>
        <v>0</v>
      </c>
      <c r="H121" s="2">
        <f t="shared" si="7"/>
        <v>0</v>
      </c>
      <c r="I121" s="2"/>
      <c r="J121" s="2"/>
      <c r="K121" s="2"/>
      <c r="L121" s="2"/>
      <c r="M121" s="2"/>
    </row>
    <row r="122" s="1" customFormat="1" ht="18" customHeight="1" spans="2:13">
      <c r="B122" s="2">
        <v>97</v>
      </c>
      <c r="C122" s="2">
        <f t="shared" si="4"/>
        <v>97000</v>
      </c>
      <c r="D122" s="2">
        <f>ROUND($C$8*$C$5+$C$8*$C$4*(1-$L$5),0)</f>
        <v>88</v>
      </c>
      <c r="E122" s="2">
        <f t="shared" si="5"/>
        <v>8536</v>
      </c>
      <c r="F122" s="2">
        <f>ROUND(E122*VLOOKUP($B$10,总产出!$T$4:$U$14,2,FALSE),0)</f>
        <v>427</v>
      </c>
      <c r="G122" s="2">
        <f t="shared" si="6"/>
        <v>0</v>
      </c>
      <c r="H122" s="2">
        <f t="shared" si="7"/>
        <v>0</v>
      </c>
      <c r="I122" s="2"/>
      <c r="J122" s="2"/>
      <c r="K122" s="2"/>
      <c r="L122" s="2"/>
      <c r="M122" s="2"/>
    </row>
    <row r="123" s="1" customFormat="1" ht="18" customHeight="1" spans="2:13">
      <c r="B123" s="2">
        <v>98</v>
      </c>
      <c r="C123" s="2">
        <f t="shared" si="4"/>
        <v>98000</v>
      </c>
      <c r="D123" s="2">
        <f>ROUND($C$8*$C$5+$C$8*$C$4*(1-$L$5),0)</f>
        <v>88</v>
      </c>
      <c r="E123" s="2">
        <f t="shared" si="5"/>
        <v>8624</v>
      </c>
      <c r="F123" s="2">
        <f>ROUND(E123*VLOOKUP($B$10,总产出!$T$4:$U$14,2,FALSE),0)</f>
        <v>431</v>
      </c>
      <c r="G123" s="2">
        <f t="shared" si="6"/>
        <v>0</v>
      </c>
      <c r="H123" s="2">
        <f t="shared" si="7"/>
        <v>0</v>
      </c>
      <c r="I123" s="2"/>
      <c r="J123" s="2"/>
      <c r="K123" s="2"/>
      <c r="L123" s="2"/>
      <c r="M123" s="2"/>
    </row>
    <row r="124" s="1" customFormat="1" ht="18" customHeight="1" spans="2:13">
      <c r="B124" s="2">
        <v>99</v>
      </c>
      <c r="C124" s="2">
        <f t="shared" si="4"/>
        <v>99000</v>
      </c>
      <c r="D124" s="2">
        <f>ROUND($C$8*$C$5+$C$8*$C$4*(1-$L$5),0)</f>
        <v>88</v>
      </c>
      <c r="E124" s="2">
        <f t="shared" si="5"/>
        <v>8712</v>
      </c>
      <c r="F124" s="2">
        <f>ROUND(E124*VLOOKUP($B$10,总产出!$T$4:$U$14,2,FALSE),0)</f>
        <v>436</v>
      </c>
      <c r="G124" s="2">
        <f t="shared" si="6"/>
        <v>0</v>
      </c>
      <c r="H124" s="2">
        <f t="shared" si="7"/>
        <v>0</v>
      </c>
      <c r="I124" s="2"/>
      <c r="J124" s="2"/>
      <c r="K124" s="2"/>
      <c r="L124" s="2"/>
      <c r="M124" s="2"/>
    </row>
    <row r="125" s="1" customFormat="1" ht="18" customHeight="1" spans="2:13">
      <c r="B125" s="2">
        <v>100</v>
      </c>
      <c r="C125" s="2">
        <f t="shared" si="4"/>
        <v>100000</v>
      </c>
      <c r="D125" s="2">
        <f>ROUND($C$8*$C$5+$C$8*$C$4*(1-$L$5),0)</f>
        <v>88</v>
      </c>
      <c r="E125" s="2">
        <f t="shared" si="5"/>
        <v>8800</v>
      </c>
      <c r="F125" s="2">
        <f>ROUND(E125*VLOOKUP($B$10,总产出!$T$4:$U$14,2,FALSE),0)</f>
        <v>440</v>
      </c>
      <c r="G125" s="2">
        <f t="shared" si="6"/>
        <v>0</v>
      </c>
      <c r="H125" s="2">
        <f t="shared" si="7"/>
        <v>0</v>
      </c>
      <c r="I125" s="2"/>
      <c r="J125" s="2"/>
      <c r="K125" s="2"/>
      <c r="L125" s="2"/>
      <c r="M125" s="2"/>
    </row>
  </sheetData>
  <mergeCells count="3">
    <mergeCell ref="B2:C3"/>
    <mergeCell ref="E2:F3"/>
    <mergeCell ref="K2:L3"/>
  </mergeCells>
  <pageMargins left="0.7" right="0.7" top="0.75" bottom="0.75" header="0.3" footer="0.3"/>
  <pageSetup paperSize="9" orientation="portrait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25"/>
  <sheetViews>
    <sheetView workbookViewId="0">
      <pane ySplit="25" topLeftCell="A26" activePane="bottomLeft" state="frozen"/>
      <selection/>
      <selection pane="bottomLeft" activeCell="L13" sqref="L13"/>
    </sheetView>
  </sheetViews>
  <sheetFormatPr defaultColWidth="9" defaultRowHeight="13.5"/>
  <cols>
    <col min="2" max="7" width="18.625" customWidth="1"/>
    <col min="8" max="8" width="21.625" customWidth="1"/>
    <col min="9" max="14" width="15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K4" s="9"/>
      <c r="L4" s="9"/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8"/>
      <c r="I5" s="8"/>
      <c r="K5" s="9" t="s">
        <v>16</v>
      </c>
      <c r="L5" s="7">
        <f>总产出!L5</f>
        <v>0.990909090909091</v>
      </c>
    </row>
    <row r="6" s="1" customFormat="1" ht="18" customHeight="1" spans="2:12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  <c r="K6" s="9" t="s">
        <v>22</v>
      </c>
      <c r="L6" s="7">
        <f>总产出!L6</f>
        <v>0.18</v>
      </c>
    </row>
    <row r="7" s="1" customFormat="1" ht="18" customHeight="1" spans="2:3">
      <c r="B7" s="7" t="s">
        <v>26</v>
      </c>
      <c r="C7" s="7">
        <f>总产出!C7</f>
        <v>8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31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14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616</v>
      </c>
      <c r="H25" s="9" t="s">
        <v>617</v>
      </c>
      <c r="I25" s="9" t="s">
        <v>618</v>
      </c>
      <c r="J25" s="9" t="s">
        <v>619</v>
      </c>
      <c r="K25" s="9" t="s">
        <v>620</v>
      </c>
      <c r="L25" s="9" t="s">
        <v>621</v>
      </c>
      <c r="M25" s="9" t="s">
        <v>622</v>
      </c>
      <c r="N25" s="9" t="s">
        <v>623</v>
      </c>
    </row>
    <row r="26" s="2" customFormat="1" ht="18" customHeight="1" spans="2:14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4</v>
      </c>
      <c r="G26" s="2">
        <f t="shared" ref="G26:G89" si="2">SUM(I26:M26)</f>
        <v>0</v>
      </c>
      <c r="H26" s="2">
        <f>G26</f>
        <v>0</v>
      </c>
      <c r="I26" s="2">
        <f>ROUND(总产出!$D$19/15,0)</f>
        <v>0</v>
      </c>
      <c r="J26" s="2">
        <f>ROUND(总产出!$D$20/15,0)</f>
        <v>0</v>
      </c>
      <c r="K26" s="2">
        <f>ROUND(总产出!$D$21/15,0)</f>
        <v>0</v>
      </c>
      <c r="L26" s="2">
        <f>ROUND(总产出!$D$22/15,0)</f>
        <v>0</v>
      </c>
      <c r="M26" s="2">
        <f>ROUND(总产出!$D$23/15,0)</f>
        <v>0</v>
      </c>
      <c r="N26" s="2">
        <f>ROUND(总产出!$D$24/15,0)</f>
        <v>0</v>
      </c>
    </row>
    <row r="27" s="2" customFormat="1" ht="18" customHeight="1" spans="2:14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9</v>
      </c>
      <c r="G27" s="2">
        <f t="shared" si="2"/>
        <v>0</v>
      </c>
      <c r="H27" s="2">
        <f t="shared" ref="H27:H90" si="3">G27+H26</f>
        <v>0</v>
      </c>
      <c r="I27" s="2">
        <f>ROUND(总产出!$D$19/15,0)</f>
        <v>0</v>
      </c>
      <c r="J27" s="2">
        <f>ROUND(总产出!$D$20/15,0)</f>
        <v>0</v>
      </c>
      <c r="K27" s="2">
        <f>ROUND(总产出!$D$21/15,0)</f>
        <v>0</v>
      </c>
      <c r="L27" s="2">
        <f>ROUND(总产出!$D$22/15,0)</f>
        <v>0</v>
      </c>
      <c r="M27" s="2">
        <f>ROUND(总产出!$D$23/15,0)</f>
        <v>0</v>
      </c>
      <c r="N27" s="2">
        <f>ROUND(总产出!$D$24/15,0)</f>
        <v>0</v>
      </c>
    </row>
    <row r="28" s="2" customFormat="1" ht="18" customHeight="1" spans="2:14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13</v>
      </c>
      <c r="G28" s="2">
        <f t="shared" si="2"/>
        <v>0</v>
      </c>
      <c r="H28" s="2">
        <f t="shared" si="3"/>
        <v>0</v>
      </c>
      <c r="I28" s="2">
        <f>ROUND(总产出!$D$19/15,0)</f>
        <v>0</v>
      </c>
      <c r="J28" s="2">
        <f>ROUND(总产出!$D$20/15,0)</f>
        <v>0</v>
      </c>
      <c r="K28" s="2">
        <f>ROUND(总产出!$D$21/15,0)</f>
        <v>0</v>
      </c>
      <c r="L28" s="2">
        <f>ROUND(总产出!$D$22/15,0)</f>
        <v>0</v>
      </c>
      <c r="M28" s="2">
        <f>ROUND(总产出!$D$23/15,0)</f>
        <v>0</v>
      </c>
      <c r="N28" s="2">
        <f>ROUND(总产出!$D$24/15,0)</f>
        <v>0</v>
      </c>
    </row>
    <row r="29" s="2" customFormat="1" ht="18" customHeight="1" spans="2:14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18</v>
      </c>
      <c r="G29" s="2">
        <f t="shared" si="2"/>
        <v>0</v>
      </c>
      <c r="H29" s="2">
        <f t="shared" si="3"/>
        <v>0</v>
      </c>
      <c r="I29" s="2">
        <f>ROUND(总产出!$D$19/15,0)</f>
        <v>0</v>
      </c>
      <c r="J29" s="2">
        <f>ROUND(总产出!$D$20/15,0)</f>
        <v>0</v>
      </c>
      <c r="K29" s="2">
        <f>ROUND(总产出!$D$21/15,0)</f>
        <v>0</v>
      </c>
      <c r="L29" s="2">
        <f>ROUND(总产出!$D$22/15,0)</f>
        <v>0</v>
      </c>
      <c r="M29" s="2">
        <f>ROUND(总产出!$D$23/15,0)</f>
        <v>0</v>
      </c>
      <c r="N29" s="2">
        <f>ROUND(总产出!$D$24/15,0)</f>
        <v>0</v>
      </c>
    </row>
    <row r="30" s="2" customFormat="1" ht="18" customHeight="1" spans="2:14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22</v>
      </c>
      <c r="G30" s="2">
        <f t="shared" si="2"/>
        <v>0</v>
      </c>
      <c r="H30" s="2">
        <f t="shared" si="3"/>
        <v>0</v>
      </c>
      <c r="I30" s="2">
        <f>ROUND(总产出!$D$19/15,0)</f>
        <v>0</v>
      </c>
      <c r="J30" s="2">
        <f>ROUND(总产出!$D$20/15,0)</f>
        <v>0</v>
      </c>
      <c r="K30" s="2">
        <f>ROUND(总产出!$D$21/15,0)</f>
        <v>0</v>
      </c>
      <c r="L30" s="2">
        <f>ROUND(总产出!$D$22/15,0)</f>
        <v>0</v>
      </c>
      <c r="M30" s="2">
        <f>ROUND(总产出!$D$23/15,0)</f>
        <v>0</v>
      </c>
      <c r="N30" s="2">
        <f>ROUND(总产出!$D$24/15,0)</f>
        <v>0</v>
      </c>
    </row>
    <row r="31" s="2" customFormat="1" ht="18" customHeight="1" spans="2:14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26</v>
      </c>
      <c r="G31" s="2">
        <f t="shared" si="2"/>
        <v>0</v>
      </c>
      <c r="H31" s="2">
        <f t="shared" si="3"/>
        <v>0</v>
      </c>
      <c r="I31" s="2">
        <f>ROUND(总产出!$D$19/15,0)</f>
        <v>0</v>
      </c>
      <c r="J31" s="2">
        <f>ROUND(总产出!$D$20/15,0)</f>
        <v>0</v>
      </c>
      <c r="K31" s="2">
        <f>ROUND(总产出!$D$21/15,0)</f>
        <v>0</v>
      </c>
      <c r="L31" s="2">
        <f>ROUND(总产出!$D$22/15,0)</f>
        <v>0</v>
      </c>
      <c r="M31" s="2">
        <f>ROUND(总产出!$D$23/15,0)</f>
        <v>0</v>
      </c>
      <c r="N31" s="2">
        <f>ROUND(总产出!$D$24/15,0)</f>
        <v>0</v>
      </c>
    </row>
    <row r="32" s="2" customFormat="1" ht="18" customHeight="1" spans="2:14">
      <c r="B32" s="2">
        <v>7</v>
      </c>
      <c r="C32" s="2">
        <f t="shared" si="0"/>
        <v>7000</v>
      </c>
      <c r="D32" s="2">
        <f>ROUND($C$8*$C$5+$C$8*$C$4*(1-$L$5),0)</f>
        <v>88</v>
      </c>
      <c r="E32" s="2">
        <f t="shared" si="1"/>
        <v>616</v>
      </c>
      <c r="F32" s="2">
        <f>ROUND(E32*VLOOKUP($B$10,总产出!$T$4:$U$14,2,FALSE),0)</f>
        <v>31</v>
      </c>
      <c r="G32" s="2">
        <f t="shared" si="2"/>
        <v>0</v>
      </c>
      <c r="H32" s="2">
        <f t="shared" si="3"/>
        <v>0</v>
      </c>
      <c r="I32" s="2">
        <f>ROUND(总产出!$D$19/15,0)</f>
        <v>0</v>
      </c>
      <c r="J32" s="2">
        <f>ROUND(总产出!$D$20/15,0)</f>
        <v>0</v>
      </c>
      <c r="K32" s="2">
        <f>ROUND(总产出!$D$21/15,0)</f>
        <v>0</v>
      </c>
      <c r="L32" s="2">
        <f>ROUND(总产出!$D$22/15,0)</f>
        <v>0</v>
      </c>
      <c r="M32" s="2">
        <f>ROUND(总产出!$D$23/15,0)</f>
        <v>0</v>
      </c>
      <c r="N32" s="2">
        <f>ROUND(总产出!$D$24/15,0)</f>
        <v>0</v>
      </c>
    </row>
    <row r="33" s="2" customFormat="1" ht="18" customHeight="1" spans="2:14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35</v>
      </c>
      <c r="G33" s="2">
        <f t="shared" si="2"/>
        <v>0</v>
      </c>
      <c r="H33" s="2">
        <f t="shared" si="3"/>
        <v>0</v>
      </c>
      <c r="I33" s="2">
        <f>ROUND(总产出!$D$19/15,0)</f>
        <v>0</v>
      </c>
      <c r="J33" s="2">
        <f>ROUND(总产出!$D$20/15,0)</f>
        <v>0</v>
      </c>
      <c r="K33" s="2">
        <f>ROUND(总产出!$D$21/15,0)</f>
        <v>0</v>
      </c>
      <c r="L33" s="2">
        <f>ROUND(总产出!$D$22/15,0)</f>
        <v>0</v>
      </c>
      <c r="M33" s="2">
        <f>ROUND(总产出!$D$23/15,0)</f>
        <v>0</v>
      </c>
      <c r="N33" s="2">
        <f>ROUND(总产出!$D$24/15,0)</f>
        <v>0</v>
      </c>
    </row>
    <row r="34" s="2" customFormat="1" ht="18" customHeight="1" spans="2:14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40</v>
      </c>
      <c r="G34" s="2">
        <f t="shared" si="2"/>
        <v>0</v>
      </c>
      <c r="H34" s="2">
        <f t="shared" si="3"/>
        <v>0</v>
      </c>
      <c r="I34" s="2">
        <f>ROUND(总产出!$D$19/15,0)</f>
        <v>0</v>
      </c>
      <c r="J34" s="2">
        <f>ROUND(总产出!$D$20/15,0)</f>
        <v>0</v>
      </c>
      <c r="K34" s="2">
        <f>ROUND(总产出!$D$21/15,0)</f>
        <v>0</v>
      </c>
      <c r="L34" s="2">
        <f>ROUND(总产出!$D$22/15,0)</f>
        <v>0</v>
      </c>
      <c r="M34" s="2">
        <f>ROUND(总产出!$D$23/15,0)</f>
        <v>0</v>
      </c>
      <c r="N34" s="2">
        <f>ROUND(总产出!$D$24/15,0)</f>
        <v>0</v>
      </c>
    </row>
    <row r="35" s="2" customFormat="1" ht="18" customHeight="1" spans="2:14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44</v>
      </c>
      <c r="G35" s="2">
        <f t="shared" si="2"/>
        <v>0</v>
      </c>
      <c r="H35" s="2">
        <f t="shared" si="3"/>
        <v>0</v>
      </c>
      <c r="I35" s="2">
        <f>ROUND(总产出!$D$19/15,0)</f>
        <v>0</v>
      </c>
      <c r="J35" s="2">
        <f>ROUND(总产出!$D$20/15,0)</f>
        <v>0</v>
      </c>
      <c r="K35" s="2">
        <f>ROUND(总产出!$D$21/15,0)</f>
        <v>0</v>
      </c>
      <c r="L35" s="2">
        <f>ROUND(总产出!$D$22/15,0)</f>
        <v>0</v>
      </c>
      <c r="M35" s="2">
        <f>ROUND(总产出!$D$23/15,0)</f>
        <v>0</v>
      </c>
      <c r="N35" s="2">
        <f>ROUND(总产出!$D$24/15,0)</f>
        <v>0</v>
      </c>
    </row>
    <row r="36" s="2" customFormat="1" ht="18" customHeight="1" spans="2:14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48</v>
      </c>
      <c r="G36" s="2">
        <f t="shared" si="2"/>
        <v>0</v>
      </c>
      <c r="H36" s="2">
        <f t="shared" si="3"/>
        <v>0</v>
      </c>
      <c r="I36" s="2">
        <f>ROUND(总产出!$D$19/15,0)</f>
        <v>0</v>
      </c>
      <c r="J36" s="2">
        <f>ROUND(总产出!$D$20/15,0)</f>
        <v>0</v>
      </c>
      <c r="K36" s="2">
        <f>ROUND(总产出!$D$21/15,0)</f>
        <v>0</v>
      </c>
      <c r="L36" s="2">
        <f>ROUND(总产出!$D$22/15,0)</f>
        <v>0</v>
      </c>
      <c r="M36" s="2">
        <f>ROUND(总产出!$D$23/15,0)</f>
        <v>0</v>
      </c>
      <c r="N36" s="2">
        <f>ROUND(总产出!$D$24/15,0)</f>
        <v>0</v>
      </c>
    </row>
    <row r="37" s="2" customFormat="1" ht="18" customHeight="1" spans="2:14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53</v>
      </c>
      <c r="G37" s="2">
        <f t="shared" si="2"/>
        <v>0</v>
      </c>
      <c r="H37" s="2">
        <f t="shared" si="3"/>
        <v>0</v>
      </c>
      <c r="I37" s="2">
        <f>ROUND(总产出!$D$19/15,0)</f>
        <v>0</v>
      </c>
      <c r="J37" s="2">
        <f>ROUND(总产出!$D$20/15,0)</f>
        <v>0</v>
      </c>
      <c r="K37" s="2">
        <f>ROUND(总产出!$D$21/15,0)</f>
        <v>0</v>
      </c>
      <c r="L37" s="2">
        <f>ROUND(总产出!$D$22/15,0)</f>
        <v>0</v>
      </c>
      <c r="M37" s="2">
        <f>ROUND(总产出!$D$23/15,0)</f>
        <v>0</v>
      </c>
      <c r="N37" s="2">
        <f>ROUND(总产出!$D$24/15,0)</f>
        <v>0</v>
      </c>
    </row>
    <row r="38" s="2" customFormat="1" ht="18" customHeight="1" spans="2:14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57</v>
      </c>
      <c r="G38" s="2">
        <f t="shared" si="2"/>
        <v>0</v>
      </c>
      <c r="H38" s="2">
        <f t="shared" si="3"/>
        <v>0</v>
      </c>
      <c r="I38" s="2">
        <f>ROUND(总产出!$D$19/15,0)</f>
        <v>0</v>
      </c>
      <c r="J38" s="2">
        <f>ROUND(总产出!$D$20/15,0)</f>
        <v>0</v>
      </c>
      <c r="K38" s="2">
        <f>ROUND(总产出!$D$21/15,0)</f>
        <v>0</v>
      </c>
      <c r="L38" s="2">
        <f>ROUND(总产出!$D$22/15,0)</f>
        <v>0</v>
      </c>
      <c r="M38" s="2">
        <f>ROUND(总产出!$D$23/15,0)</f>
        <v>0</v>
      </c>
      <c r="N38" s="2">
        <f>ROUND(总产出!$D$24/15,0)</f>
        <v>0</v>
      </c>
    </row>
    <row r="39" s="2" customFormat="1" ht="18" customHeight="1" spans="2:14">
      <c r="B39" s="2">
        <v>14</v>
      </c>
      <c r="C39" s="2">
        <f t="shared" si="0"/>
        <v>14000</v>
      </c>
      <c r="D39" s="2">
        <f>ROUND($C$8*$C$5+$C$8*$C$4*(1-$L$5),0)</f>
        <v>88</v>
      </c>
      <c r="E39" s="2">
        <f t="shared" si="1"/>
        <v>1232</v>
      </c>
      <c r="F39" s="2">
        <f>ROUND(E39*VLOOKUP($B$10,总产出!$T$4:$U$14,2,FALSE),0)</f>
        <v>62</v>
      </c>
      <c r="G39" s="2">
        <f t="shared" si="2"/>
        <v>0</v>
      </c>
      <c r="H39" s="2">
        <f t="shared" si="3"/>
        <v>0</v>
      </c>
      <c r="I39" s="2">
        <f>ROUND(总产出!$D$19/15,0)</f>
        <v>0</v>
      </c>
      <c r="J39" s="2">
        <f>ROUND(总产出!$D$20/15,0)</f>
        <v>0</v>
      </c>
      <c r="K39" s="2">
        <f>ROUND(总产出!$D$21/15,0)</f>
        <v>0</v>
      </c>
      <c r="L39" s="2">
        <f>ROUND(总产出!$D$22/15,0)</f>
        <v>0</v>
      </c>
      <c r="M39" s="2">
        <f>ROUND(总产出!$D$23/15,0)</f>
        <v>0</v>
      </c>
      <c r="N39" s="2">
        <f>ROUND(总产出!$D$24/15,0)</f>
        <v>0</v>
      </c>
    </row>
    <row r="40" s="2" customFormat="1" ht="18" customHeight="1" spans="2:14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66</v>
      </c>
      <c r="G40" s="2">
        <f t="shared" si="2"/>
        <v>0</v>
      </c>
      <c r="H40" s="2">
        <f t="shared" si="3"/>
        <v>0</v>
      </c>
      <c r="I40" s="2">
        <f>ROUND(总产出!$D$19/15,0)</f>
        <v>0</v>
      </c>
      <c r="J40" s="2">
        <f>ROUND(总产出!$D$20/15,0)</f>
        <v>0</v>
      </c>
      <c r="K40" s="2">
        <f>ROUND(总产出!$D$21/15,0)</f>
        <v>0</v>
      </c>
      <c r="L40" s="2">
        <f>ROUND(总产出!$D$22/15,0)</f>
        <v>0</v>
      </c>
      <c r="M40" s="2">
        <f>ROUND(总产出!$D$23/15,0)</f>
        <v>0</v>
      </c>
      <c r="N40" s="2">
        <f>ROUND(总产出!$D$24/15,0)</f>
        <v>0</v>
      </c>
    </row>
    <row r="41" s="2" customFormat="1" ht="18" customHeight="1" spans="2:8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70</v>
      </c>
      <c r="G41" s="2">
        <f t="shared" si="2"/>
        <v>0</v>
      </c>
      <c r="H41" s="2">
        <f t="shared" si="3"/>
        <v>0</v>
      </c>
    </row>
    <row r="42" s="2" customFormat="1" ht="18" customHeight="1" spans="2:8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75</v>
      </c>
      <c r="G42" s="2">
        <f t="shared" si="2"/>
        <v>0</v>
      </c>
      <c r="H42" s="2">
        <f t="shared" si="3"/>
        <v>0</v>
      </c>
    </row>
    <row r="43" s="2" customFormat="1" ht="18" customHeight="1" spans="2:8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79</v>
      </c>
      <c r="G43" s="2">
        <f t="shared" si="2"/>
        <v>0</v>
      </c>
      <c r="H43" s="2">
        <f t="shared" si="3"/>
        <v>0</v>
      </c>
    </row>
    <row r="44" s="2" customFormat="1" ht="18" customHeight="1" spans="2:8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84</v>
      </c>
      <c r="G44" s="2">
        <f t="shared" si="2"/>
        <v>0</v>
      </c>
      <c r="H44" s="2">
        <f t="shared" si="3"/>
        <v>0</v>
      </c>
    </row>
    <row r="45" s="1" customFormat="1" ht="18" customHeight="1" spans="2:13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88</v>
      </c>
      <c r="G45" s="2">
        <f t="shared" si="2"/>
        <v>0</v>
      </c>
      <c r="H45" s="2">
        <f t="shared" si="3"/>
        <v>0</v>
      </c>
      <c r="I45" s="2"/>
      <c r="J45" s="2"/>
      <c r="K45" s="2"/>
      <c r="L45" s="2"/>
      <c r="M45" s="2"/>
    </row>
    <row r="46" s="1" customFormat="1" ht="18" customHeight="1" spans="2:13">
      <c r="B46" s="2">
        <v>21</v>
      </c>
      <c r="C46" s="2">
        <f t="shared" si="0"/>
        <v>21000</v>
      </c>
      <c r="D46" s="2">
        <f>ROUND($C$8*$C$5+$C$8*$C$4*(1-$L$5),0)</f>
        <v>88</v>
      </c>
      <c r="E46" s="2">
        <f t="shared" si="1"/>
        <v>1848</v>
      </c>
      <c r="F46" s="2">
        <f>ROUND(E46*VLOOKUP($B$10,总产出!$T$4:$U$14,2,FALSE),0)</f>
        <v>92</v>
      </c>
      <c r="G46" s="2">
        <f t="shared" si="2"/>
        <v>0</v>
      </c>
      <c r="H46" s="2">
        <f t="shared" si="3"/>
        <v>0</v>
      </c>
      <c r="I46" s="2"/>
      <c r="J46" s="2"/>
      <c r="K46" s="2"/>
      <c r="L46" s="2"/>
      <c r="M46" s="2"/>
    </row>
    <row r="47" s="1" customFormat="1" ht="18" customHeight="1" spans="2:13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97</v>
      </c>
      <c r="G47" s="2">
        <f t="shared" si="2"/>
        <v>0</v>
      </c>
      <c r="H47" s="2">
        <f t="shared" si="3"/>
        <v>0</v>
      </c>
      <c r="I47" s="2"/>
      <c r="J47" s="2"/>
      <c r="K47" s="2"/>
      <c r="L47" s="2"/>
      <c r="M47" s="2"/>
    </row>
    <row r="48" s="1" customFormat="1" ht="18" customHeight="1" spans="2:13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101</v>
      </c>
      <c r="G48" s="2">
        <f t="shared" si="2"/>
        <v>0</v>
      </c>
      <c r="H48" s="2">
        <f t="shared" si="3"/>
        <v>0</v>
      </c>
      <c r="I48" s="2"/>
      <c r="J48" s="2"/>
      <c r="K48" s="2"/>
      <c r="L48" s="2"/>
      <c r="M48" s="2"/>
    </row>
    <row r="49" s="1" customFormat="1" ht="18" customHeight="1" spans="2:13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106</v>
      </c>
      <c r="G49" s="2">
        <f t="shared" si="2"/>
        <v>0</v>
      </c>
      <c r="H49" s="2">
        <f t="shared" si="3"/>
        <v>0</v>
      </c>
      <c r="I49" s="2"/>
      <c r="J49" s="2"/>
      <c r="K49" s="2"/>
      <c r="L49" s="2"/>
      <c r="M49" s="2"/>
    </row>
    <row r="50" s="1" customFormat="1" ht="18" customHeight="1" spans="2:13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110</v>
      </c>
      <c r="G50" s="2">
        <f t="shared" si="2"/>
        <v>0</v>
      </c>
      <c r="H50" s="2">
        <f t="shared" si="3"/>
        <v>0</v>
      </c>
      <c r="I50" s="2"/>
      <c r="J50" s="2"/>
      <c r="K50" s="2"/>
      <c r="L50" s="2"/>
      <c r="M50" s="2"/>
    </row>
    <row r="51" s="1" customFormat="1" ht="18" customHeight="1" spans="2:13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114</v>
      </c>
      <c r="G51" s="2">
        <f t="shared" si="2"/>
        <v>0</v>
      </c>
      <c r="H51" s="2">
        <f t="shared" si="3"/>
        <v>0</v>
      </c>
      <c r="I51" s="2"/>
      <c r="J51" s="2"/>
      <c r="K51" s="2"/>
      <c r="L51" s="2"/>
      <c r="M51" s="2"/>
    </row>
    <row r="52" s="1" customFormat="1" ht="18" customHeight="1" spans="2:13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119</v>
      </c>
      <c r="G52" s="2">
        <f t="shared" si="2"/>
        <v>0</v>
      </c>
      <c r="H52" s="2">
        <f t="shared" si="3"/>
        <v>0</v>
      </c>
      <c r="I52" s="2"/>
      <c r="J52" s="2"/>
      <c r="K52" s="2"/>
      <c r="L52" s="2"/>
      <c r="M52" s="2"/>
    </row>
    <row r="53" s="1" customFormat="1" ht="18" customHeight="1" spans="2:13">
      <c r="B53" s="2">
        <v>28</v>
      </c>
      <c r="C53" s="2">
        <f t="shared" si="0"/>
        <v>28000</v>
      </c>
      <c r="D53" s="2">
        <f>ROUND($C$8*$C$5+$C$8*$C$4*(1-$L$5),0)</f>
        <v>88</v>
      </c>
      <c r="E53" s="2">
        <f t="shared" si="1"/>
        <v>2464</v>
      </c>
      <c r="F53" s="2">
        <f>ROUND(E53*VLOOKUP($B$10,总产出!$T$4:$U$14,2,FALSE),0)</f>
        <v>123</v>
      </c>
      <c r="G53" s="2">
        <f t="shared" si="2"/>
        <v>0</v>
      </c>
      <c r="H53" s="2">
        <f t="shared" si="3"/>
        <v>0</v>
      </c>
      <c r="I53" s="2"/>
      <c r="J53" s="2"/>
      <c r="K53" s="2"/>
      <c r="L53" s="2"/>
      <c r="M53" s="2"/>
    </row>
    <row r="54" s="1" customFormat="1" ht="18" customHeight="1" spans="2:13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128</v>
      </c>
      <c r="G54" s="2">
        <f t="shared" si="2"/>
        <v>0</v>
      </c>
      <c r="H54" s="2">
        <f t="shared" si="3"/>
        <v>0</v>
      </c>
      <c r="I54" s="2"/>
      <c r="J54" s="2"/>
      <c r="K54" s="2"/>
      <c r="L54" s="2"/>
      <c r="M54" s="2"/>
    </row>
    <row r="55" s="1" customFormat="1" ht="18" customHeight="1" spans="2:13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132</v>
      </c>
      <c r="G55" s="2">
        <f t="shared" si="2"/>
        <v>0</v>
      </c>
      <c r="H55" s="2">
        <f t="shared" si="3"/>
        <v>0</v>
      </c>
      <c r="I55" s="2"/>
      <c r="J55" s="2"/>
      <c r="K55" s="2"/>
      <c r="L55" s="2"/>
      <c r="M55" s="2"/>
    </row>
    <row r="56" s="1" customFormat="1" ht="18" customHeight="1" spans="2:13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136</v>
      </c>
      <c r="G56" s="2">
        <f t="shared" si="2"/>
        <v>0</v>
      </c>
      <c r="H56" s="2">
        <f t="shared" si="3"/>
        <v>0</v>
      </c>
      <c r="I56" s="2"/>
      <c r="J56" s="2"/>
      <c r="K56" s="2"/>
      <c r="L56" s="2"/>
      <c r="M56" s="2"/>
    </row>
    <row r="57" s="1" customFormat="1" ht="18" customHeight="1" spans="2:13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141</v>
      </c>
      <c r="G57" s="2">
        <f t="shared" si="2"/>
        <v>0</v>
      </c>
      <c r="H57" s="2">
        <f t="shared" si="3"/>
        <v>0</v>
      </c>
      <c r="I57" s="2"/>
      <c r="J57" s="2"/>
      <c r="K57" s="2"/>
      <c r="L57" s="2"/>
      <c r="M57" s="2"/>
    </row>
    <row r="58" s="1" customFormat="1" ht="18" customHeight="1" spans="2:13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145</v>
      </c>
      <c r="G58" s="2">
        <f t="shared" si="2"/>
        <v>0</v>
      </c>
      <c r="H58" s="2">
        <f t="shared" si="3"/>
        <v>0</v>
      </c>
      <c r="I58" s="2"/>
      <c r="J58" s="2"/>
      <c r="K58" s="2"/>
      <c r="L58" s="2"/>
      <c r="M58" s="2"/>
    </row>
    <row r="59" s="1" customFormat="1" ht="18" customHeight="1" spans="2:13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150</v>
      </c>
      <c r="G59" s="2">
        <f t="shared" si="2"/>
        <v>0</v>
      </c>
      <c r="H59" s="2">
        <f t="shared" si="3"/>
        <v>0</v>
      </c>
      <c r="I59" s="2"/>
      <c r="J59" s="2"/>
      <c r="K59" s="2"/>
      <c r="L59" s="2"/>
      <c r="M59" s="2"/>
    </row>
    <row r="60" s="1" customFormat="1" ht="18" customHeight="1" spans="2:13">
      <c r="B60" s="2">
        <v>35</v>
      </c>
      <c r="C60" s="2">
        <f t="shared" si="0"/>
        <v>35000</v>
      </c>
      <c r="D60" s="2">
        <f>ROUND($C$8*$C$5+$C$8*$C$4*(1-$L$5),0)</f>
        <v>88</v>
      </c>
      <c r="E60" s="2">
        <f t="shared" si="1"/>
        <v>3080</v>
      </c>
      <c r="F60" s="2">
        <f>ROUND(E60*VLOOKUP($B$10,总产出!$T$4:$U$14,2,FALSE),0)</f>
        <v>154</v>
      </c>
      <c r="G60" s="2">
        <f t="shared" si="2"/>
        <v>0</v>
      </c>
      <c r="H60" s="2">
        <f t="shared" si="3"/>
        <v>0</v>
      </c>
      <c r="I60" s="2"/>
      <c r="J60" s="2"/>
      <c r="K60" s="2"/>
      <c r="L60" s="2"/>
      <c r="M60" s="2"/>
    </row>
    <row r="61" s="1" customFormat="1" ht="18" customHeight="1" spans="2:13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158</v>
      </c>
      <c r="G61" s="2">
        <f t="shared" si="2"/>
        <v>0</v>
      </c>
      <c r="H61" s="2">
        <f t="shared" si="3"/>
        <v>0</v>
      </c>
      <c r="I61" s="2"/>
      <c r="J61" s="2"/>
      <c r="K61" s="2"/>
      <c r="L61" s="2"/>
      <c r="M61" s="2"/>
    </row>
    <row r="62" s="1" customFormat="1" ht="18" customHeight="1" spans="2:13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163</v>
      </c>
      <c r="G62" s="2">
        <f t="shared" si="2"/>
        <v>0</v>
      </c>
      <c r="H62" s="2">
        <f t="shared" si="3"/>
        <v>0</v>
      </c>
      <c r="I62" s="2"/>
      <c r="J62" s="2"/>
      <c r="K62" s="2"/>
      <c r="L62" s="2"/>
      <c r="M62" s="2"/>
    </row>
    <row r="63" s="1" customFormat="1" ht="18" customHeight="1" spans="2:13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167</v>
      </c>
      <c r="G63" s="2">
        <f t="shared" si="2"/>
        <v>0</v>
      </c>
      <c r="H63" s="2">
        <f t="shared" si="3"/>
        <v>0</v>
      </c>
      <c r="I63" s="2"/>
      <c r="J63" s="2"/>
      <c r="K63" s="2"/>
      <c r="L63" s="2"/>
      <c r="M63" s="2"/>
    </row>
    <row r="64" s="1" customFormat="1" ht="18" customHeight="1" spans="2:13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172</v>
      </c>
      <c r="G64" s="2">
        <f t="shared" si="2"/>
        <v>0</v>
      </c>
      <c r="H64" s="2">
        <f t="shared" si="3"/>
        <v>0</v>
      </c>
      <c r="I64" s="2"/>
      <c r="J64" s="2"/>
      <c r="K64" s="2"/>
      <c r="L64" s="2"/>
      <c r="M64" s="2"/>
    </row>
    <row r="65" s="1" customFormat="1" ht="18" customHeight="1" spans="2:13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176</v>
      </c>
      <c r="G65" s="2">
        <f t="shared" si="2"/>
        <v>0</v>
      </c>
      <c r="H65" s="2">
        <f t="shared" si="3"/>
        <v>0</v>
      </c>
      <c r="I65" s="2"/>
      <c r="J65" s="2"/>
      <c r="K65" s="2"/>
      <c r="L65" s="2"/>
      <c r="M65" s="2"/>
    </row>
    <row r="66" s="1" customFormat="1" ht="18" customHeight="1" spans="2:13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180</v>
      </c>
      <c r="G66" s="2">
        <f t="shared" si="2"/>
        <v>0</v>
      </c>
      <c r="H66" s="2">
        <f t="shared" si="3"/>
        <v>0</v>
      </c>
      <c r="I66" s="2"/>
      <c r="J66" s="2"/>
      <c r="K66" s="2"/>
      <c r="L66" s="2"/>
      <c r="M66" s="2"/>
    </row>
    <row r="67" s="1" customFormat="1" ht="18" customHeight="1" spans="2:13">
      <c r="B67" s="2">
        <v>42</v>
      </c>
      <c r="C67" s="2">
        <f t="shared" si="0"/>
        <v>42000</v>
      </c>
      <c r="D67" s="2">
        <f>ROUND($C$8*$C$5+$C$8*$C$4*(1-$L$5),0)</f>
        <v>88</v>
      </c>
      <c r="E67" s="2">
        <f t="shared" si="1"/>
        <v>3696</v>
      </c>
      <c r="F67" s="2">
        <f>ROUND(E67*VLOOKUP($B$10,总产出!$T$4:$U$14,2,FALSE),0)</f>
        <v>185</v>
      </c>
      <c r="G67" s="2">
        <f t="shared" si="2"/>
        <v>0</v>
      </c>
      <c r="H67" s="2">
        <f t="shared" si="3"/>
        <v>0</v>
      </c>
      <c r="I67" s="2"/>
      <c r="J67" s="2"/>
      <c r="K67" s="2"/>
      <c r="L67" s="2"/>
      <c r="M67" s="2"/>
    </row>
    <row r="68" s="1" customFormat="1" ht="18" customHeight="1" spans="2:13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189</v>
      </c>
      <c r="G68" s="2">
        <f t="shared" si="2"/>
        <v>0</v>
      </c>
      <c r="H68" s="2">
        <f t="shared" si="3"/>
        <v>0</v>
      </c>
      <c r="I68" s="2"/>
      <c r="J68" s="2"/>
      <c r="K68" s="2"/>
      <c r="L68" s="2"/>
      <c r="M68" s="2"/>
    </row>
    <row r="69" s="1" customFormat="1" ht="18" customHeight="1" spans="2:13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194</v>
      </c>
      <c r="G69" s="2">
        <f t="shared" si="2"/>
        <v>0</v>
      </c>
      <c r="H69" s="2">
        <f t="shared" si="3"/>
        <v>0</v>
      </c>
      <c r="I69" s="2"/>
      <c r="J69" s="2"/>
      <c r="K69" s="2"/>
      <c r="L69" s="2"/>
      <c r="M69" s="2"/>
    </row>
    <row r="70" s="1" customFormat="1" ht="18" customHeight="1" spans="2:13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198</v>
      </c>
      <c r="G70" s="2">
        <f t="shared" si="2"/>
        <v>0</v>
      </c>
      <c r="H70" s="2">
        <f t="shared" si="3"/>
        <v>0</v>
      </c>
      <c r="I70" s="2"/>
      <c r="J70" s="2"/>
      <c r="K70" s="2"/>
      <c r="L70" s="2"/>
      <c r="M70" s="2"/>
    </row>
    <row r="71" s="1" customFormat="1" ht="18" customHeight="1" spans="2:13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202</v>
      </c>
      <c r="G71" s="2">
        <f t="shared" si="2"/>
        <v>0</v>
      </c>
      <c r="H71" s="2">
        <f t="shared" si="3"/>
        <v>0</v>
      </c>
      <c r="I71" s="2"/>
      <c r="J71" s="2"/>
      <c r="K71" s="2"/>
      <c r="L71" s="2"/>
      <c r="M71" s="2"/>
    </row>
    <row r="72" s="1" customFormat="1" ht="18" customHeight="1" spans="2:13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207</v>
      </c>
      <c r="G72" s="2">
        <f t="shared" si="2"/>
        <v>0</v>
      </c>
      <c r="H72" s="2">
        <f t="shared" si="3"/>
        <v>0</v>
      </c>
      <c r="I72" s="2"/>
      <c r="J72" s="2"/>
      <c r="K72" s="2"/>
      <c r="L72" s="2"/>
      <c r="M72" s="2"/>
    </row>
    <row r="73" s="1" customFormat="1" ht="18" customHeight="1" spans="2:13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211</v>
      </c>
      <c r="G73" s="2">
        <f t="shared" si="2"/>
        <v>0</v>
      </c>
      <c r="H73" s="2">
        <f t="shared" si="3"/>
        <v>0</v>
      </c>
      <c r="I73" s="2"/>
      <c r="J73" s="2"/>
      <c r="K73" s="2"/>
      <c r="L73" s="2"/>
      <c r="M73" s="2"/>
    </row>
    <row r="74" s="1" customFormat="1" ht="18" customHeight="1" spans="2:13">
      <c r="B74" s="2">
        <v>49</v>
      </c>
      <c r="C74" s="2">
        <f t="shared" si="0"/>
        <v>49000</v>
      </c>
      <c r="D74" s="2">
        <f>ROUND($C$8*$C$5+$C$8*$C$4*(1-$L$5),0)</f>
        <v>88</v>
      </c>
      <c r="E74" s="2">
        <f t="shared" si="1"/>
        <v>4312</v>
      </c>
      <c r="F74" s="2">
        <f>ROUND(E74*VLOOKUP($B$10,总产出!$T$4:$U$14,2,FALSE),0)</f>
        <v>216</v>
      </c>
      <c r="G74" s="2">
        <f t="shared" si="2"/>
        <v>0</v>
      </c>
      <c r="H74" s="2">
        <f t="shared" si="3"/>
        <v>0</v>
      </c>
      <c r="I74" s="2"/>
      <c r="J74" s="2"/>
      <c r="K74" s="2"/>
      <c r="L74" s="2"/>
      <c r="M74" s="2"/>
    </row>
    <row r="75" s="1" customFormat="1" ht="18" customHeight="1" spans="2:13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220</v>
      </c>
      <c r="G75" s="2">
        <f t="shared" si="2"/>
        <v>0</v>
      </c>
      <c r="H75" s="2">
        <f t="shared" si="3"/>
        <v>0</v>
      </c>
      <c r="I75" s="2"/>
      <c r="J75" s="2"/>
      <c r="K75" s="2"/>
      <c r="L75" s="2"/>
      <c r="M75" s="2"/>
    </row>
    <row r="76" s="1" customFormat="1" ht="18" customHeight="1" spans="2:13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224</v>
      </c>
      <c r="G76" s="2">
        <f t="shared" si="2"/>
        <v>0</v>
      </c>
      <c r="H76" s="2">
        <f t="shared" si="3"/>
        <v>0</v>
      </c>
      <c r="I76" s="2"/>
      <c r="J76" s="2"/>
      <c r="K76" s="2"/>
      <c r="L76" s="2"/>
      <c r="M76" s="2"/>
    </row>
    <row r="77" s="1" customFormat="1" ht="18" customHeight="1" spans="2:13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229</v>
      </c>
      <c r="G77" s="2">
        <f t="shared" si="2"/>
        <v>0</v>
      </c>
      <c r="H77" s="2">
        <f t="shared" si="3"/>
        <v>0</v>
      </c>
      <c r="I77" s="2"/>
      <c r="J77" s="2"/>
      <c r="K77" s="2"/>
      <c r="L77" s="2"/>
      <c r="M77" s="2"/>
    </row>
    <row r="78" s="1" customFormat="1" ht="18" customHeight="1" spans="2:13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233</v>
      </c>
      <c r="G78" s="2">
        <f t="shared" si="2"/>
        <v>0</v>
      </c>
      <c r="H78" s="2">
        <f t="shared" si="3"/>
        <v>0</v>
      </c>
      <c r="I78" s="2"/>
      <c r="J78" s="2"/>
      <c r="K78" s="2"/>
      <c r="L78" s="2"/>
      <c r="M78" s="2"/>
    </row>
    <row r="79" s="1" customFormat="1" ht="18" customHeight="1" spans="2:13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238</v>
      </c>
      <c r="G79" s="2">
        <f t="shared" si="2"/>
        <v>0</v>
      </c>
      <c r="H79" s="2">
        <f t="shared" si="3"/>
        <v>0</v>
      </c>
      <c r="I79" s="2"/>
      <c r="J79" s="2"/>
      <c r="K79" s="2"/>
      <c r="L79" s="2"/>
      <c r="M79" s="2"/>
    </row>
    <row r="80" s="1" customFormat="1" ht="18" customHeight="1" spans="2:13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242</v>
      </c>
      <c r="G80" s="2">
        <f t="shared" si="2"/>
        <v>0</v>
      </c>
      <c r="H80" s="2">
        <f t="shared" si="3"/>
        <v>0</v>
      </c>
      <c r="I80" s="2"/>
      <c r="J80" s="2"/>
      <c r="K80" s="2"/>
      <c r="L80" s="2"/>
      <c r="M80" s="2"/>
    </row>
    <row r="81" s="1" customFormat="1" ht="18" customHeight="1" spans="2:13">
      <c r="B81" s="2">
        <v>56</v>
      </c>
      <c r="C81" s="2">
        <f t="shared" si="0"/>
        <v>56000</v>
      </c>
      <c r="D81" s="2">
        <f>ROUND($C$8*$C$5+$C$8*$C$4*(1-$L$5),0)</f>
        <v>88</v>
      </c>
      <c r="E81" s="2">
        <f t="shared" si="1"/>
        <v>4928</v>
      </c>
      <c r="F81" s="2">
        <f>ROUND(E81*VLOOKUP($B$10,总产出!$T$4:$U$14,2,FALSE),0)</f>
        <v>246</v>
      </c>
      <c r="G81" s="2">
        <f t="shared" si="2"/>
        <v>0</v>
      </c>
      <c r="H81" s="2">
        <f t="shared" si="3"/>
        <v>0</v>
      </c>
      <c r="I81" s="2"/>
      <c r="J81" s="2"/>
      <c r="K81" s="2"/>
      <c r="L81" s="2"/>
      <c r="M81" s="2"/>
    </row>
    <row r="82" s="1" customFormat="1" ht="18" customHeight="1" spans="2:13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251</v>
      </c>
      <c r="G82" s="2">
        <f t="shared" si="2"/>
        <v>0</v>
      </c>
      <c r="H82" s="2">
        <f t="shared" si="3"/>
        <v>0</v>
      </c>
      <c r="I82" s="2"/>
      <c r="J82" s="2"/>
      <c r="K82" s="2"/>
      <c r="L82" s="2"/>
      <c r="M82" s="2"/>
    </row>
    <row r="83" s="1" customFormat="1" ht="18" customHeight="1" spans="2:13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255</v>
      </c>
      <c r="G83" s="2">
        <f t="shared" si="2"/>
        <v>0</v>
      </c>
      <c r="H83" s="2">
        <f t="shared" si="3"/>
        <v>0</v>
      </c>
      <c r="I83" s="2"/>
      <c r="J83" s="2"/>
      <c r="K83" s="2"/>
      <c r="L83" s="2"/>
      <c r="M83" s="2"/>
    </row>
    <row r="84" s="1" customFormat="1" ht="18" customHeight="1" spans="2:13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260</v>
      </c>
      <c r="G84" s="2">
        <f t="shared" si="2"/>
        <v>0</v>
      </c>
      <c r="H84" s="2">
        <f t="shared" si="3"/>
        <v>0</v>
      </c>
      <c r="I84" s="2"/>
      <c r="J84" s="2"/>
      <c r="K84" s="2"/>
      <c r="L84" s="2"/>
      <c r="M84" s="2"/>
    </row>
    <row r="85" s="1" customFormat="1" ht="18" customHeight="1" spans="2:13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264</v>
      </c>
      <c r="G85" s="2">
        <f t="shared" si="2"/>
        <v>0</v>
      </c>
      <c r="H85" s="2">
        <f t="shared" si="3"/>
        <v>0</v>
      </c>
      <c r="I85" s="2"/>
      <c r="J85" s="2"/>
      <c r="K85" s="2"/>
      <c r="L85" s="2"/>
      <c r="M85" s="2"/>
    </row>
    <row r="86" s="1" customFormat="1" ht="18" customHeight="1" spans="2:13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268</v>
      </c>
      <c r="G86" s="2">
        <f t="shared" si="2"/>
        <v>0</v>
      </c>
      <c r="H86" s="2">
        <f t="shared" si="3"/>
        <v>0</v>
      </c>
      <c r="I86" s="2"/>
      <c r="J86" s="2"/>
      <c r="K86" s="2"/>
      <c r="L86" s="2"/>
      <c r="M86" s="2"/>
    </row>
    <row r="87" s="1" customFormat="1" ht="18" customHeight="1" spans="2:13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273</v>
      </c>
      <c r="G87" s="2">
        <f t="shared" si="2"/>
        <v>0</v>
      </c>
      <c r="H87" s="2">
        <f t="shared" si="3"/>
        <v>0</v>
      </c>
      <c r="I87" s="2"/>
      <c r="J87" s="2"/>
      <c r="K87" s="2"/>
      <c r="L87" s="2"/>
      <c r="M87" s="2"/>
    </row>
    <row r="88" s="1" customFormat="1" ht="18" customHeight="1" spans="2:13">
      <c r="B88" s="2">
        <v>63</v>
      </c>
      <c r="C88" s="2">
        <f t="shared" si="0"/>
        <v>63000</v>
      </c>
      <c r="D88" s="2">
        <f>ROUND($C$8*$C$5+$C$8*$C$4*(1-$L$5),0)</f>
        <v>88</v>
      </c>
      <c r="E88" s="2">
        <f t="shared" si="1"/>
        <v>5544</v>
      </c>
      <c r="F88" s="2">
        <f>ROUND(E88*VLOOKUP($B$10,总产出!$T$4:$U$14,2,FALSE),0)</f>
        <v>277</v>
      </c>
      <c r="G88" s="2">
        <f t="shared" si="2"/>
        <v>0</v>
      </c>
      <c r="H88" s="2">
        <f t="shared" si="3"/>
        <v>0</v>
      </c>
      <c r="I88" s="2"/>
      <c r="J88" s="2"/>
      <c r="K88" s="2"/>
      <c r="L88" s="2"/>
      <c r="M88" s="2"/>
    </row>
    <row r="89" s="1" customFormat="1" ht="18" customHeight="1" spans="2:13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282</v>
      </c>
      <c r="G89" s="2">
        <f t="shared" si="2"/>
        <v>0</v>
      </c>
      <c r="H89" s="2">
        <f t="shared" si="3"/>
        <v>0</v>
      </c>
      <c r="I89" s="2"/>
      <c r="J89" s="2"/>
      <c r="K89" s="2"/>
      <c r="L89" s="2"/>
      <c r="M89" s="2"/>
    </row>
    <row r="90" s="1" customFormat="1" ht="18" customHeight="1" spans="2:13">
      <c r="B90" s="2">
        <v>65</v>
      </c>
      <c r="C90" s="2">
        <f t="shared" ref="C90:C125" si="4">$C$8*B90</f>
        <v>65000</v>
      </c>
      <c r="D90" s="2">
        <f>ROUND($C$8*$C$5+$C$8*$C$4*(1-$L$5),0)</f>
        <v>88</v>
      </c>
      <c r="E90" s="2">
        <f t="shared" ref="E90:E125" si="5">D90*B90</f>
        <v>5720</v>
      </c>
      <c r="F90" s="2">
        <f>ROUND(E90*VLOOKUP($B$10,总产出!$T$4:$U$14,2,FALSE),0)</f>
        <v>286</v>
      </c>
      <c r="G90" s="2">
        <f t="shared" ref="G90:G125" si="6">SUM(I90:M90)</f>
        <v>0</v>
      </c>
      <c r="H90" s="2">
        <f t="shared" si="3"/>
        <v>0</v>
      </c>
      <c r="I90" s="2"/>
      <c r="J90" s="2"/>
      <c r="K90" s="2"/>
      <c r="L90" s="2"/>
      <c r="M90" s="2"/>
    </row>
    <row r="91" s="1" customFormat="1" ht="18" customHeight="1" spans="2:13">
      <c r="B91" s="2">
        <v>66</v>
      </c>
      <c r="C91" s="2">
        <f t="shared" si="4"/>
        <v>66000</v>
      </c>
      <c r="D91" s="2">
        <f>ROUND($C$8*$C$5+$C$8*$C$4*(1-$L$5),0)</f>
        <v>88</v>
      </c>
      <c r="E91" s="2">
        <f t="shared" si="5"/>
        <v>5808</v>
      </c>
      <c r="F91" s="2">
        <f>ROUND(E91*VLOOKUP($B$10,总产出!$T$4:$U$14,2,FALSE),0)</f>
        <v>290</v>
      </c>
      <c r="G91" s="2">
        <f t="shared" si="6"/>
        <v>0</v>
      </c>
      <c r="H91" s="2">
        <f t="shared" ref="H91:H125" si="7">G91+H90</f>
        <v>0</v>
      </c>
      <c r="I91" s="2"/>
      <c r="J91" s="2"/>
      <c r="K91" s="2"/>
      <c r="L91" s="2"/>
      <c r="M91" s="2"/>
    </row>
    <row r="92" s="1" customFormat="1" ht="18" customHeight="1" spans="2:13">
      <c r="B92" s="2">
        <v>67</v>
      </c>
      <c r="C92" s="2">
        <f t="shared" si="4"/>
        <v>67000</v>
      </c>
      <c r="D92" s="2">
        <f>ROUND($C$8*$C$5+$C$8*$C$4*(1-$L$5),0)</f>
        <v>88</v>
      </c>
      <c r="E92" s="2">
        <f t="shared" si="5"/>
        <v>5896</v>
      </c>
      <c r="F92" s="2">
        <f>ROUND(E92*VLOOKUP($B$10,总产出!$T$4:$U$14,2,FALSE),0)</f>
        <v>295</v>
      </c>
      <c r="G92" s="2">
        <f t="shared" si="6"/>
        <v>0</v>
      </c>
      <c r="H92" s="2">
        <f t="shared" si="7"/>
        <v>0</v>
      </c>
      <c r="I92" s="2"/>
      <c r="J92" s="2"/>
      <c r="K92" s="2"/>
      <c r="L92" s="2"/>
      <c r="M92" s="2"/>
    </row>
    <row r="93" s="1" customFormat="1" ht="18" customHeight="1" spans="2:13">
      <c r="B93" s="2">
        <v>68</v>
      </c>
      <c r="C93" s="2">
        <f t="shared" si="4"/>
        <v>68000</v>
      </c>
      <c r="D93" s="2">
        <f>ROUND($C$8*$C$5+$C$8*$C$4*(1-$L$5),0)</f>
        <v>88</v>
      </c>
      <c r="E93" s="2">
        <f t="shared" si="5"/>
        <v>5984</v>
      </c>
      <c r="F93" s="2">
        <f>ROUND(E93*VLOOKUP($B$10,总产出!$T$4:$U$14,2,FALSE),0)</f>
        <v>299</v>
      </c>
      <c r="G93" s="2">
        <f t="shared" si="6"/>
        <v>0</v>
      </c>
      <c r="H93" s="2">
        <f t="shared" si="7"/>
        <v>0</v>
      </c>
      <c r="I93" s="2"/>
      <c r="J93" s="2"/>
      <c r="K93" s="2"/>
      <c r="L93" s="2"/>
      <c r="M93" s="2"/>
    </row>
    <row r="94" s="1" customFormat="1" ht="18" customHeight="1" spans="2:13">
      <c r="B94" s="2">
        <v>69</v>
      </c>
      <c r="C94" s="2">
        <f t="shared" si="4"/>
        <v>69000</v>
      </c>
      <c r="D94" s="2">
        <f>ROUND($C$8*$C$5+$C$8*$C$4*(1-$L$5),0)</f>
        <v>88</v>
      </c>
      <c r="E94" s="2">
        <f t="shared" si="5"/>
        <v>6072</v>
      </c>
      <c r="F94" s="2">
        <f>ROUND(E94*VLOOKUP($B$10,总产出!$T$4:$U$14,2,FALSE),0)</f>
        <v>304</v>
      </c>
      <c r="G94" s="2">
        <f t="shared" si="6"/>
        <v>0</v>
      </c>
      <c r="H94" s="2">
        <f t="shared" si="7"/>
        <v>0</v>
      </c>
      <c r="I94" s="2"/>
      <c r="J94" s="2"/>
      <c r="K94" s="2"/>
      <c r="L94" s="2"/>
      <c r="M94" s="2"/>
    </row>
    <row r="95" s="1" customFormat="1" ht="18" customHeight="1" spans="2:13">
      <c r="B95" s="2">
        <v>70</v>
      </c>
      <c r="C95" s="2">
        <f t="shared" si="4"/>
        <v>70000</v>
      </c>
      <c r="D95" s="2">
        <f>ROUND($C$8*$C$5+$C$8*$C$4*(1-$L$5),0)</f>
        <v>88</v>
      </c>
      <c r="E95" s="2">
        <f t="shared" si="5"/>
        <v>6160</v>
      </c>
      <c r="F95" s="2">
        <f>ROUND(E95*VLOOKUP($B$10,总产出!$T$4:$U$14,2,FALSE),0)</f>
        <v>308</v>
      </c>
      <c r="G95" s="2">
        <f t="shared" si="6"/>
        <v>0</v>
      </c>
      <c r="H95" s="2">
        <f t="shared" si="7"/>
        <v>0</v>
      </c>
      <c r="I95" s="2"/>
      <c r="J95" s="2"/>
      <c r="K95" s="2"/>
      <c r="L95" s="2"/>
      <c r="M95" s="2"/>
    </row>
    <row r="96" s="1" customFormat="1" ht="18" customHeight="1" spans="2:13">
      <c r="B96" s="2">
        <v>71</v>
      </c>
      <c r="C96" s="2">
        <f t="shared" si="4"/>
        <v>71000</v>
      </c>
      <c r="D96" s="2">
        <f>ROUND($C$8*$C$5+$C$8*$C$4*(1-$L$5),0)</f>
        <v>88</v>
      </c>
      <c r="E96" s="2">
        <f t="shared" si="5"/>
        <v>6248</v>
      </c>
      <c r="F96" s="2">
        <f>ROUND(E96*VLOOKUP($B$10,总产出!$T$4:$U$14,2,FALSE),0)</f>
        <v>312</v>
      </c>
      <c r="G96" s="2">
        <f t="shared" si="6"/>
        <v>0</v>
      </c>
      <c r="H96" s="2">
        <f t="shared" si="7"/>
        <v>0</v>
      </c>
      <c r="I96" s="2"/>
      <c r="J96" s="2"/>
      <c r="K96" s="2"/>
      <c r="L96" s="2"/>
      <c r="M96" s="2"/>
    </row>
    <row r="97" s="1" customFormat="1" ht="18" customHeight="1" spans="2:13">
      <c r="B97" s="2">
        <v>72</v>
      </c>
      <c r="C97" s="2">
        <f t="shared" si="4"/>
        <v>72000</v>
      </c>
      <c r="D97" s="2">
        <f>ROUND($C$8*$C$5+$C$8*$C$4*(1-$L$5),0)</f>
        <v>88</v>
      </c>
      <c r="E97" s="2">
        <f t="shared" si="5"/>
        <v>6336</v>
      </c>
      <c r="F97" s="2">
        <f>ROUND(E97*VLOOKUP($B$10,总产出!$T$4:$U$14,2,FALSE),0)</f>
        <v>317</v>
      </c>
      <c r="G97" s="2">
        <f t="shared" si="6"/>
        <v>0</v>
      </c>
      <c r="H97" s="2">
        <f t="shared" si="7"/>
        <v>0</v>
      </c>
      <c r="I97" s="2"/>
      <c r="J97" s="2"/>
      <c r="K97" s="2"/>
      <c r="L97" s="2"/>
      <c r="M97" s="2"/>
    </row>
    <row r="98" s="1" customFormat="1" ht="18" customHeight="1" spans="2:13">
      <c r="B98" s="2">
        <v>73</v>
      </c>
      <c r="C98" s="2">
        <f t="shared" si="4"/>
        <v>73000</v>
      </c>
      <c r="D98" s="2">
        <f>ROUND($C$8*$C$5+$C$8*$C$4*(1-$L$5),0)</f>
        <v>88</v>
      </c>
      <c r="E98" s="2">
        <f t="shared" si="5"/>
        <v>6424</v>
      </c>
      <c r="F98" s="2">
        <f>ROUND(E98*VLOOKUP($B$10,总产出!$T$4:$U$14,2,FALSE),0)</f>
        <v>321</v>
      </c>
      <c r="G98" s="2">
        <f t="shared" si="6"/>
        <v>0</v>
      </c>
      <c r="H98" s="2">
        <f t="shared" si="7"/>
        <v>0</v>
      </c>
      <c r="I98" s="2"/>
      <c r="J98" s="2"/>
      <c r="K98" s="2"/>
      <c r="L98" s="2"/>
      <c r="M98" s="2"/>
    </row>
    <row r="99" s="1" customFormat="1" ht="18" customHeight="1" spans="2:13">
      <c r="B99" s="2">
        <v>74</v>
      </c>
      <c r="C99" s="2">
        <f t="shared" si="4"/>
        <v>74000</v>
      </c>
      <c r="D99" s="2">
        <f>ROUND($C$8*$C$5+$C$8*$C$4*(1-$L$5),0)</f>
        <v>88</v>
      </c>
      <c r="E99" s="2">
        <f t="shared" si="5"/>
        <v>6512</v>
      </c>
      <c r="F99" s="2">
        <f>ROUND(E99*VLOOKUP($B$10,总产出!$T$4:$U$14,2,FALSE),0)</f>
        <v>326</v>
      </c>
      <c r="G99" s="2">
        <f t="shared" si="6"/>
        <v>0</v>
      </c>
      <c r="H99" s="2">
        <f t="shared" si="7"/>
        <v>0</v>
      </c>
      <c r="I99" s="2"/>
      <c r="J99" s="2"/>
      <c r="K99" s="2"/>
      <c r="L99" s="2"/>
      <c r="M99" s="2"/>
    </row>
    <row r="100" s="1" customFormat="1" ht="18" customHeight="1" spans="2:13">
      <c r="B100" s="2">
        <v>75</v>
      </c>
      <c r="C100" s="2">
        <f t="shared" si="4"/>
        <v>75000</v>
      </c>
      <c r="D100" s="2">
        <f>ROUND($C$8*$C$5+$C$8*$C$4*(1-$L$5),0)</f>
        <v>88</v>
      </c>
      <c r="E100" s="2">
        <f t="shared" si="5"/>
        <v>6600</v>
      </c>
      <c r="F100" s="2">
        <f>ROUND(E100*VLOOKUP($B$10,总产出!$T$4:$U$14,2,FALSE),0)</f>
        <v>330</v>
      </c>
      <c r="G100" s="2">
        <f t="shared" si="6"/>
        <v>0</v>
      </c>
      <c r="H100" s="2">
        <f t="shared" si="7"/>
        <v>0</v>
      </c>
      <c r="I100" s="2"/>
      <c r="J100" s="2"/>
      <c r="K100" s="2"/>
      <c r="L100" s="2"/>
      <c r="M100" s="2"/>
    </row>
    <row r="101" s="1" customFormat="1" ht="18" customHeight="1" spans="2:13">
      <c r="B101" s="2">
        <v>76</v>
      </c>
      <c r="C101" s="2">
        <f t="shared" si="4"/>
        <v>76000</v>
      </c>
      <c r="D101" s="2">
        <f>ROUND($C$8*$C$5+$C$8*$C$4*(1-$L$5),0)</f>
        <v>88</v>
      </c>
      <c r="E101" s="2">
        <f t="shared" si="5"/>
        <v>6688</v>
      </c>
      <c r="F101" s="2">
        <f>ROUND(E101*VLOOKUP($B$10,总产出!$T$4:$U$14,2,FALSE),0)</f>
        <v>334</v>
      </c>
      <c r="G101" s="2">
        <f t="shared" si="6"/>
        <v>0</v>
      </c>
      <c r="H101" s="2">
        <f t="shared" si="7"/>
        <v>0</v>
      </c>
      <c r="I101" s="2"/>
      <c r="J101" s="2"/>
      <c r="K101" s="2"/>
      <c r="L101" s="2"/>
      <c r="M101" s="2"/>
    </row>
    <row r="102" s="1" customFormat="1" ht="18" customHeight="1" spans="2:13">
      <c r="B102" s="2">
        <v>77</v>
      </c>
      <c r="C102" s="2">
        <f t="shared" si="4"/>
        <v>77000</v>
      </c>
      <c r="D102" s="2">
        <f>ROUND($C$8*$C$5+$C$8*$C$4*(1-$L$5),0)</f>
        <v>88</v>
      </c>
      <c r="E102" s="2">
        <f t="shared" si="5"/>
        <v>6776</v>
      </c>
      <c r="F102" s="2">
        <f>ROUND(E102*VLOOKUP($B$10,总产出!$T$4:$U$14,2,FALSE),0)</f>
        <v>339</v>
      </c>
      <c r="G102" s="2">
        <f t="shared" si="6"/>
        <v>0</v>
      </c>
      <c r="H102" s="2">
        <f t="shared" si="7"/>
        <v>0</v>
      </c>
      <c r="I102" s="2"/>
      <c r="J102" s="2"/>
      <c r="K102" s="2"/>
      <c r="L102" s="2"/>
      <c r="M102" s="2"/>
    </row>
    <row r="103" s="1" customFormat="1" ht="18" customHeight="1" spans="2:13">
      <c r="B103" s="2">
        <v>78</v>
      </c>
      <c r="C103" s="2">
        <f t="shared" si="4"/>
        <v>78000</v>
      </c>
      <c r="D103" s="2">
        <f>ROUND($C$8*$C$5+$C$8*$C$4*(1-$L$5),0)</f>
        <v>88</v>
      </c>
      <c r="E103" s="2">
        <f t="shared" si="5"/>
        <v>6864</v>
      </c>
      <c r="F103" s="2">
        <f>ROUND(E103*VLOOKUP($B$10,总产出!$T$4:$U$14,2,FALSE),0)</f>
        <v>343</v>
      </c>
      <c r="G103" s="2">
        <f t="shared" si="6"/>
        <v>0</v>
      </c>
      <c r="H103" s="2">
        <f t="shared" si="7"/>
        <v>0</v>
      </c>
      <c r="I103" s="2"/>
      <c r="J103" s="2"/>
      <c r="K103" s="2"/>
      <c r="L103" s="2"/>
      <c r="M103" s="2"/>
    </row>
    <row r="104" s="1" customFormat="1" ht="18" customHeight="1" spans="2:13">
      <c r="B104" s="2">
        <v>79</v>
      </c>
      <c r="C104" s="2">
        <f t="shared" si="4"/>
        <v>79000</v>
      </c>
      <c r="D104" s="2">
        <f>ROUND($C$8*$C$5+$C$8*$C$4*(1-$L$5),0)</f>
        <v>88</v>
      </c>
      <c r="E104" s="2">
        <f t="shared" si="5"/>
        <v>6952</v>
      </c>
      <c r="F104" s="2">
        <f>ROUND(E104*VLOOKUP($B$10,总产出!$T$4:$U$14,2,FALSE),0)</f>
        <v>348</v>
      </c>
      <c r="G104" s="2">
        <f t="shared" si="6"/>
        <v>0</v>
      </c>
      <c r="H104" s="2">
        <f t="shared" si="7"/>
        <v>0</v>
      </c>
      <c r="I104" s="2"/>
      <c r="J104" s="2"/>
      <c r="K104" s="2"/>
      <c r="L104" s="2"/>
      <c r="M104" s="2"/>
    </row>
    <row r="105" s="1" customFormat="1" ht="18" customHeight="1" spans="2:13">
      <c r="B105" s="2">
        <v>80</v>
      </c>
      <c r="C105" s="2">
        <f t="shared" si="4"/>
        <v>80000</v>
      </c>
      <c r="D105" s="2">
        <f>ROUND($C$8*$C$5+$C$8*$C$4*(1-$L$5),0)</f>
        <v>88</v>
      </c>
      <c r="E105" s="2">
        <f t="shared" si="5"/>
        <v>7040</v>
      </c>
      <c r="F105" s="2">
        <f>ROUND(E105*VLOOKUP($B$10,总产出!$T$4:$U$14,2,FALSE),0)</f>
        <v>352</v>
      </c>
      <c r="G105" s="2">
        <f t="shared" si="6"/>
        <v>0</v>
      </c>
      <c r="H105" s="2">
        <f t="shared" si="7"/>
        <v>0</v>
      </c>
      <c r="I105" s="2"/>
      <c r="J105" s="2"/>
      <c r="K105" s="2"/>
      <c r="L105" s="2"/>
      <c r="M105" s="2"/>
    </row>
    <row r="106" s="1" customFormat="1" ht="18" customHeight="1" spans="2:13">
      <c r="B106" s="2">
        <v>81</v>
      </c>
      <c r="C106" s="2">
        <f t="shared" si="4"/>
        <v>81000</v>
      </c>
      <c r="D106" s="2">
        <f>ROUND($C$8*$C$5+$C$8*$C$4*(1-$L$5),0)</f>
        <v>88</v>
      </c>
      <c r="E106" s="2">
        <f t="shared" si="5"/>
        <v>7128</v>
      </c>
      <c r="F106" s="2">
        <f>ROUND(E106*VLOOKUP($B$10,总产出!$T$4:$U$14,2,FALSE),0)</f>
        <v>356</v>
      </c>
      <c r="G106" s="2">
        <f t="shared" si="6"/>
        <v>0</v>
      </c>
      <c r="H106" s="2">
        <f t="shared" si="7"/>
        <v>0</v>
      </c>
      <c r="I106" s="2"/>
      <c r="J106" s="2"/>
      <c r="K106" s="2"/>
      <c r="L106" s="2"/>
      <c r="M106" s="2"/>
    </row>
    <row r="107" s="1" customFormat="1" ht="18" customHeight="1" spans="2:13">
      <c r="B107" s="2">
        <v>82</v>
      </c>
      <c r="C107" s="2">
        <f t="shared" si="4"/>
        <v>82000</v>
      </c>
      <c r="D107" s="2">
        <f>ROUND($C$8*$C$5+$C$8*$C$4*(1-$L$5),0)</f>
        <v>88</v>
      </c>
      <c r="E107" s="2">
        <f t="shared" si="5"/>
        <v>7216</v>
      </c>
      <c r="F107" s="2">
        <f>ROUND(E107*VLOOKUP($B$10,总产出!$T$4:$U$14,2,FALSE),0)</f>
        <v>361</v>
      </c>
      <c r="G107" s="2">
        <f t="shared" si="6"/>
        <v>0</v>
      </c>
      <c r="H107" s="2">
        <f t="shared" si="7"/>
        <v>0</v>
      </c>
      <c r="I107" s="2"/>
      <c r="J107" s="2"/>
      <c r="K107" s="2"/>
      <c r="L107" s="2"/>
      <c r="M107" s="2"/>
    </row>
    <row r="108" s="1" customFormat="1" ht="18" customHeight="1" spans="2:13">
      <c r="B108" s="2">
        <v>83</v>
      </c>
      <c r="C108" s="2">
        <f t="shared" si="4"/>
        <v>83000</v>
      </c>
      <c r="D108" s="2">
        <f>ROUND($C$8*$C$5+$C$8*$C$4*(1-$L$5),0)</f>
        <v>88</v>
      </c>
      <c r="E108" s="2">
        <f t="shared" si="5"/>
        <v>7304</v>
      </c>
      <c r="F108" s="2">
        <f>ROUND(E108*VLOOKUP($B$10,总产出!$T$4:$U$14,2,FALSE),0)</f>
        <v>365</v>
      </c>
      <c r="G108" s="2">
        <f t="shared" si="6"/>
        <v>0</v>
      </c>
      <c r="H108" s="2">
        <f t="shared" si="7"/>
        <v>0</v>
      </c>
      <c r="I108" s="2"/>
      <c r="J108" s="2"/>
      <c r="K108" s="2"/>
      <c r="L108" s="2"/>
      <c r="M108" s="2"/>
    </row>
    <row r="109" s="1" customFormat="1" ht="18" customHeight="1" spans="2:13">
      <c r="B109" s="2">
        <v>84</v>
      </c>
      <c r="C109" s="2">
        <f t="shared" si="4"/>
        <v>84000</v>
      </c>
      <c r="D109" s="2">
        <f>ROUND($C$8*$C$5+$C$8*$C$4*(1-$L$5),0)</f>
        <v>88</v>
      </c>
      <c r="E109" s="2">
        <f t="shared" si="5"/>
        <v>7392</v>
      </c>
      <c r="F109" s="2">
        <f>ROUND(E109*VLOOKUP($B$10,总产出!$T$4:$U$14,2,FALSE),0)</f>
        <v>370</v>
      </c>
      <c r="G109" s="2">
        <f t="shared" si="6"/>
        <v>0</v>
      </c>
      <c r="H109" s="2">
        <f t="shared" si="7"/>
        <v>0</v>
      </c>
      <c r="I109" s="2"/>
      <c r="J109" s="2"/>
      <c r="K109" s="2"/>
      <c r="L109" s="2"/>
      <c r="M109" s="2"/>
    </row>
    <row r="110" s="1" customFormat="1" ht="18" customHeight="1" spans="2:13">
      <c r="B110" s="2">
        <v>85</v>
      </c>
      <c r="C110" s="2">
        <f t="shared" si="4"/>
        <v>85000</v>
      </c>
      <c r="D110" s="2">
        <f>ROUND($C$8*$C$5+$C$8*$C$4*(1-$L$5),0)</f>
        <v>88</v>
      </c>
      <c r="E110" s="2">
        <f t="shared" si="5"/>
        <v>7480</v>
      </c>
      <c r="F110" s="2">
        <f>ROUND(E110*VLOOKUP($B$10,总产出!$T$4:$U$14,2,FALSE),0)</f>
        <v>374</v>
      </c>
      <c r="G110" s="2">
        <f t="shared" si="6"/>
        <v>0</v>
      </c>
      <c r="H110" s="2">
        <f t="shared" si="7"/>
        <v>0</v>
      </c>
      <c r="I110" s="2"/>
      <c r="J110" s="2"/>
      <c r="K110" s="2"/>
      <c r="L110" s="2"/>
      <c r="M110" s="2"/>
    </row>
    <row r="111" s="1" customFormat="1" ht="18" customHeight="1" spans="2:13">
      <c r="B111" s="2">
        <v>86</v>
      </c>
      <c r="C111" s="2">
        <f t="shared" si="4"/>
        <v>86000</v>
      </c>
      <c r="D111" s="2">
        <f>ROUND($C$8*$C$5+$C$8*$C$4*(1-$L$5),0)</f>
        <v>88</v>
      </c>
      <c r="E111" s="2">
        <f t="shared" si="5"/>
        <v>7568</v>
      </c>
      <c r="F111" s="2">
        <f>ROUND(E111*VLOOKUP($B$10,总产出!$T$4:$U$14,2,FALSE),0)</f>
        <v>378</v>
      </c>
      <c r="G111" s="2">
        <f t="shared" si="6"/>
        <v>0</v>
      </c>
      <c r="H111" s="2">
        <f t="shared" si="7"/>
        <v>0</v>
      </c>
      <c r="I111" s="2"/>
      <c r="J111" s="2"/>
      <c r="K111" s="2"/>
      <c r="L111" s="2"/>
      <c r="M111" s="2"/>
    </row>
    <row r="112" s="1" customFormat="1" ht="18" customHeight="1" spans="2:13">
      <c r="B112" s="2">
        <v>87</v>
      </c>
      <c r="C112" s="2">
        <f t="shared" si="4"/>
        <v>87000</v>
      </c>
      <c r="D112" s="2">
        <f>ROUND($C$8*$C$5+$C$8*$C$4*(1-$L$5),0)</f>
        <v>88</v>
      </c>
      <c r="E112" s="2">
        <f t="shared" si="5"/>
        <v>7656</v>
      </c>
      <c r="F112" s="2">
        <f>ROUND(E112*VLOOKUP($B$10,总产出!$T$4:$U$14,2,FALSE),0)</f>
        <v>383</v>
      </c>
      <c r="G112" s="2">
        <f t="shared" si="6"/>
        <v>0</v>
      </c>
      <c r="H112" s="2">
        <f t="shared" si="7"/>
        <v>0</v>
      </c>
      <c r="I112" s="2"/>
      <c r="J112" s="2"/>
      <c r="K112" s="2"/>
      <c r="L112" s="2"/>
      <c r="M112" s="2"/>
    </row>
    <row r="113" s="1" customFormat="1" ht="18" customHeight="1" spans="2:13">
      <c r="B113" s="2">
        <v>88</v>
      </c>
      <c r="C113" s="2">
        <f t="shared" si="4"/>
        <v>88000</v>
      </c>
      <c r="D113" s="2">
        <f>ROUND($C$8*$C$5+$C$8*$C$4*(1-$L$5),0)</f>
        <v>88</v>
      </c>
      <c r="E113" s="2">
        <f t="shared" si="5"/>
        <v>7744</v>
      </c>
      <c r="F113" s="2">
        <f>ROUND(E113*VLOOKUP($B$10,总产出!$T$4:$U$14,2,FALSE),0)</f>
        <v>387</v>
      </c>
      <c r="G113" s="2">
        <f t="shared" si="6"/>
        <v>0</v>
      </c>
      <c r="H113" s="2">
        <f t="shared" si="7"/>
        <v>0</v>
      </c>
      <c r="I113" s="2"/>
      <c r="J113" s="2"/>
      <c r="K113" s="2"/>
      <c r="L113" s="2"/>
      <c r="M113" s="2"/>
    </row>
    <row r="114" s="1" customFormat="1" ht="18" customHeight="1" spans="2:13">
      <c r="B114" s="2">
        <v>89</v>
      </c>
      <c r="C114" s="2">
        <f t="shared" si="4"/>
        <v>89000</v>
      </c>
      <c r="D114" s="2">
        <f>ROUND($C$8*$C$5+$C$8*$C$4*(1-$L$5),0)</f>
        <v>88</v>
      </c>
      <c r="E114" s="2">
        <f t="shared" si="5"/>
        <v>7832</v>
      </c>
      <c r="F114" s="2">
        <f>ROUND(E114*VLOOKUP($B$10,总产出!$T$4:$U$14,2,FALSE),0)</f>
        <v>392</v>
      </c>
      <c r="G114" s="2">
        <f t="shared" si="6"/>
        <v>0</v>
      </c>
      <c r="H114" s="2">
        <f t="shared" si="7"/>
        <v>0</v>
      </c>
      <c r="I114" s="2"/>
      <c r="J114" s="2"/>
      <c r="K114" s="2"/>
      <c r="L114" s="2"/>
      <c r="M114" s="2"/>
    </row>
    <row r="115" s="1" customFormat="1" ht="18" customHeight="1" spans="2:13">
      <c r="B115" s="2">
        <v>90</v>
      </c>
      <c r="C115" s="2">
        <f t="shared" si="4"/>
        <v>90000</v>
      </c>
      <c r="D115" s="2">
        <f>ROUND($C$8*$C$5+$C$8*$C$4*(1-$L$5),0)</f>
        <v>88</v>
      </c>
      <c r="E115" s="2">
        <f t="shared" si="5"/>
        <v>7920</v>
      </c>
      <c r="F115" s="2">
        <f>ROUND(E115*VLOOKUP($B$10,总产出!$T$4:$U$14,2,FALSE),0)</f>
        <v>396</v>
      </c>
      <c r="G115" s="2">
        <f t="shared" si="6"/>
        <v>0</v>
      </c>
      <c r="H115" s="2">
        <f t="shared" si="7"/>
        <v>0</v>
      </c>
      <c r="I115" s="2"/>
      <c r="J115" s="2"/>
      <c r="K115" s="2"/>
      <c r="L115" s="2"/>
      <c r="M115" s="2"/>
    </row>
    <row r="116" s="1" customFormat="1" ht="18" customHeight="1" spans="2:13">
      <c r="B116" s="2">
        <v>91</v>
      </c>
      <c r="C116" s="2">
        <f t="shared" si="4"/>
        <v>91000</v>
      </c>
      <c r="D116" s="2">
        <f>ROUND($C$8*$C$5+$C$8*$C$4*(1-$L$5),0)</f>
        <v>88</v>
      </c>
      <c r="E116" s="2">
        <f t="shared" si="5"/>
        <v>8008</v>
      </c>
      <c r="F116" s="2">
        <f>ROUND(E116*VLOOKUP($B$10,总产出!$T$4:$U$14,2,FALSE),0)</f>
        <v>400</v>
      </c>
      <c r="G116" s="2">
        <f t="shared" si="6"/>
        <v>0</v>
      </c>
      <c r="H116" s="2">
        <f t="shared" si="7"/>
        <v>0</v>
      </c>
      <c r="I116" s="2"/>
      <c r="J116" s="2"/>
      <c r="K116" s="2"/>
      <c r="L116" s="2"/>
      <c r="M116" s="2"/>
    </row>
    <row r="117" s="1" customFormat="1" ht="18" customHeight="1" spans="2:13">
      <c r="B117" s="2">
        <v>92</v>
      </c>
      <c r="C117" s="2">
        <f t="shared" si="4"/>
        <v>92000</v>
      </c>
      <c r="D117" s="2">
        <f>ROUND($C$8*$C$5+$C$8*$C$4*(1-$L$5),0)</f>
        <v>88</v>
      </c>
      <c r="E117" s="2">
        <f t="shared" si="5"/>
        <v>8096</v>
      </c>
      <c r="F117" s="2">
        <f>ROUND(E117*VLOOKUP($B$10,总产出!$T$4:$U$14,2,FALSE),0)</f>
        <v>405</v>
      </c>
      <c r="G117" s="2">
        <f t="shared" si="6"/>
        <v>0</v>
      </c>
      <c r="H117" s="2">
        <f t="shared" si="7"/>
        <v>0</v>
      </c>
      <c r="I117" s="2"/>
      <c r="J117" s="2"/>
      <c r="K117" s="2"/>
      <c r="L117" s="2"/>
      <c r="M117" s="2"/>
    </row>
    <row r="118" s="1" customFormat="1" ht="18" customHeight="1" spans="2:13">
      <c r="B118" s="2">
        <v>93</v>
      </c>
      <c r="C118" s="2">
        <f t="shared" si="4"/>
        <v>93000</v>
      </c>
      <c r="D118" s="2">
        <f>ROUND($C$8*$C$5+$C$8*$C$4*(1-$L$5),0)</f>
        <v>88</v>
      </c>
      <c r="E118" s="2">
        <f t="shared" si="5"/>
        <v>8184</v>
      </c>
      <c r="F118" s="2">
        <f>ROUND(E118*VLOOKUP($B$10,总产出!$T$4:$U$14,2,FALSE),0)</f>
        <v>409</v>
      </c>
      <c r="G118" s="2">
        <f t="shared" si="6"/>
        <v>0</v>
      </c>
      <c r="H118" s="2">
        <f t="shared" si="7"/>
        <v>0</v>
      </c>
      <c r="I118" s="2"/>
      <c r="J118" s="2"/>
      <c r="K118" s="2"/>
      <c r="L118" s="2"/>
      <c r="M118" s="2"/>
    </row>
    <row r="119" s="1" customFormat="1" ht="18" customHeight="1" spans="2:13">
      <c r="B119" s="2">
        <v>94</v>
      </c>
      <c r="C119" s="2">
        <f t="shared" si="4"/>
        <v>94000</v>
      </c>
      <c r="D119" s="2">
        <f>ROUND($C$8*$C$5+$C$8*$C$4*(1-$L$5),0)</f>
        <v>88</v>
      </c>
      <c r="E119" s="2">
        <f t="shared" si="5"/>
        <v>8272</v>
      </c>
      <c r="F119" s="2">
        <f>ROUND(E119*VLOOKUP($B$10,总产出!$T$4:$U$14,2,FALSE),0)</f>
        <v>414</v>
      </c>
      <c r="G119" s="2">
        <f t="shared" si="6"/>
        <v>0</v>
      </c>
      <c r="H119" s="2">
        <f t="shared" si="7"/>
        <v>0</v>
      </c>
      <c r="I119" s="2"/>
      <c r="J119" s="2"/>
      <c r="K119" s="2"/>
      <c r="L119" s="2"/>
      <c r="M119" s="2"/>
    </row>
    <row r="120" s="1" customFormat="1" ht="18" customHeight="1" spans="2:13">
      <c r="B120" s="2">
        <v>95</v>
      </c>
      <c r="C120" s="2">
        <f t="shared" si="4"/>
        <v>95000</v>
      </c>
      <c r="D120" s="2">
        <f>ROUND($C$8*$C$5+$C$8*$C$4*(1-$L$5),0)</f>
        <v>88</v>
      </c>
      <c r="E120" s="2">
        <f t="shared" si="5"/>
        <v>8360</v>
      </c>
      <c r="F120" s="2">
        <f>ROUND(E120*VLOOKUP($B$10,总产出!$T$4:$U$14,2,FALSE),0)</f>
        <v>418</v>
      </c>
      <c r="G120" s="2">
        <f t="shared" si="6"/>
        <v>0</v>
      </c>
      <c r="H120" s="2">
        <f t="shared" si="7"/>
        <v>0</v>
      </c>
      <c r="I120" s="2"/>
      <c r="J120" s="2"/>
      <c r="K120" s="2"/>
      <c r="L120" s="2"/>
      <c r="M120" s="2"/>
    </row>
    <row r="121" s="1" customFormat="1" ht="18" customHeight="1" spans="2:13">
      <c r="B121" s="2">
        <v>96</v>
      </c>
      <c r="C121" s="2">
        <f t="shared" si="4"/>
        <v>96000</v>
      </c>
      <c r="D121" s="2">
        <f>ROUND($C$8*$C$5+$C$8*$C$4*(1-$L$5),0)</f>
        <v>88</v>
      </c>
      <c r="E121" s="2">
        <f t="shared" si="5"/>
        <v>8448</v>
      </c>
      <c r="F121" s="2">
        <f>ROUND(E121*VLOOKUP($B$10,总产出!$T$4:$U$14,2,FALSE),0)</f>
        <v>422</v>
      </c>
      <c r="G121" s="2">
        <f t="shared" si="6"/>
        <v>0</v>
      </c>
      <c r="H121" s="2">
        <f t="shared" si="7"/>
        <v>0</v>
      </c>
      <c r="I121" s="2"/>
      <c r="J121" s="2"/>
      <c r="K121" s="2"/>
      <c r="L121" s="2"/>
      <c r="M121" s="2"/>
    </row>
    <row r="122" s="1" customFormat="1" ht="18" customHeight="1" spans="2:13">
      <c r="B122" s="2">
        <v>97</v>
      </c>
      <c r="C122" s="2">
        <f t="shared" si="4"/>
        <v>97000</v>
      </c>
      <c r="D122" s="2">
        <f>ROUND($C$8*$C$5+$C$8*$C$4*(1-$L$5),0)</f>
        <v>88</v>
      </c>
      <c r="E122" s="2">
        <f t="shared" si="5"/>
        <v>8536</v>
      </c>
      <c r="F122" s="2">
        <f>ROUND(E122*VLOOKUP($B$10,总产出!$T$4:$U$14,2,FALSE),0)</f>
        <v>427</v>
      </c>
      <c r="G122" s="2">
        <f t="shared" si="6"/>
        <v>0</v>
      </c>
      <c r="H122" s="2">
        <f t="shared" si="7"/>
        <v>0</v>
      </c>
      <c r="I122" s="2"/>
      <c r="J122" s="2"/>
      <c r="K122" s="2"/>
      <c r="L122" s="2"/>
      <c r="M122" s="2"/>
    </row>
    <row r="123" s="1" customFormat="1" ht="18" customHeight="1" spans="2:13">
      <c r="B123" s="2">
        <v>98</v>
      </c>
      <c r="C123" s="2">
        <f t="shared" si="4"/>
        <v>98000</v>
      </c>
      <c r="D123" s="2">
        <f>ROUND($C$8*$C$5+$C$8*$C$4*(1-$L$5),0)</f>
        <v>88</v>
      </c>
      <c r="E123" s="2">
        <f t="shared" si="5"/>
        <v>8624</v>
      </c>
      <c r="F123" s="2">
        <f>ROUND(E123*VLOOKUP($B$10,总产出!$T$4:$U$14,2,FALSE),0)</f>
        <v>431</v>
      </c>
      <c r="G123" s="2">
        <f t="shared" si="6"/>
        <v>0</v>
      </c>
      <c r="H123" s="2">
        <f t="shared" si="7"/>
        <v>0</v>
      </c>
      <c r="I123" s="2"/>
      <c r="J123" s="2"/>
      <c r="K123" s="2"/>
      <c r="L123" s="2"/>
      <c r="M123" s="2"/>
    </row>
    <row r="124" s="1" customFormat="1" ht="18" customHeight="1" spans="2:13">
      <c r="B124" s="2">
        <v>99</v>
      </c>
      <c r="C124" s="2">
        <f t="shared" si="4"/>
        <v>99000</v>
      </c>
      <c r="D124" s="2">
        <f>ROUND($C$8*$C$5+$C$8*$C$4*(1-$L$5),0)</f>
        <v>88</v>
      </c>
      <c r="E124" s="2">
        <f t="shared" si="5"/>
        <v>8712</v>
      </c>
      <c r="F124" s="2">
        <f>ROUND(E124*VLOOKUP($B$10,总产出!$T$4:$U$14,2,FALSE),0)</f>
        <v>436</v>
      </c>
      <c r="G124" s="2">
        <f t="shared" si="6"/>
        <v>0</v>
      </c>
      <c r="H124" s="2">
        <f t="shared" si="7"/>
        <v>0</v>
      </c>
      <c r="I124" s="2"/>
      <c r="J124" s="2"/>
      <c r="K124" s="2"/>
      <c r="L124" s="2"/>
      <c r="M124" s="2"/>
    </row>
    <row r="125" s="1" customFormat="1" ht="18" customHeight="1" spans="2:13">
      <c r="B125" s="2">
        <v>100</v>
      </c>
      <c r="C125" s="2">
        <f t="shared" si="4"/>
        <v>100000</v>
      </c>
      <c r="D125" s="2">
        <f>ROUND($C$8*$C$5+$C$8*$C$4*(1-$L$5),0)</f>
        <v>88</v>
      </c>
      <c r="E125" s="2">
        <f t="shared" si="5"/>
        <v>8800</v>
      </c>
      <c r="F125" s="2">
        <f>ROUND(E125*VLOOKUP($B$10,总产出!$T$4:$U$14,2,FALSE),0)</f>
        <v>440</v>
      </c>
      <c r="G125" s="2">
        <f t="shared" si="6"/>
        <v>0</v>
      </c>
      <c r="H125" s="2">
        <f t="shared" si="7"/>
        <v>0</v>
      </c>
      <c r="I125" s="2"/>
      <c r="J125" s="2"/>
      <c r="K125" s="2"/>
      <c r="L125" s="2"/>
      <c r="M125" s="2"/>
    </row>
  </sheetData>
  <mergeCells count="3">
    <mergeCell ref="B2:C3"/>
    <mergeCell ref="E2:F3"/>
    <mergeCell ref="K2:L3"/>
  </mergeCells>
  <pageMargins left="0.7" right="0.7" top="0.75" bottom="0.75" header="0.3" footer="0.3"/>
  <pageSetup paperSize="9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25"/>
  <sheetViews>
    <sheetView workbookViewId="0">
      <pane ySplit="25" topLeftCell="A92" activePane="bottomLeft" state="frozen"/>
      <selection/>
      <selection pane="bottomLeft" activeCell="L14" sqref="L14"/>
    </sheetView>
  </sheetViews>
  <sheetFormatPr defaultColWidth="9" defaultRowHeight="13.5"/>
  <cols>
    <col min="2" max="7" width="18.625" customWidth="1"/>
    <col min="8" max="8" width="21.625" customWidth="1"/>
    <col min="9" max="13" width="15.625" customWidth="1"/>
  </cols>
  <sheetData>
    <row r="1" s="1" customFormat="1" ht="18" customHeight="1"/>
    <row r="2" s="1" customFormat="1" ht="18" customHeight="1" spans="2:12">
      <c r="B2" s="3" t="s">
        <v>0</v>
      </c>
      <c r="C2" s="4"/>
      <c r="E2" s="3" t="s">
        <v>1</v>
      </c>
      <c r="F2" s="4"/>
      <c r="K2" s="3" t="s">
        <v>3</v>
      </c>
      <c r="L2" s="4"/>
    </row>
    <row r="3" s="1" customFormat="1" ht="18" customHeight="1" spans="2:12">
      <c r="B3" s="5"/>
      <c r="C3" s="6"/>
      <c r="E3" s="5"/>
      <c r="F3" s="6"/>
      <c r="K3" s="5"/>
      <c r="L3" s="6"/>
    </row>
    <row r="4" s="1" customFormat="1" ht="18" customHeight="1" spans="2:12">
      <c r="B4" s="7" t="s">
        <v>6</v>
      </c>
      <c r="C4" s="7">
        <f>总产出!C4</f>
        <v>0.92</v>
      </c>
      <c r="E4" s="7" t="s">
        <v>7</v>
      </c>
      <c r="F4" s="7" t="str">
        <f>总产出!F4</f>
        <v>VIP8</v>
      </c>
      <c r="K4" s="9"/>
      <c r="L4" s="9"/>
    </row>
    <row r="5" s="1" customFormat="1" ht="18" customHeight="1" spans="2:12">
      <c r="B5" s="7" t="s">
        <v>14</v>
      </c>
      <c r="C5" s="7">
        <f>总产出!C5</f>
        <v>0.08</v>
      </c>
      <c r="E5" s="7" t="s">
        <v>15</v>
      </c>
      <c r="F5" s="7">
        <f>总产出!F5</f>
        <v>10</v>
      </c>
      <c r="G5" s="8"/>
      <c r="H5" s="8"/>
      <c r="I5" s="8"/>
      <c r="K5" s="9" t="s">
        <v>16</v>
      </c>
      <c r="L5" s="7">
        <f>总产出!L5</f>
        <v>0.990909090909091</v>
      </c>
    </row>
    <row r="6" s="1" customFormat="1" ht="18" customHeight="1" spans="2:12">
      <c r="B6" s="7" t="s">
        <v>20</v>
      </c>
      <c r="C6" s="7">
        <f>总产出!C6</f>
        <v>10</v>
      </c>
      <c r="E6" s="7" t="s">
        <v>21</v>
      </c>
      <c r="F6" s="7">
        <f>总产出!F6</f>
        <v>100</v>
      </c>
      <c r="K6" s="9"/>
      <c r="L6" s="7"/>
    </row>
    <row r="7" s="1" customFormat="1" ht="18" customHeight="1" spans="2:12">
      <c r="B7" s="7" t="s">
        <v>26</v>
      </c>
      <c r="C7" s="7">
        <f>总产出!C7</f>
        <v>8</v>
      </c>
      <c r="K7" s="9" t="s">
        <v>27</v>
      </c>
      <c r="L7" s="7">
        <f>总产出!L7</f>
        <v>2</v>
      </c>
    </row>
    <row r="8" s="1" customFormat="1" ht="18" customHeight="1" spans="2:3">
      <c r="B8" s="7" t="s">
        <v>29</v>
      </c>
      <c r="C8" s="7">
        <f>总产出!C8</f>
        <v>1000</v>
      </c>
    </row>
    <row r="9" s="1" customFormat="1" ht="18" customHeight="1"/>
    <row r="10" s="1" customFormat="1" ht="18" customHeight="1" spans="2:2">
      <c r="B10" s="2" t="s">
        <v>35</v>
      </c>
    </row>
    <row r="11" s="1" customFormat="1" ht="18" customHeight="1"/>
    <row r="12" s="1" customFormat="1" ht="18" customHeight="1"/>
    <row r="13" s="1" customFormat="1" ht="18" customHeight="1"/>
    <row r="14" s="1" customFormat="1" ht="18" customHeight="1"/>
    <row r="15" s="1" customFormat="1" ht="18" customHeight="1"/>
    <row r="16" s="1" customFormat="1" ht="18" customHeight="1"/>
    <row r="17" s="1" customFormat="1" ht="18" customHeight="1"/>
    <row r="18" s="1" customFormat="1" ht="18" customHeight="1"/>
    <row r="19" s="1" customFormat="1" ht="18" customHeight="1"/>
    <row r="20" s="1" customFormat="1" ht="18" customHeight="1"/>
    <row r="21" s="1" customFormat="1" ht="18" customHeight="1"/>
    <row r="22" s="1" customFormat="1" ht="18" customHeight="1"/>
    <row r="23" s="1" customFormat="1" ht="18" customHeight="1"/>
    <row r="24" s="1" customFormat="1" ht="18" customHeight="1"/>
    <row r="25" s="2" customFormat="1" ht="18" customHeight="1" spans="2:13">
      <c r="B25" s="9" t="s">
        <v>65</v>
      </c>
      <c r="C25" s="9" t="s">
        <v>541</v>
      </c>
      <c r="D25" s="9" t="s">
        <v>542</v>
      </c>
      <c r="E25" s="9" t="s">
        <v>69</v>
      </c>
      <c r="F25" s="9" t="s">
        <v>543</v>
      </c>
      <c r="G25" s="9" t="s">
        <v>624</v>
      </c>
      <c r="H25" s="9" t="s">
        <v>625</v>
      </c>
      <c r="I25" s="9" t="s">
        <v>626</v>
      </c>
      <c r="J25" s="9" t="s">
        <v>627</v>
      </c>
      <c r="K25" s="9"/>
      <c r="L25" s="9"/>
      <c r="M25" s="9"/>
    </row>
    <row r="26" s="2" customFormat="1" ht="18" customHeight="1" spans="2:10">
      <c r="B26" s="2">
        <v>1</v>
      </c>
      <c r="C26" s="2">
        <f t="shared" ref="C26:C89" si="0">$C$8*B26</f>
        <v>1000</v>
      </c>
      <c r="D26" s="2">
        <f>ROUND($C$8*$C$5+$C$8*$C$4*(1-$L$5),0)</f>
        <v>88</v>
      </c>
      <c r="E26" s="2">
        <f t="shared" ref="E26:E89" si="1">D26*B26</f>
        <v>88</v>
      </c>
      <c r="F26" s="2">
        <f>ROUND(E26*VLOOKUP($B$10,总产出!$T$4:$U$14,2,FALSE),0)</f>
        <v>4</v>
      </c>
      <c r="G26" s="2">
        <f ca="1">SUM(I26:M26)</f>
        <v>10</v>
      </c>
      <c r="H26" s="2">
        <f ca="1">G26</f>
        <v>10</v>
      </c>
      <c r="I26" s="2">
        <f ca="1">SUM(INDEX(advertisement!G:G,13):INDEX(advertisement!G:G,MATCH(总产出!$Q$4,advertisement!D:D,0)))</f>
        <v>10</v>
      </c>
      <c r="J2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27" s="2" customFormat="1" ht="18" customHeight="1" spans="2:10">
      <c r="B27" s="2">
        <v>2</v>
      </c>
      <c r="C27" s="2">
        <f t="shared" si="0"/>
        <v>2000</v>
      </c>
      <c r="D27" s="2">
        <f>ROUND($C$8*$C$5+$C$8*$C$4*(1-$L$5),0)</f>
        <v>88</v>
      </c>
      <c r="E27" s="2">
        <f t="shared" si="1"/>
        <v>176</v>
      </c>
      <c r="F27" s="2">
        <f>ROUND(E27*VLOOKUP($B$10,总产出!$T$4:$U$14,2,FALSE),0)</f>
        <v>9</v>
      </c>
      <c r="G27" s="2">
        <f ca="1" t="shared" ref="G26:G89" si="2">SUM(I27:M27)</f>
        <v>10</v>
      </c>
      <c r="H27" s="2">
        <f ca="1" t="shared" ref="H27:H90" si="3">G27+H26</f>
        <v>20</v>
      </c>
      <c r="I27" s="2">
        <f ca="1">SUM(INDEX(advertisement!G:G,13):INDEX(advertisement!G:G,MATCH(总产出!$Q$4,advertisement!D:D,0)))</f>
        <v>10</v>
      </c>
      <c r="J2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28" s="2" customFormat="1" ht="18" customHeight="1" spans="2:10">
      <c r="B28" s="2">
        <v>3</v>
      </c>
      <c r="C28" s="2">
        <f t="shared" si="0"/>
        <v>3000</v>
      </c>
      <c r="D28" s="2">
        <f>ROUND($C$8*$C$5+$C$8*$C$4*(1-$L$5),0)</f>
        <v>88</v>
      </c>
      <c r="E28" s="2">
        <f t="shared" si="1"/>
        <v>264</v>
      </c>
      <c r="F28" s="2">
        <f>ROUND(E28*VLOOKUP($B$10,总产出!$T$4:$U$14,2,FALSE),0)</f>
        <v>13</v>
      </c>
      <c r="G28" s="2">
        <f ca="1" t="shared" si="2"/>
        <v>10</v>
      </c>
      <c r="H28" s="2">
        <f ca="1" t="shared" si="3"/>
        <v>30</v>
      </c>
      <c r="I28" s="2">
        <f ca="1">SUM(INDEX(advertisement!G:G,13):INDEX(advertisement!G:G,MATCH(总产出!$Q$4,advertisement!D:D,0)))</f>
        <v>10</v>
      </c>
      <c r="J2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29" s="2" customFormat="1" ht="18" customHeight="1" spans="2:10">
      <c r="B29" s="2">
        <v>4</v>
      </c>
      <c r="C29" s="2">
        <f t="shared" si="0"/>
        <v>4000</v>
      </c>
      <c r="D29" s="2">
        <f>ROUND($C$8*$C$5+$C$8*$C$4*(1-$L$5),0)</f>
        <v>88</v>
      </c>
      <c r="E29" s="2">
        <f t="shared" si="1"/>
        <v>352</v>
      </c>
      <c r="F29" s="2">
        <f>ROUND(E29*VLOOKUP($B$10,总产出!$T$4:$U$14,2,FALSE),0)</f>
        <v>18</v>
      </c>
      <c r="G29" s="2">
        <f ca="1" t="shared" si="2"/>
        <v>10</v>
      </c>
      <c r="H29" s="2">
        <f ca="1" t="shared" si="3"/>
        <v>40</v>
      </c>
      <c r="I29" s="2">
        <f ca="1">SUM(INDEX(advertisement!G:G,13):INDEX(advertisement!G:G,MATCH(总产出!$Q$4,advertisement!D:D,0)))</f>
        <v>10</v>
      </c>
      <c r="J2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0" s="2" customFormat="1" ht="18" customHeight="1" spans="2:10">
      <c r="B30" s="2">
        <v>5</v>
      </c>
      <c r="C30" s="2">
        <f t="shared" si="0"/>
        <v>5000</v>
      </c>
      <c r="D30" s="2">
        <f>ROUND($C$8*$C$5+$C$8*$C$4*(1-$L$5),0)</f>
        <v>88</v>
      </c>
      <c r="E30" s="2">
        <f t="shared" si="1"/>
        <v>440</v>
      </c>
      <c r="F30" s="2">
        <f>ROUND(E30*VLOOKUP($B$10,总产出!$T$4:$U$14,2,FALSE),0)</f>
        <v>22</v>
      </c>
      <c r="G30" s="2">
        <f ca="1" t="shared" si="2"/>
        <v>10</v>
      </c>
      <c r="H30" s="2">
        <f ca="1" t="shared" si="3"/>
        <v>50</v>
      </c>
      <c r="I30" s="2">
        <f ca="1">SUM(INDEX(advertisement!G:G,13):INDEX(advertisement!G:G,MATCH(总产出!$Q$4,advertisement!D:D,0)))</f>
        <v>10</v>
      </c>
      <c r="J3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1" s="2" customFormat="1" ht="18" customHeight="1" spans="2:10">
      <c r="B31" s="2">
        <v>6</v>
      </c>
      <c r="C31" s="2">
        <f t="shared" si="0"/>
        <v>6000</v>
      </c>
      <c r="D31" s="2">
        <f>ROUND($C$8*$C$5+$C$8*$C$4*(1-$L$5),0)</f>
        <v>88</v>
      </c>
      <c r="E31" s="2">
        <f t="shared" si="1"/>
        <v>528</v>
      </c>
      <c r="F31" s="2">
        <f>ROUND(E31*VLOOKUP($B$10,总产出!$T$4:$U$14,2,FALSE),0)</f>
        <v>26</v>
      </c>
      <c r="G31" s="2">
        <f ca="1" t="shared" si="2"/>
        <v>10</v>
      </c>
      <c r="H31" s="2">
        <f ca="1" t="shared" si="3"/>
        <v>60</v>
      </c>
      <c r="I31" s="2">
        <f ca="1">SUM(INDEX(advertisement!G:G,13):INDEX(advertisement!G:G,MATCH(总产出!$Q$4,advertisement!D:D,0)))</f>
        <v>10</v>
      </c>
      <c r="J3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2" s="2" customFormat="1" ht="18" customHeight="1" spans="2:10">
      <c r="B32" s="2">
        <v>7</v>
      </c>
      <c r="C32" s="2">
        <f t="shared" si="0"/>
        <v>7000</v>
      </c>
      <c r="D32" s="2">
        <f>ROUND($C$8*$C$5+$C$8*$C$4*(1-$L$5),0)</f>
        <v>88</v>
      </c>
      <c r="E32" s="2">
        <f t="shared" si="1"/>
        <v>616</v>
      </c>
      <c r="F32" s="2">
        <f>ROUND(E32*VLOOKUP($B$10,总产出!$T$4:$U$14,2,FALSE),0)</f>
        <v>31</v>
      </c>
      <c r="G32" s="2">
        <f ca="1" t="shared" si="2"/>
        <v>10</v>
      </c>
      <c r="H32" s="2">
        <f ca="1" t="shared" si="3"/>
        <v>70</v>
      </c>
      <c r="I32" s="2">
        <f ca="1">SUM(INDEX(advertisement!G:G,13):INDEX(advertisement!G:G,MATCH(总产出!$Q$4,advertisement!D:D,0)))</f>
        <v>10</v>
      </c>
      <c r="J3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3" s="2" customFormat="1" ht="18" customHeight="1" spans="2:10">
      <c r="B33" s="2">
        <v>8</v>
      </c>
      <c r="C33" s="2">
        <f t="shared" si="0"/>
        <v>8000</v>
      </c>
      <c r="D33" s="2">
        <f>ROUND($C$8*$C$5+$C$8*$C$4*(1-$L$5),0)</f>
        <v>88</v>
      </c>
      <c r="E33" s="2">
        <f t="shared" si="1"/>
        <v>704</v>
      </c>
      <c r="F33" s="2">
        <f>ROUND(E33*VLOOKUP($B$10,总产出!$T$4:$U$14,2,FALSE),0)</f>
        <v>35</v>
      </c>
      <c r="G33" s="2">
        <f ca="1" t="shared" si="2"/>
        <v>10</v>
      </c>
      <c r="H33" s="2">
        <f ca="1" t="shared" si="3"/>
        <v>80</v>
      </c>
      <c r="I33" s="2">
        <f ca="1">SUM(INDEX(advertisement!G:G,13):INDEX(advertisement!G:G,MATCH(总产出!$Q$4,advertisement!D:D,0)))</f>
        <v>10</v>
      </c>
      <c r="J3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4" s="2" customFormat="1" ht="18" customHeight="1" spans="2:10">
      <c r="B34" s="2">
        <v>9</v>
      </c>
      <c r="C34" s="2">
        <f t="shared" si="0"/>
        <v>9000</v>
      </c>
      <c r="D34" s="2">
        <f>ROUND($C$8*$C$5+$C$8*$C$4*(1-$L$5),0)</f>
        <v>88</v>
      </c>
      <c r="E34" s="2">
        <f t="shared" si="1"/>
        <v>792</v>
      </c>
      <c r="F34" s="2">
        <f>ROUND(E34*VLOOKUP($B$10,总产出!$T$4:$U$14,2,FALSE),0)</f>
        <v>40</v>
      </c>
      <c r="G34" s="2">
        <f ca="1" t="shared" si="2"/>
        <v>10</v>
      </c>
      <c r="H34" s="2">
        <f ca="1" t="shared" si="3"/>
        <v>90</v>
      </c>
      <c r="I34" s="2">
        <f ca="1">SUM(INDEX(advertisement!G:G,13):INDEX(advertisement!G:G,MATCH(总产出!$Q$4,advertisement!D:D,0)))</f>
        <v>10</v>
      </c>
      <c r="J3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5" s="2" customFormat="1" ht="18" customHeight="1" spans="2:10">
      <c r="B35" s="2">
        <v>10</v>
      </c>
      <c r="C35" s="2">
        <f t="shared" si="0"/>
        <v>10000</v>
      </c>
      <c r="D35" s="2">
        <f>ROUND($C$8*$C$5+$C$8*$C$4*(1-$L$5),0)</f>
        <v>88</v>
      </c>
      <c r="E35" s="2">
        <f t="shared" si="1"/>
        <v>880</v>
      </c>
      <c r="F35" s="2">
        <f>ROUND(E35*VLOOKUP($B$10,总产出!$T$4:$U$14,2,FALSE),0)</f>
        <v>44</v>
      </c>
      <c r="G35" s="2">
        <f ca="1" t="shared" si="2"/>
        <v>10</v>
      </c>
      <c r="H35" s="2">
        <f ca="1" t="shared" si="3"/>
        <v>100</v>
      </c>
      <c r="I35" s="2">
        <f ca="1">SUM(INDEX(advertisement!G:G,13):INDEX(advertisement!G:G,MATCH(总产出!$Q$4,advertisement!D:D,0)))</f>
        <v>10</v>
      </c>
      <c r="J3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6" s="2" customFormat="1" ht="18" customHeight="1" spans="2:10">
      <c r="B36" s="2">
        <v>11</v>
      </c>
      <c r="C36" s="2">
        <f t="shared" si="0"/>
        <v>11000</v>
      </c>
      <c r="D36" s="2">
        <f>ROUND($C$8*$C$5+$C$8*$C$4*(1-$L$5),0)</f>
        <v>88</v>
      </c>
      <c r="E36" s="2">
        <f t="shared" si="1"/>
        <v>968</v>
      </c>
      <c r="F36" s="2">
        <f>ROUND(E36*VLOOKUP($B$10,总产出!$T$4:$U$14,2,FALSE),0)</f>
        <v>48</v>
      </c>
      <c r="G36" s="2">
        <f ca="1" t="shared" si="2"/>
        <v>10</v>
      </c>
      <c r="H36" s="2">
        <f ca="1" t="shared" si="3"/>
        <v>110</v>
      </c>
      <c r="I36" s="2">
        <f ca="1">SUM(INDEX(advertisement!G:G,13):INDEX(advertisement!G:G,MATCH(总产出!$Q$4,advertisement!D:D,0)))</f>
        <v>10</v>
      </c>
      <c r="J3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7" s="2" customFormat="1" ht="18" customHeight="1" spans="2:10">
      <c r="B37" s="2">
        <v>12</v>
      </c>
      <c r="C37" s="2">
        <f t="shared" si="0"/>
        <v>12000</v>
      </c>
      <c r="D37" s="2">
        <f>ROUND($C$8*$C$5+$C$8*$C$4*(1-$L$5),0)</f>
        <v>88</v>
      </c>
      <c r="E37" s="2">
        <f t="shared" si="1"/>
        <v>1056</v>
      </c>
      <c r="F37" s="2">
        <f>ROUND(E37*VLOOKUP($B$10,总产出!$T$4:$U$14,2,FALSE),0)</f>
        <v>53</v>
      </c>
      <c r="G37" s="2">
        <f ca="1" t="shared" si="2"/>
        <v>10</v>
      </c>
      <c r="H37" s="2">
        <f ca="1" t="shared" si="3"/>
        <v>120</v>
      </c>
      <c r="I37" s="2">
        <f ca="1">SUM(INDEX(advertisement!G:G,13):INDEX(advertisement!G:G,MATCH(总产出!$Q$4,advertisement!D:D,0)))</f>
        <v>10</v>
      </c>
      <c r="J3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8" s="2" customFormat="1" ht="18" customHeight="1" spans="2:10">
      <c r="B38" s="2">
        <v>13</v>
      </c>
      <c r="C38" s="2">
        <f t="shared" si="0"/>
        <v>13000</v>
      </c>
      <c r="D38" s="2">
        <f>ROUND($C$8*$C$5+$C$8*$C$4*(1-$L$5),0)</f>
        <v>88</v>
      </c>
      <c r="E38" s="2">
        <f t="shared" si="1"/>
        <v>1144</v>
      </c>
      <c r="F38" s="2">
        <f>ROUND(E38*VLOOKUP($B$10,总产出!$T$4:$U$14,2,FALSE),0)</f>
        <v>57</v>
      </c>
      <c r="G38" s="2">
        <f ca="1" t="shared" si="2"/>
        <v>10</v>
      </c>
      <c r="H38" s="2">
        <f ca="1" t="shared" si="3"/>
        <v>130</v>
      </c>
      <c r="I38" s="2">
        <f ca="1">SUM(INDEX(advertisement!G:G,13):INDEX(advertisement!G:G,MATCH(总产出!$Q$4,advertisement!D:D,0)))</f>
        <v>10</v>
      </c>
      <c r="J3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39" s="2" customFormat="1" ht="18" customHeight="1" spans="2:10">
      <c r="B39" s="2">
        <v>14</v>
      </c>
      <c r="C39" s="2">
        <f t="shared" si="0"/>
        <v>14000</v>
      </c>
      <c r="D39" s="2">
        <f>ROUND($C$8*$C$5+$C$8*$C$4*(1-$L$5),0)</f>
        <v>88</v>
      </c>
      <c r="E39" s="2">
        <f t="shared" si="1"/>
        <v>1232</v>
      </c>
      <c r="F39" s="2">
        <f>ROUND(E39*VLOOKUP($B$10,总产出!$T$4:$U$14,2,FALSE),0)</f>
        <v>62</v>
      </c>
      <c r="G39" s="2">
        <f ca="1" t="shared" si="2"/>
        <v>10</v>
      </c>
      <c r="H39" s="2">
        <f ca="1" t="shared" si="3"/>
        <v>140</v>
      </c>
      <c r="I39" s="2">
        <f ca="1">SUM(INDEX(advertisement!G:G,13):INDEX(advertisement!G:G,MATCH(总产出!$Q$4,advertisement!D:D,0)))</f>
        <v>10</v>
      </c>
      <c r="J3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40" s="2" customFormat="1" ht="18" customHeight="1" spans="2:10">
      <c r="B40" s="2">
        <v>15</v>
      </c>
      <c r="C40" s="2">
        <f t="shared" si="0"/>
        <v>15000</v>
      </c>
      <c r="D40" s="2">
        <f>ROUND($C$8*$C$5+$C$8*$C$4*(1-$L$5),0)</f>
        <v>88</v>
      </c>
      <c r="E40" s="2">
        <f t="shared" si="1"/>
        <v>1320</v>
      </c>
      <c r="F40" s="2">
        <f>ROUND(E40*VLOOKUP($B$10,总产出!$T$4:$U$14,2,FALSE),0)</f>
        <v>66</v>
      </c>
      <c r="G40" s="2">
        <f ca="1" t="shared" si="2"/>
        <v>10</v>
      </c>
      <c r="H40" s="2">
        <f ca="1" t="shared" si="3"/>
        <v>150</v>
      </c>
      <c r="I40" s="2">
        <f ca="1">SUM(INDEX(advertisement!G:G,13):INDEX(advertisement!G:G,MATCH(总产出!$Q$4,advertisement!D:D,0)))</f>
        <v>10</v>
      </c>
      <c r="J4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41" s="2" customFormat="1" ht="18" customHeight="1" spans="2:10">
      <c r="B41" s="2">
        <v>16</v>
      </c>
      <c r="C41" s="2">
        <f t="shared" si="0"/>
        <v>16000</v>
      </c>
      <c r="D41" s="2">
        <f>ROUND($C$8*$C$5+$C$8*$C$4*(1-$L$5),0)</f>
        <v>88</v>
      </c>
      <c r="E41" s="2">
        <f t="shared" si="1"/>
        <v>1408</v>
      </c>
      <c r="F41" s="2">
        <f>ROUND(E41*VLOOKUP($B$10,总产出!$T$4:$U$14,2,FALSE),0)</f>
        <v>70</v>
      </c>
      <c r="G41" s="2">
        <f ca="1" t="shared" si="2"/>
        <v>10</v>
      </c>
      <c r="H41" s="2">
        <f ca="1" t="shared" si="3"/>
        <v>160</v>
      </c>
      <c r="I41" s="2">
        <f ca="1">SUM(INDEX(advertisement!G:G,13):INDEX(advertisement!G:G,MATCH(总产出!$Q$4,advertisement!D:D,0)))</f>
        <v>10</v>
      </c>
      <c r="J4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42" s="2" customFormat="1" ht="18" customHeight="1" spans="2:10">
      <c r="B42" s="2">
        <v>17</v>
      </c>
      <c r="C42" s="2">
        <f t="shared" si="0"/>
        <v>17000</v>
      </c>
      <c r="D42" s="2">
        <f>ROUND($C$8*$C$5+$C$8*$C$4*(1-$L$5),0)</f>
        <v>88</v>
      </c>
      <c r="E42" s="2">
        <f t="shared" si="1"/>
        <v>1496</v>
      </c>
      <c r="F42" s="2">
        <f>ROUND(E42*VLOOKUP($B$10,总产出!$T$4:$U$14,2,FALSE),0)</f>
        <v>75</v>
      </c>
      <c r="G42" s="2">
        <f ca="1" t="shared" si="2"/>
        <v>10</v>
      </c>
      <c r="H42" s="2">
        <f ca="1" t="shared" si="3"/>
        <v>170</v>
      </c>
      <c r="I42" s="2">
        <f ca="1">SUM(INDEX(advertisement!G:G,13):INDEX(advertisement!G:G,MATCH(总产出!$Q$4,advertisement!D:D,0)))</f>
        <v>10</v>
      </c>
      <c r="J4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43" s="2" customFormat="1" ht="18" customHeight="1" spans="2:10">
      <c r="B43" s="2">
        <v>18</v>
      </c>
      <c r="C43" s="2">
        <f t="shared" si="0"/>
        <v>18000</v>
      </c>
      <c r="D43" s="2">
        <f>ROUND($C$8*$C$5+$C$8*$C$4*(1-$L$5),0)</f>
        <v>88</v>
      </c>
      <c r="E43" s="2">
        <f t="shared" si="1"/>
        <v>1584</v>
      </c>
      <c r="F43" s="2">
        <f>ROUND(E43*VLOOKUP($B$10,总产出!$T$4:$U$14,2,FALSE),0)</f>
        <v>79</v>
      </c>
      <c r="G43" s="2">
        <f ca="1" t="shared" si="2"/>
        <v>10</v>
      </c>
      <c r="H43" s="2">
        <f ca="1" t="shared" si="3"/>
        <v>180</v>
      </c>
      <c r="I43" s="2">
        <f ca="1">SUM(INDEX(advertisement!G:G,13):INDEX(advertisement!G:G,MATCH(总产出!$Q$4,advertisement!D:D,0)))</f>
        <v>10</v>
      </c>
      <c r="J4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44" s="2" customFormat="1" ht="18" customHeight="1" spans="2:10">
      <c r="B44" s="2">
        <v>19</v>
      </c>
      <c r="C44" s="2">
        <f t="shared" si="0"/>
        <v>19000</v>
      </c>
      <c r="D44" s="2">
        <f>ROUND($C$8*$C$5+$C$8*$C$4*(1-$L$5),0)</f>
        <v>88</v>
      </c>
      <c r="E44" s="2">
        <f t="shared" si="1"/>
        <v>1672</v>
      </c>
      <c r="F44" s="2">
        <f>ROUND(E44*VLOOKUP($B$10,总产出!$T$4:$U$14,2,FALSE),0)</f>
        <v>84</v>
      </c>
      <c r="G44" s="2">
        <f ca="1" t="shared" si="2"/>
        <v>10</v>
      </c>
      <c r="H44" s="2">
        <f ca="1" t="shared" si="3"/>
        <v>190</v>
      </c>
      <c r="I44" s="2">
        <f ca="1">SUM(INDEX(advertisement!G:G,13):INDEX(advertisement!G:G,MATCH(总产出!$Q$4,advertisement!D:D,0)))</f>
        <v>10</v>
      </c>
      <c r="J4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</row>
    <row r="45" s="1" customFormat="1" ht="18" customHeight="1" spans="2:13">
      <c r="B45" s="2">
        <v>20</v>
      </c>
      <c r="C45" s="2">
        <f t="shared" si="0"/>
        <v>20000</v>
      </c>
      <c r="D45" s="2">
        <f>ROUND($C$8*$C$5+$C$8*$C$4*(1-$L$5),0)</f>
        <v>88</v>
      </c>
      <c r="E45" s="2">
        <f t="shared" si="1"/>
        <v>1760</v>
      </c>
      <c r="F45" s="2">
        <f>ROUND(E45*VLOOKUP($B$10,总产出!$T$4:$U$14,2,FALSE),0)</f>
        <v>88</v>
      </c>
      <c r="G45" s="2">
        <f ca="1" t="shared" si="2"/>
        <v>10</v>
      </c>
      <c r="H45" s="2">
        <f ca="1" t="shared" si="3"/>
        <v>200</v>
      </c>
      <c r="I45" s="2">
        <f ca="1">SUM(INDEX(advertisement!G:G,13):INDEX(advertisement!G:G,MATCH(总产出!$Q$4,advertisement!D:D,0)))</f>
        <v>10</v>
      </c>
      <c r="J4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45" s="2"/>
      <c r="L45" s="2"/>
      <c r="M45" s="2"/>
    </row>
    <row r="46" s="1" customFormat="1" ht="18" customHeight="1" spans="2:13">
      <c r="B46" s="2">
        <v>21</v>
      </c>
      <c r="C46" s="2">
        <f t="shared" si="0"/>
        <v>21000</v>
      </c>
      <c r="D46" s="2">
        <f>ROUND($C$8*$C$5+$C$8*$C$4*(1-$L$5),0)</f>
        <v>88</v>
      </c>
      <c r="E46" s="2">
        <f t="shared" si="1"/>
        <v>1848</v>
      </c>
      <c r="F46" s="2">
        <f>ROUND(E46*VLOOKUP($B$10,总产出!$T$4:$U$14,2,FALSE),0)</f>
        <v>92</v>
      </c>
      <c r="G46" s="2">
        <f ca="1" t="shared" si="2"/>
        <v>10</v>
      </c>
      <c r="H46" s="2">
        <f ca="1" t="shared" si="3"/>
        <v>210</v>
      </c>
      <c r="I46" s="2">
        <f ca="1">SUM(INDEX(advertisement!G:G,13):INDEX(advertisement!G:G,MATCH(总产出!$Q$4,advertisement!D:D,0)))</f>
        <v>10</v>
      </c>
      <c r="J4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46" s="2"/>
      <c r="L46" s="2"/>
      <c r="M46" s="2"/>
    </row>
    <row r="47" s="1" customFormat="1" ht="18" customHeight="1" spans="2:13">
      <c r="B47" s="2">
        <v>22</v>
      </c>
      <c r="C47" s="2">
        <f t="shared" si="0"/>
        <v>22000</v>
      </c>
      <c r="D47" s="2">
        <f>ROUND($C$8*$C$5+$C$8*$C$4*(1-$L$5),0)</f>
        <v>88</v>
      </c>
      <c r="E47" s="2">
        <f t="shared" si="1"/>
        <v>1936</v>
      </c>
      <c r="F47" s="2">
        <f>ROUND(E47*VLOOKUP($B$10,总产出!$T$4:$U$14,2,FALSE),0)</f>
        <v>97</v>
      </c>
      <c r="G47" s="2">
        <f ca="1" t="shared" si="2"/>
        <v>10</v>
      </c>
      <c r="H47" s="2">
        <f ca="1" t="shared" si="3"/>
        <v>220</v>
      </c>
      <c r="I47" s="2">
        <f ca="1">SUM(INDEX(advertisement!G:G,13):INDEX(advertisement!G:G,MATCH(总产出!$Q$4,advertisement!D:D,0)))</f>
        <v>10</v>
      </c>
      <c r="J4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47" s="2"/>
      <c r="L47" s="2"/>
      <c r="M47" s="2"/>
    </row>
    <row r="48" s="1" customFormat="1" ht="18" customHeight="1" spans="2:13">
      <c r="B48" s="2">
        <v>23</v>
      </c>
      <c r="C48" s="2">
        <f t="shared" si="0"/>
        <v>23000</v>
      </c>
      <c r="D48" s="2">
        <f>ROUND($C$8*$C$5+$C$8*$C$4*(1-$L$5),0)</f>
        <v>88</v>
      </c>
      <c r="E48" s="2">
        <f t="shared" si="1"/>
        <v>2024</v>
      </c>
      <c r="F48" s="2">
        <f>ROUND(E48*VLOOKUP($B$10,总产出!$T$4:$U$14,2,FALSE),0)</f>
        <v>101</v>
      </c>
      <c r="G48" s="2">
        <f ca="1" t="shared" si="2"/>
        <v>10</v>
      </c>
      <c r="H48" s="2">
        <f ca="1" t="shared" si="3"/>
        <v>230</v>
      </c>
      <c r="I48" s="2">
        <f ca="1">SUM(INDEX(advertisement!G:G,13):INDEX(advertisement!G:G,MATCH(总产出!$Q$4,advertisement!D:D,0)))</f>
        <v>10</v>
      </c>
      <c r="J4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48" s="2"/>
      <c r="L48" s="2"/>
      <c r="M48" s="2"/>
    </row>
    <row r="49" s="1" customFormat="1" ht="18" customHeight="1" spans="2:13">
      <c r="B49" s="2">
        <v>24</v>
      </c>
      <c r="C49" s="2">
        <f t="shared" si="0"/>
        <v>24000</v>
      </c>
      <c r="D49" s="2">
        <f>ROUND($C$8*$C$5+$C$8*$C$4*(1-$L$5),0)</f>
        <v>88</v>
      </c>
      <c r="E49" s="2">
        <f t="shared" si="1"/>
        <v>2112</v>
      </c>
      <c r="F49" s="2">
        <f>ROUND(E49*VLOOKUP($B$10,总产出!$T$4:$U$14,2,FALSE),0)</f>
        <v>106</v>
      </c>
      <c r="G49" s="2">
        <f ca="1" t="shared" si="2"/>
        <v>10</v>
      </c>
      <c r="H49" s="2">
        <f ca="1" t="shared" si="3"/>
        <v>240</v>
      </c>
      <c r="I49" s="2">
        <f ca="1">SUM(INDEX(advertisement!G:G,13):INDEX(advertisement!G:G,MATCH(总产出!$Q$4,advertisement!D:D,0)))</f>
        <v>10</v>
      </c>
      <c r="J4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49" s="2"/>
      <c r="L49" s="2"/>
      <c r="M49" s="2"/>
    </row>
    <row r="50" s="1" customFormat="1" ht="18" customHeight="1" spans="2:13">
      <c r="B50" s="2">
        <v>25</v>
      </c>
      <c r="C50" s="2">
        <f t="shared" si="0"/>
        <v>25000</v>
      </c>
      <c r="D50" s="2">
        <f>ROUND($C$8*$C$5+$C$8*$C$4*(1-$L$5),0)</f>
        <v>88</v>
      </c>
      <c r="E50" s="2">
        <f t="shared" si="1"/>
        <v>2200</v>
      </c>
      <c r="F50" s="2">
        <f>ROUND(E50*VLOOKUP($B$10,总产出!$T$4:$U$14,2,FALSE),0)</f>
        <v>110</v>
      </c>
      <c r="G50" s="2">
        <f ca="1" t="shared" si="2"/>
        <v>10</v>
      </c>
      <c r="H50" s="2">
        <f ca="1" t="shared" si="3"/>
        <v>250</v>
      </c>
      <c r="I50" s="2">
        <f ca="1">SUM(INDEX(advertisement!G:G,13):INDEX(advertisement!G:G,MATCH(总产出!$Q$4,advertisement!D:D,0)))</f>
        <v>10</v>
      </c>
      <c r="J5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0" s="2"/>
      <c r="L50" s="2"/>
      <c r="M50" s="2"/>
    </row>
    <row r="51" s="1" customFormat="1" ht="18" customHeight="1" spans="2:13">
      <c r="B51" s="2">
        <v>26</v>
      </c>
      <c r="C51" s="2">
        <f t="shared" si="0"/>
        <v>26000</v>
      </c>
      <c r="D51" s="2">
        <f>ROUND($C$8*$C$5+$C$8*$C$4*(1-$L$5),0)</f>
        <v>88</v>
      </c>
      <c r="E51" s="2">
        <f t="shared" si="1"/>
        <v>2288</v>
      </c>
      <c r="F51" s="2">
        <f>ROUND(E51*VLOOKUP($B$10,总产出!$T$4:$U$14,2,FALSE),0)</f>
        <v>114</v>
      </c>
      <c r="G51" s="2">
        <f ca="1" t="shared" si="2"/>
        <v>10</v>
      </c>
      <c r="H51" s="2">
        <f ca="1" t="shared" si="3"/>
        <v>260</v>
      </c>
      <c r="I51" s="2">
        <f ca="1">SUM(INDEX(advertisement!G:G,13):INDEX(advertisement!G:G,MATCH(总产出!$Q$4,advertisement!D:D,0)))</f>
        <v>10</v>
      </c>
      <c r="J5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1" s="2"/>
      <c r="L51" s="2"/>
      <c r="M51" s="2"/>
    </row>
    <row r="52" s="1" customFormat="1" ht="18" customHeight="1" spans="2:13">
      <c r="B52" s="2">
        <v>27</v>
      </c>
      <c r="C52" s="2">
        <f t="shared" si="0"/>
        <v>27000</v>
      </c>
      <c r="D52" s="2">
        <f>ROUND($C$8*$C$5+$C$8*$C$4*(1-$L$5),0)</f>
        <v>88</v>
      </c>
      <c r="E52" s="2">
        <f t="shared" si="1"/>
        <v>2376</v>
      </c>
      <c r="F52" s="2">
        <f>ROUND(E52*VLOOKUP($B$10,总产出!$T$4:$U$14,2,FALSE),0)</f>
        <v>119</v>
      </c>
      <c r="G52" s="2">
        <f ca="1" t="shared" si="2"/>
        <v>10</v>
      </c>
      <c r="H52" s="2">
        <f ca="1" t="shared" si="3"/>
        <v>270</v>
      </c>
      <c r="I52" s="2">
        <f ca="1">SUM(INDEX(advertisement!G:G,13):INDEX(advertisement!G:G,MATCH(总产出!$Q$4,advertisement!D:D,0)))</f>
        <v>10</v>
      </c>
      <c r="J5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2" s="2"/>
      <c r="L52" s="2"/>
      <c r="M52" s="2"/>
    </row>
    <row r="53" s="1" customFormat="1" ht="18" customHeight="1" spans="2:13">
      <c r="B53" s="2">
        <v>28</v>
      </c>
      <c r="C53" s="2">
        <f t="shared" si="0"/>
        <v>28000</v>
      </c>
      <c r="D53" s="2">
        <f>ROUND($C$8*$C$5+$C$8*$C$4*(1-$L$5),0)</f>
        <v>88</v>
      </c>
      <c r="E53" s="2">
        <f t="shared" si="1"/>
        <v>2464</v>
      </c>
      <c r="F53" s="2">
        <f>ROUND(E53*VLOOKUP($B$10,总产出!$T$4:$U$14,2,FALSE),0)</f>
        <v>123</v>
      </c>
      <c r="G53" s="2">
        <f ca="1" t="shared" si="2"/>
        <v>10</v>
      </c>
      <c r="H53" s="2">
        <f ca="1" t="shared" si="3"/>
        <v>280</v>
      </c>
      <c r="I53" s="2">
        <f ca="1">SUM(INDEX(advertisement!G:G,13):INDEX(advertisement!G:G,MATCH(总产出!$Q$4,advertisement!D:D,0)))</f>
        <v>10</v>
      </c>
      <c r="J5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3" s="2"/>
      <c r="L53" s="2"/>
      <c r="M53" s="2"/>
    </row>
    <row r="54" s="1" customFormat="1" ht="18" customHeight="1" spans="2:13">
      <c r="B54" s="2">
        <v>29</v>
      </c>
      <c r="C54" s="2">
        <f t="shared" si="0"/>
        <v>29000</v>
      </c>
      <c r="D54" s="2">
        <f>ROUND($C$8*$C$5+$C$8*$C$4*(1-$L$5),0)</f>
        <v>88</v>
      </c>
      <c r="E54" s="2">
        <f t="shared" si="1"/>
        <v>2552</v>
      </c>
      <c r="F54" s="2">
        <f>ROUND(E54*VLOOKUP($B$10,总产出!$T$4:$U$14,2,FALSE),0)</f>
        <v>128</v>
      </c>
      <c r="G54" s="2">
        <f ca="1" t="shared" si="2"/>
        <v>10</v>
      </c>
      <c r="H54" s="2">
        <f ca="1" t="shared" si="3"/>
        <v>290</v>
      </c>
      <c r="I54" s="2">
        <f ca="1">SUM(INDEX(advertisement!G:G,13):INDEX(advertisement!G:G,MATCH(总产出!$Q$4,advertisement!D:D,0)))</f>
        <v>10</v>
      </c>
      <c r="J5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4" s="2"/>
      <c r="L54" s="2"/>
      <c r="M54" s="2"/>
    </row>
    <row r="55" s="1" customFormat="1" ht="18" customHeight="1" spans="2:13">
      <c r="B55" s="2">
        <v>30</v>
      </c>
      <c r="C55" s="2">
        <f t="shared" si="0"/>
        <v>30000</v>
      </c>
      <c r="D55" s="2">
        <f>ROUND($C$8*$C$5+$C$8*$C$4*(1-$L$5),0)</f>
        <v>88</v>
      </c>
      <c r="E55" s="2">
        <f t="shared" si="1"/>
        <v>2640</v>
      </c>
      <c r="F55" s="2">
        <f>ROUND(E55*VLOOKUP($B$10,总产出!$T$4:$U$14,2,FALSE),0)</f>
        <v>132</v>
      </c>
      <c r="G55" s="2">
        <f ca="1" t="shared" si="2"/>
        <v>10</v>
      </c>
      <c r="H55" s="2">
        <f ca="1" t="shared" si="3"/>
        <v>300</v>
      </c>
      <c r="I55" s="2">
        <f ca="1">SUM(INDEX(advertisement!G:G,13):INDEX(advertisement!G:G,MATCH(总产出!$Q$4,advertisement!D:D,0)))</f>
        <v>10</v>
      </c>
      <c r="J5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5" s="2"/>
      <c r="L55" s="2"/>
      <c r="M55" s="2"/>
    </row>
    <row r="56" s="1" customFormat="1" ht="18" customHeight="1" spans="2:13">
      <c r="B56" s="2">
        <v>31</v>
      </c>
      <c r="C56" s="2">
        <f t="shared" si="0"/>
        <v>31000</v>
      </c>
      <c r="D56" s="2">
        <f>ROUND($C$8*$C$5+$C$8*$C$4*(1-$L$5),0)</f>
        <v>88</v>
      </c>
      <c r="E56" s="2">
        <f t="shared" si="1"/>
        <v>2728</v>
      </c>
      <c r="F56" s="2">
        <f>ROUND(E56*VLOOKUP($B$10,总产出!$T$4:$U$14,2,FALSE),0)</f>
        <v>136</v>
      </c>
      <c r="G56" s="2">
        <f ca="1" t="shared" si="2"/>
        <v>10</v>
      </c>
      <c r="H56" s="2">
        <f ca="1" t="shared" si="3"/>
        <v>310</v>
      </c>
      <c r="I56" s="2">
        <f ca="1">SUM(INDEX(advertisement!G:G,13):INDEX(advertisement!G:G,MATCH(总产出!$Q$4,advertisement!D:D,0)))</f>
        <v>10</v>
      </c>
      <c r="J5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6" s="2"/>
      <c r="L56" s="2"/>
      <c r="M56" s="2"/>
    </row>
    <row r="57" s="1" customFormat="1" ht="18" customHeight="1" spans="2:13">
      <c r="B57" s="2">
        <v>32</v>
      </c>
      <c r="C57" s="2">
        <f t="shared" si="0"/>
        <v>32000</v>
      </c>
      <c r="D57" s="2">
        <f>ROUND($C$8*$C$5+$C$8*$C$4*(1-$L$5),0)</f>
        <v>88</v>
      </c>
      <c r="E57" s="2">
        <f t="shared" si="1"/>
        <v>2816</v>
      </c>
      <c r="F57" s="2">
        <f>ROUND(E57*VLOOKUP($B$10,总产出!$T$4:$U$14,2,FALSE),0)</f>
        <v>141</v>
      </c>
      <c r="G57" s="2">
        <f ca="1" t="shared" si="2"/>
        <v>10</v>
      </c>
      <c r="H57" s="2">
        <f ca="1" t="shared" si="3"/>
        <v>320</v>
      </c>
      <c r="I57" s="2">
        <f ca="1">SUM(INDEX(advertisement!G:G,13):INDEX(advertisement!G:G,MATCH(总产出!$Q$4,advertisement!D:D,0)))</f>
        <v>10</v>
      </c>
      <c r="J5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7" s="2"/>
      <c r="L57" s="2"/>
      <c r="M57" s="2"/>
    </row>
    <row r="58" s="1" customFormat="1" ht="18" customHeight="1" spans="2:13">
      <c r="B58" s="2">
        <v>33</v>
      </c>
      <c r="C58" s="2">
        <f t="shared" si="0"/>
        <v>33000</v>
      </c>
      <c r="D58" s="2">
        <f>ROUND($C$8*$C$5+$C$8*$C$4*(1-$L$5),0)</f>
        <v>88</v>
      </c>
      <c r="E58" s="2">
        <f t="shared" si="1"/>
        <v>2904</v>
      </c>
      <c r="F58" s="2">
        <f>ROUND(E58*VLOOKUP($B$10,总产出!$T$4:$U$14,2,FALSE),0)</f>
        <v>145</v>
      </c>
      <c r="G58" s="2">
        <f ca="1" t="shared" si="2"/>
        <v>10</v>
      </c>
      <c r="H58" s="2">
        <f ca="1" t="shared" si="3"/>
        <v>330</v>
      </c>
      <c r="I58" s="2">
        <f ca="1">SUM(INDEX(advertisement!G:G,13):INDEX(advertisement!G:G,MATCH(总产出!$Q$4,advertisement!D:D,0)))</f>
        <v>10</v>
      </c>
      <c r="J5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8" s="2"/>
      <c r="L58" s="2"/>
      <c r="M58" s="2"/>
    </row>
    <row r="59" s="1" customFormat="1" ht="18" customHeight="1" spans="2:13">
      <c r="B59" s="2">
        <v>34</v>
      </c>
      <c r="C59" s="2">
        <f t="shared" si="0"/>
        <v>34000</v>
      </c>
      <c r="D59" s="2">
        <f>ROUND($C$8*$C$5+$C$8*$C$4*(1-$L$5),0)</f>
        <v>88</v>
      </c>
      <c r="E59" s="2">
        <f t="shared" si="1"/>
        <v>2992</v>
      </c>
      <c r="F59" s="2">
        <f>ROUND(E59*VLOOKUP($B$10,总产出!$T$4:$U$14,2,FALSE),0)</f>
        <v>150</v>
      </c>
      <c r="G59" s="2">
        <f ca="1" t="shared" si="2"/>
        <v>10</v>
      </c>
      <c r="H59" s="2">
        <f ca="1" t="shared" si="3"/>
        <v>340</v>
      </c>
      <c r="I59" s="2">
        <f ca="1">SUM(INDEX(advertisement!G:G,13):INDEX(advertisement!G:G,MATCH(总产出!$Q$4,advertisement!D:D,0)))</f>
        <v>10</v>
      </c>
      <c r="J5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59" s="2"/>
      <c r="L59" s="2"/>
      <c r="M59" s="2"/>
    </row>
    <row r="60" s="1" customFormat="1" ht="18" customHeight="1" spans="2:13">
      <c r="B60" s="2">
        <v>35</v>
      </c>
      <c r="C60" s="2">
        <f t="shared" si="0"/>
        <v>35000</v>
      </c>
      <c r="D60" s="2">
        <f>ROUND($C$8*$C$5+$C$8*$C$4*(1-$L$5),0)</f>
        <v>88</v>
      </c>
      <c r="E60" s="2">
        <f t="shared" si="1"/>
        <v>3080</v>
      </c>
      <c r="F60" s="2">
        <f>ROUND(E60*VLOOKUP($B$10,总产出!$T$4:$U$14,2,FALSE),0)</f>
        <v>154</v>
      </c>
      <c r="G60" s="2">
        <f ca="1" t="shared" si="2"/>
        <v>10</v>
      </c>
      <c r="H60" s="2">
        <f ca="1" t="shared" si="3"/>
        <v>350</v>
      </c>
      <c r="I60" s="2">
        <f ca="1">SUM(INDEX(advertisement!G:G,13):INDEX(advertisement!G:G,MATCH(总产出!$Q$4,advertisement!D:D,0)))</f>
        <v>10</v>
      </c>
      <c r="J6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0" s="2"/>
      <c r="L60" s="2"/>
      <c r="M60" s="2"/>
    </row>
    <row r="61" s="1" customFormat="1" ht="18" customHeight="1" spans="2:13">
      <c r="B61" s="2">
        <v>36</v>
      </c>
      <c r="C61" s="2">
        <f t="shared" si="0"/>
        <v>36000</v>
      </c>
      <c r="D61" s="2">
        <f>ROUND($C$8*$C$5+$C$8*$C$4*(1-$L$5),0)</f>
        <v>88</v>
      </c>
      <c r="E61" s="2">
        <f t="shared" si="1"/>
        <v>3168</v>
      </c>
      <c r="F61" s="2">
        <f>ROUND(E61*VLOOKUP($B$10,总产出!$T$4:$U$14,2,FALSE),0)</f>
        <v>158</v>
      </c>
      <c r="G61" s="2">
        <f ca="1" t="shared" si="2"/>
        <v>10</v>
      </c>
      <c r="H61" s="2">
        <f ca="1" t="shared" si="3"/>
        <v>360</v>
      </c>
      <c r="I61" s="2">
        <f ca="1">SUM(INDEX(advertisement!G:G,13):INDEX(advertisement!G:G,MATCH(总产出!$Q$4,advertisement!D:D,0)))</f>
        <v>10</v>
      </c>
      <c r="J6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1" s="2"/>
      <c r="L61" s="2"/>
      <c r="M61" s="2"/>
    </row>
    <row r="62" s="1" customFormat="1" ht="18" customHeight="1" spans="2:13">
      <c r="B62" s="2">
        <v>37</v>
      </c>
      <c r="C62" s="2">
        <f t="shared" si="0"/>
        <v>37000</v>
      </c>
      <c r="D62" s="2">
        <f>ROUND($C$8*$C$5+$C$8*$C$4*(1-$L$5),0)</f>
        <v>88</v>
      </c>
      <c r="E62" s="2">
        <f t="shared" si="1"/>
        <v>3256</v>
      </c>
      <c r="F62" s="2">
        <f>ROUND(E62*VLOOKUP($B$10,总产出!$T$4:$U$14,2,FALSE),0)</f>
        <v>163</v>
      </c>
      <c r="G62" s="2">
        <f ca="1" t="shared" si="2"/>
        <v>10</v>
      </c>
      <c r="H62" s="2">
        <f ca="1" t="shared" si="3"/>
        <v>370</v>
      </c>
      <c r="I62" s="2">
        <f ca="1">SUM(INDEX(advertisement!G:G,13):INDEX(advertisement!G:G,MATCH(总产出!$Q$4,advertisement!D:D,0)))</f>
        <v>10</v>
      </c>
      <c r="J6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2" s="2"/>
      <c r="L62" s="2"/>
      <c r="M62" s="2"/>
    </row>
    <row r="63" s="1" customFormat="1" ht="18" customHeight="1" spans="2:13">
      <c r="B63" s="2">
        <v>38</v>
      </c>
      <c r="C63" s="2">
        <f t="shared" si="0"/>
        <v>38000</v>
      </c>
      <c r="D63" s="2">
        <f>ROUND($C$8*$C$5+$C$8*$C$4*(1-$L$5),0)</f>
        <v>88</v>
      </c>
      <c r="E63" s="2">
        <f t="shared" si="1"/>
        <v>3344</v>
      </c>
      <c r="F63" s="2">
        <f>ROUND(E63*VLOOKUP($B$10,总产出!$T$4:$U$14,2,FALSE),0)</f>
        <v>167</v>
      </c>
      <c r="G63" s="2">
        <f ca="1" t="shared" si="2"/>
        <v>10</v>
      </c>
      <c r="H63" s="2">
        <f ca="1" t="shared" si="3"/>
        <v>380</v>
      </c>
      <c r="I63" s="2">
        <f ca="1">SUM(INDEX(advertisement!G:G,13):INDEX(advertisement!G:G,MATCH(总产出!$Q$4,advertisement!D:D,0)))</f>
        <v>10</v>
      </c>
      <c r="J6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3" s="2"/>
      <c r="L63" s="2"/>
      <c r="M63" s="2"/>
    </row>
    <row r="64" s="1" customFormat="1" ht="18" customHeight="1" spans="2:13">
      <c r="B64" s="2">
        <v>39</v>
      </c>
      <c r="C64" s="2">
        <f t="shared" si="0"/>
        <v>39000</v>
      </c>
      <c r="D64" s="2">
        <f>ROUND($C$8*$C$5+$C$8*$C$4*(1-$L$5),0)</f>
        <v>88</v>
      </c>
      <c r="E64" s="2">
        <f t="shared" si="1"/>
        <v>3432</v>
      </c>
      <c r="F64" s="2">
        <f>ROUND(E64*VLOOKUP($B$10,总产出!$T$4:$U$14,2,FALSE),0)</f>
        <v>172</v>
      </c>
      <c r="G64" s="2">
        <f ca="1" t="shared" si="2"/>
        <v>10</v>
      </c>
      <c r="H64" s="2">
        <f ca="1" t="shared" si="3"/>
        <v>390</v>
      </c>
      <c r="I64" s="2">
        <f ca="1">SUM(INDEX(advertisement!G:G,13):INDEX(advertisement!G:G,MATCH(总产出!$Q$4,advertisement!D:D,0)))</f>
        <v>10</v>
      </c>
      <c r="J6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4" s="2"/>
      <c r="L64" s="2"/>
      <c r="M64" s="2"/>
    </row>
    <row r="65" s="1" customFormat="1" ht="18" customHeight="1" spans="2:13">
      <c r="B65" s="2">
        <v>40</v>
      </c>
      <c r="C65" s="2">
        <f t="shared" si="0"/>
        <v>40000</v>
      </c>
      <c r="D65" s="2">
        <f>ROUND($C$8*$C$5+$C$8*$C$4*(1-$L$5),0)</f>
        <v>88</v>
      </c>
      <c r="E65" s="2">
        <f t="shared" si="1"/>
        <v>3520</v>
      </c>
      <c r="F65" s="2">
        <f>ROUND(E65*VLOOKUP($B$10,总产出!$T$4:$U$14,2,FALSE),0)</f>
        <v>176</v>
      </c>
      <c r="G65" s="2">
        <f ca="1" t="shared" si="2"/>
        <v>10</v>
      </c>
      <c r="H65" s="2">
        <f ca="1" t="shared" si="3"/>
        <v>400</v>
      </c>
      <c r="I65" s="2">
        <f ca="1">SUM(INDEX(advertisement!G:G,13):INDEX(advertisement!G:G,MATCH(总产出!$Q$4,advertisement!D:D,0)))</f>
        <v>10</v>
      </c>
      <c r="J6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5" s="2"/>
      <c r="L65" s="2"/>
      <c r="M65" s="2"/>
    </row>
    <row r="66" s="1" customFormat="1" ht="18" customHeight="1" spans="2:13">
      <c r="B66" s="2">
        <v>41</v>
      </c>
      <c r="C66" s="2">
        <f t="shared" si="0"/>
        <v>41000</v>
      </c>
      <c r="D66" s="2">
        <f>ROUND($C$8*$C$5+$C$8*$C$4*(1-$L$5),0)</f>
        <v>88</v>
      </c>
      <c r="E66" s="2">
        <f t="shared" si="1"/>
        <v>3608</v>
      </c>
      <c r="F66" s="2">
        <f>ROUND(E66*VLOOKUP($B$10,总产出!$T$4:$U$14,2,FALSE),0)</f>
        <v>180</v>
      </c>
      <c r="G66" s="2">
        <f ca="1" t="shared" si="2"/>
        <v>10</v>
      </c>
      <c r="H66" s="2">
        <f ca="1" t="shared" si="3"/>
        <v>410</v>
      </c>
      <c r="I66" s="2">
        <f ca="1">SUM(INDEX(advertisement!G:G,13):INDEX(advertisement!G:G,MATCH(总产出!$Q$4,advertisement!D:D,0)))</f>
        <v>10</v>
      </c>
      <c r="J6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6" s="2"/>
      <c r="L66" s="2"/>
      <c r="M66" s="2"/>
    </row>
    <row r="67" s="1" customFormat="1" ht="18" customHeight="1" spans="2:13">
      <c r="B67" s="2">
        <v>42</v>
      </c>
      <c r="C67" s="2">
        <f t="shared" si="0"/>
        <v>42000</v>
      </c>
      <c r="D67" s="2">
        <f>ROUND($C$8*$C$5+$C$8*$C$4*(1-$L$5),0)</f>
        <v>88</v>
      </c>
      <c r="E67" s="2">
        <f t="shared" si="1"/>
        <v>3696</v>
      </c>
      <c r="F67" s="2">
        <f>ROUND(E67*VLOOKUP($B$10,总产出!$T$4:$U$14,2,FALSE),0)</f>
        <v>185</v>
      </c>
      <c r="G67" s="2">
        <f ca="1" t="shared" si="2"/>
        <v>10</v>
      </c>
      <c r="H67" s="2">
        <f ca="1" t="shared" si="3"/>
        <v>420</v>
      </c>
      <c r="I67" s="2">
        <f ca="1">SUM(INDEX(advertisement!G:G,13):INDEX(advertisement!G:G,MATCH(总产出!$Q$4,advertisement!D:D,0)))</f>
        <v>10</v>
      </c>
      <c r="J6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7" s="2"/>
      <c r="L67" s="2"/>
      <c r="M67" s="2"/>
    </row>
    <row r="68" s="1" customFormat="1" ht="18" customHeight="1" spans="2:13">
      <c r="B68" s="2">
        <v>43</v>
      </c>
      <c r="C68" s="2">
        <f t="shared" si="0"/>
        <v>43000</v>
      </c>
      <c r="D68" s="2">
        <f>ROUND($C$8*$C$5+$C$8*$C$4*(1-$L$5),0)</f>
        <v>88</v>
      </c>
      <c r="E68" s="2">
        <f t="shared" si="1"/>
        <v>3784</v>
      </c>
      <c r="F68" s="2">
        <f>ROUND(E68*VLOOKUP($B$10,总产出!$T$4:$U$14,2,FALSE),0)</f>
        <v>189</v>
      </c>
      <c r="G68" s="2">
        <f ca="1" t="shared" si="2"/>
        <v>10</v>
      </c>
      <c r="H68" s="2">
        <f ca="1" t="shared" si="3"/>
        <v>430</v>
      </c>
      <c r="I68" s="2">
        <f ca="1">SUM(INDEX(advertisement!G:G,13):INDEX(advertisement!G:G,MATCH(总产出!$Q$4,advertisement!D:D,0)))</f>
        <v>10</v>
      </c>
      <c r="J6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8" s="2"/>
      <c r="L68" s="2"/>
      <c r="M68" s="2"/>
    </row>
    <row r="69" s="1" customFormat="1" ht="18" customHeight="1" spans="2:13">
      <c r="B69" s="2">
        <v>44</v>
      </c>
      <c r="C69" s="2">
        <f t="shared" si="0"/>
        <v>44000</v>
      </c>
      <c r="D69" s="2">
        <f>ROUND($C$8*$C$5+$C$8*$C$4*(1-$L$5),0)</f>
        <v>88</v>
      </c>
      <c r="E69" s="2">
        <f t="shared" si="1"/>
        <v>3872</v>
      </c>
      <c r="F69" s="2">
        <f>ROUND(E69*VLOOKUP($B$10,总产出!$T$4:$U$14,2,FALSE),0)</f>
        <v>194</v>
      </c>
      <c r="G69" s="2">
        <f ca="1" t="shared" si="2"/>
        <v>10</v>
      </c>
      <c r="H69" s="2">
        <f ca="1" t="shared" si="3"/>
        <v>440</v>
      </c>
      <c r="I69" s="2">
        <f ca="1">SUM(INDEX(advertisement!G:G,13):INDEX(advertisement!G:G,MATCH(总产出!$Q$4,advertisement!D:D,0)))</f>
        <v>10</v>
      </c>
      <c r="J6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69" s="2"/>
      <c r="L69" s="2"/>
      <c r="M69" s="2"/>
    </row>
    <row r="70" s="1" customFormat="1" ht="18" customHeight="1" spans="2:13">
      <c r="B70" s="2">
        <v>45</v>
      </c>
      <c r="C70" s="2">
        <f t="shared" si="0"/>
        <v>45000</v>
      </c>
      <c r="D70" s="2">
        <f>ROUND($C$8*$C$5+$C$8*$C$4*(1-$L$5),0)</f>
        <v>88</v>
      </c>
      <c r="E70" s="2">
        <f t="shared" si="1"/>
        <v>3960</v>
      </c>
      <c r="F70" s="2">
        <f>ROUND(E70*VLOOKUP($B$10,总产出!$T$4:$U$14,2,FALSE),0)</f>
        <v>198</v>
      </c>
      <c r="G70" s="2">
        <f ca="1" t="shared" si="2"/>
        <v>10</v>
      </c>
      <c r="H70" s="2">
        <f ca="1" t="shared" si="3"/>
        <v>450</v>
      </c>
      <c r="I70" s="2">
        <f ca="1">SUM(INDEX(advertisement!G:G,13):INDEX(advertisement!G:G,MATCH(总产出!$Q$4,advertisement!D:D,0)))</f>
        <v>10</v>
      </c>
      <c r="J7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0" s="2"/>
      <c r="L70" s="2"/>
      <c r="M70" s="2"/>
    </row>
    <row r="71" s="1" customFormat="1" ht="18" customHeight="1" spans="2:13">
      <c r="B71" s="2">
        <v>46</v>
      </c>
      <c r="C71" s="2">
        <f t="shared" si="0"/>
        <v>46000</v>
      </c>
      <c r="D71" s="2">
        <f>ROUND($C$8*$C$5+$C$8*$C$4*(1-$L$5),0)</f>
        <v>88</v>
      </c>
      <c r="E71" s="2">
        <f t="shared" si="1"/>
        <v>4048</v>
      </c>
      <c r="F71" s="2">
        <f>ROUND(E71*VLOOKUP($B$10,总产出!$T$4:$U$14,2,FALSE),0)</f>
        <v>202</v>
      </c>
      <c r="G71" s="2">
        <f ca="1" t="shared" si="2"/>
        <v>10</v>
      </c>
      <c r="H71" s="2">
        <f ca="1" t="shared" si="3"/>
        <v>460</v>
      </c>
      <c r="I71" s="2">
        <f ca="1">SUM(INDEX(advertisement!G:G,13):INDEX(advertisement!G:G,MATCH(总产出!$Q$4,advertisement!D:D,0)))</f>
        <v>10</v>
      </c>
      <c r="J7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1" s="2"/>
      <c r="L71" s="2"/>
      <c r="M71" s="2"/>
    </row>
    <row r="72" s="1" customFormat="1" ht="18" customHeight="1" spans="2:13">
      <c r="B72" s="2">
        <v>47</v>
      </c>
      <c r="C72" s="2">
        <f t="shared" si="0"/>
        <v>47000</v>
      </c>
      <c r="D72" s="2">
        <f>ROUND($C$8*$C$5+$C$8*$C$4*(1-$L$5),0)</f>
        <v>88</v>
      </c>
      <c r="E72" s="2">
        <f t="shared" si="1"/>
        <v>4136</v>
      </c>
      <c r="F72" s="2">
        <f>ROUND(E72*VLOOKUP($B$10,总产出!$T$4:$U$14,2,FALSE),0)</f>
        <v>207</v>
      </c>
      <c r="G72" s="2">
        <f ca="1" t="shared" si="2"/>
        <v>10</v>
      </c>
      <c r="H72" s="2">
        <f ca="1" t="shared" si="3"/>
        <v>470</v>
      </c>
      <c r="I72" s="2">
        <f ca="1">SUM(INDEX(advertisement!G:G,13):INDEX(advertisement!G:G,MATCH(总产出!$Q$4,advertisement!D:D,0)))</f>
        <v>10</v>
      </c>
      <c r="J7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2" s="2"/>
      <c r="L72" s="2"/>
      <c r="M72" s="2"/>
    </row>
    <row r="73" s="1" customFormat="1" ht="18" customHeight="1" spans="2:13">
      <c r="B73" s="2">
        <v>48</v>
      </c>
      <c r="C73" s="2">
        <f t="shared" si="0"/>
        <v>48000</v>
      </c>
      <c r="D73" s="2">
        <f>ROUND($C$8*$C$5+$C$8*$C$4*(1-$L$5),0)</f>
        <v>88</v>
      </c>
      <c r="E73" s="2">
        <f t="shared" si="1"/>
        <v>4224</v>
      </c>
      <c r="F73" s="2">
        <f>ROUND(E73*VLOOKUP($B$10,总产出!$T$4:$U$14,2,FALSE),0)</f>
        <v>211</v>
      </c>
      <c r="G73" s="2">
        <f ca="1" t="shared" si="2"/>
        <v>10</v>
      </c>
      <c r="H73" s="2">
        <f ca="1" t="shared" si="3"/>
        <v>480</v>
      </c>
      <c r="I73" s="2">
        <f ca="1">SUM(INDEX(advertisement!G:G,13):INDEX(advertisement!G:G,MATCH(总产出!$Q$4,advertisement!D:D,0)))</f>
        <v>10</v>
      </c>
      <c r="J7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3" s="2"/>
      <c r="L73" s="2"/>
      <c r="M73" s="2"/>
    </row>
    <row r="74" s="1" customFormat="1" ht="18" customHeight="1" spans="2:13">
      <c r="B74" s="2">
        <v>49</v>
      </c>
      <c r="C74" s="2">
        <f t="shared" si="0"/>
        <v>49000</v>
      </c>
      <c r="D74" s="2">
        <f>ROUND($C$8*$C$5+$C$8*$C$4*(1-$L$5),0)</f>
        <v>88</v>
      </c>
      <c r="E74" s="2">
        <f t="shared" si="1"/>
        <v>4312</v>
      </c>
      <c r="F74" s="2">
        <f>ROUND(E74*VLOOKUP($B$10,总产出!$T$4:$U$14,2,FALSE),0)</f>
        <v>216</v>
      </c>
      <c r="G74" s="2">
        <f ca="1" t="shared" si="2"/>
        <v>10</v>
      </c>
      <c r="H74" s="2">
        <f ca="1" t="shared" si="3"/>
        <v>490</v>
      </c>
      <c r="I74" s="2">
        <f ca="1">SUM(INDEX(advertisement!G:G,13):INDEX(advertisement!G:G,MATCH(总产出!$Q$4,advertisement!D:D,0)))</f>
        <v>10</v>
      </c>
      <c r="J7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4" s="2"/>
      <c r="L74" s="2"/>
      <c r="M74" s="2"/>
    </row>
    <row r="75" s="1" customFormat="1" ht="18" customHeight="1" spans="2:13">
      <c r="B75" s="2">
        <v>50</v>
      </c>
      <c r="C75" s="2">
        <f t="shared" si="0"/>
        <v>50000</v>
      </c>
      <c r="D75" s="2">
        <f>ROUND($C$8*$C$5+$C$8*$C$4*(1-$L$5),0)</f>
        <v>88</v>
      </c>
      <c r="E75" s="2">
        <f t="shared" si="1"/>
        <v>4400</v>
      </c>
      <c r="F75" s="2">
        <f>ROUND(E75*VLOOKUP($B$10,总产出!$T$4:$U$14,2,FALSE),0)</f>
        <v>220</v>
      </c>
      <c r="G75" s="2">
        <f ca="1" t="shared" si="2"/>
        <v>10</v>
      </c>
      <c r="H75" s="2">
        <f ca="1" t="shared" si="3"/>
        <v>500</v>
      </c>
      <c r="I75" s="2">
        <f ca="1">SUM(INDEX(advertisement!G:G,13):INDEX(advertisement!G:G,MATCH(总产出!$Q$4,advertisement!D:D,0)))</f>
        <v>10</v>
      </c>
      <c r="J7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5" s="2"/>
      <c r="L75" s="2"/>
      <c r="M75" s="2"/>
    </row>
    <row r="76" s="1" customFormat="1" ht="18" customHeight="1" spans="2:13">
      <c r="B76" s="2">
        <v>51</v>
      </c>
      <c r="C76" s="2">
        <f t="shared" si="0"/>
        <v>51000</v>
      </c>
      <c r="D76" s="2">
        <f>ROUND($C$8*$C$5+$C$8*$C$4*(1-$L$5),0)</f>
        <v>88</v>
      </c>
      <c r="E76" s="2">
        <f t="shared" si="1"/>
        <v>4488</v>
      </c>
      <c r="F76" s="2">
        <f>ROUND(E76*VLOOKUP($B$10,总产出!$T$4:$U$14,2,FALSE),0)</f>
        <v>224</v>
      </c>
      <c r="G76" s="2">
        <f ca="1" t="shared" si="2"/>
        <v>10</v>
      </c>
      <c r="H76" s="2">
        <f ca="1" t="shared" si="3"/>
        <v>510</v>
      </c>
      <c r="I76" s="2">
        <f ca="1">SUM(INDEX(advertisement!G:G,13):INDEX(advertisement!G:G,MATCH(总产出!$Q$4,advertisement!D:D,0)))</f>
        <v>10</v>
      </c>
      <c r="J7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6" s="2"/>
      <c r="L76" s="2"/>
      <c r="M76" s="2"/>
    </row>
    <row r="77" s="1" customFormat="1" ht="18" customHeight="1" spans="2:13">
      <c r="B77" s="2">
        <v>52</v>
      </c>
      <c r="C77" s="2">
        <f t="shared" si="0"/>
        <v>52000</v>
      </c>
      <c r="D77" s="2">
        <f>ROUND($C$8*$C$5+$C$8*$C$4*(1-$L$5),0)</f>
        <v>88</v>
      </c>
      <c r="E77" s="2">
        <f t="shared" si="1"/>
        <v>4576</v>
      </c>
      <c r="F77" s="2">
        <f>ROUND(E77*VLOOKUP($B$10,总产出!$T$4:$U$14,2,FALSE),0)</f>
        <v>229</v>
      </c>
      <c r="G77" s="2">
        <f ca="1" t="shared" si="2"/>
        <v>10</v>
      </c>
      <c r="H77" s="2">
        <f ca="1" t="shared" si="3"/>
        <v>520</v>
      </c>
      <c r="I77" s="2">
        <f ca="1">SUM(INDEX(advertisement!G:G,13):INDEX(advertisement!G:G,MATCH(总产出!$Q$4,advertisement!D:D,0)))</f>
        <v>10</v>
      </c>
      <c r="J7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7" s="2"/>
      <c r="L77" s="2"/>
      <c r="M77" s="2"/>
    </row>
    <row r="78" s="1" customFormat="1" ht="18" customHeight="1" spans="2:13">
      <c r="B78" s="2">
        <v>53</v>
      </c>
      <c r="C78" s="2">
        <f t="shared" si="0"/>
        <v>53000</v>
      </c>
      <c r="D78" s="2">
        <f>ROUND($C$8*$C$5+$C$8*$C$4*(1-$L$5),0)</f>
        <v>88</v>
      </c>
      <c r="E78" s="2">
        <f t="shared" si="1"/>
        <v>4664</v>
      </c>
      <c r="F78" s="2">
        <f>ROUND(E78*VLOOKUP($B$10,总产出!$T$4:$U$14,2,FALSE),0)</f>
        <v>233</v>
      </c>
      <c r="G78" s="2">
        <f ca="1" t="shared" si="2"/>
        <v>10</v>
      </c>
      <c r="H78" s="2">
        <f ca="1" t="shared" si="3"/>
        <v>530</v>
      </c>
      <c r="I78" s="2">
        <f ca="1">SUM(INDEX(advertisement!G:G,13):INDEX(advertisement!G:G,MATCH(总产出!$Q$4,advertisement!D:D,0)))</f>
        <v>10</v>
      </c>
      <c r="J7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8" s="2"/>
      <c r="L78" s="2"/>
      <c r="M78" s="2"/>
    </row>
    <row r="79" s="1" customFormat="1" ht="18" customHeight="1" spans="2:13">
      <c r="B79" s="2">
        <v>54</v>
      </c>
      <c r="C79" s="2">
        <f t="shared" si="0"/>
        <v>54000</v>
      </c>
      <c r="D79" s="2">
        <f>ROUND($C$8*$C$5+$C$8*$C$4*(1-$L$5),0)</f>
        <v>88</v>
      </c>
      <c r="E79" s="2">
        <f t="shared" si="1"/>
        <v>4752</v>
      </c>
      <c r="F79" s="2">
        <f>ROUND(E79*VLOOKUP($B$10,总产出!$T$4:$U$14,2,FALSE),0)</f>
        <v>238</v>
      </c>
      <c r="G79" s="2">
        <f ca="1" t="shared" si="2"/>
        <v>10</v>
      </c>
      <c r="H79" s="2">
        <f ca="1" t="shared" si="3"/>
        <v>540</v>
      </c>
      <c r="I79" s="2">
        <f ca="1">SUM(INDEX(advertisement!G:G,13):INDEX(advertisement!G:G,MATCH(总产出!$Q$4,advertisement!D:D,0)))</f>
        <v>10</v>
      </c>
      <c r="J7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79" s="2"/>
      <c r="L79" s="2"/>
      <c r="M79" s="2"/>
    </row>
    <row r="80" s="1" customFormat="1" ht="18" customHeight="1" spans="2:13">
      <c r="B80" s="2">
        <v>55</v>
      </c>
      <c r="C80" s="2">
        <f t="shared" si="0"/>
        <v>55000</v>
      </c>
      <c r="D80" s="2">
        <f>ROUND($C$8*$C$5+$C$8*$C$4*(1-$L$5),0)</f>
        <v>88</v>
      </c>
      <c r="E80" s="2">
        <f t="shared" si="1"/>
        <v>4840</v>
      </c>
      <c r="F80" s="2">
        <f>ROUND(E80*VLOOKUP($B$10,总产出!$T$4:$U$14,2,FALSE),0)</f>
        <v>242</v>
      </c>
      <c r="G80" s="2">
        <f ca="1" t="shared" si="2"/>
        <v>10</v>
      </c>
      <c r="H80" s="2">
        <f ca="1" t="shared" si="3"/>
        <v>550</v>
      </c>
      <c r="I80" s="2">
        <f ca="1">SUM(INDEX(advertisement!G:G,13):INDEX(advertisement!G:G,MATCH(总产出!$Q$4,advertisement!D:D,0)))</f>
        <v>10</v>
      </c>
      <c r="J8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0" s="2"/>
      <c r="L80" s="2"/>
      <c r="M80" s="2"/>
    </row>
    <row r="81" s="1" customFormat="1" ht="18" customHeight="1" spans="2:13">
      <c r="B81" s="2">
        <v>56</v>
      </c>
      <c r="C81" s="2">
        <f t="shared" si="0"/>
        <v>56000</v>
      </c>
      <c r="D81" s="2">
        <f>ROUND($C$8*$C$5+$C$8*$C$4*(1-$L$5),0)</f>
        <v>88</v>
      </c>
      <c r="E81" s="2">
        <f t="shared" si="1"/>
        <v>4928</v>
      </c>
      <c r="F81" s="2">
        <f>ROUND(E81*VLOOKUP($B$10,总产出!$T$4:$U$14,2,FALSE),0)</f>
        <v>246</v>
      </c>
      <c r="G81" s="2">
        <f ca="1" t="shared" si="2"/>
        <v>10</v>
      </c>
      <c r="H81" s="2">
        <f ca="1" t="shared" si="3"/>
        <v>560</v>
      </c>
      <c r="I81" s="2">
        <f ca="1">SUM(INDEX(advertisement!G:G,13):INDEX(advertisement!G:G,MATCH(总产出!$Q$4,advertisement!D:D,0)))</f>
        <v>10</v>
      </c>
      <c r="J8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1" s="2"/>
      <c r="L81" s="2"/>
      <c r="M81" s="2"/>
    </row>
    <row r="82" s="1" customFormat="1" ht="18" customHeight="1" spans="2:13">
      <c r="B82" s="2">
        <v>57</v>
      </c>
      <c r="C82" s="2">
        <f t="shared" si="0"/>
        <v>57000</v>
      </c>
      <c r="D82" s="2">
        <f>ROUND($C$8*$C$5+$C$8*$C$4*(1-$L$5),0)</f>
        <v>88</v>
      </c>
      <c r="E82" s="2">
        <f t="shared" si="1"/>
        <v>5016</v>
      </c>
      <c r="F82" s="2">
        <f>ROUND(E82*VLOOKUP($B$10,总产出!$T$4:$U$14,2,FALSE),0)</f>
        <v>251</v>
      </c>
      <c r="G82" s="2">
        <f ca="1" t="shared" si="2"/>
        <v>10</v>
      </c>
      <c r="H82" s="2">
        <f ca="1" t="shared" si="3"/>
        <v>570</v>
      </c>
      <c r="I82" s="2">
        <f ca="1">SUM(INDEX(advertisement!G:G,13):INDEX(advertisement!G:G,MATCH(总产出!$Q$4,advertisement!D:D,0)))</f>
        <v>10</v>
      </c>
      <c r="J8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2" s="2"/>
      <c r="L82" s="2"/>
      <c r="M82" s="2"/>
    </row>
    <row r="83" s="1" customFormat="1" ht="18" customHeight="1" spans="2:13">
      <c r="B83" s="2">
        <v>58</v>
      </c>
      <c r="C83" s="2">
        <f t="shared" si="0"/>
        <v>58000</v>
      </c>
      <c r="D83" s="2">
        <f>ROUND($C$8*$C$5+$C$8*$C$4*(1-$L$5),0)</f>
        <v>88</v>
      </c>
      <c r="E83" s="2">
        <f t="shared" si="1"/>
        <v>5104</v>
      </c>
      <c r="F83" s="2">
        <f>ROUND(E83*VLOOKUP($B$10,总产出!$T$4:$U$14,2,FALSE),0)</f>
        <v>255</v>
      </c>
      <c r="G83" s="2">
        <f ca="1" t="shared" si="2"/>
        <v>10</v>
      </c>
      <c r="H83" s="2">
        <f ca="1" t="shared" si="3"/>
        <v>580</v>
      </c>
      <c r="I83" s="2">
        <f ca="1">SUM(INDEX(advertisement!G:G,13):INDEX(advertisement!G:G,MATCH(总产出!$Q$4,advertisement!D:D,0)))</f>
        <v>10</v>
      </c>
      <c r="J8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3" s="2"/>
      <c r="L83" s="2"/>
      <c r="M83" s="2"/>
    </row>
    <row r="84" s="1" customFormat="1" ht="18" customHeight="1" spans="2:13">
      <c r="B84" s="2">
        <v>59</v>
      </c>
      <c r="C84" s="2">
        <f t="shared" si="0"/>
        <v>59000</v>
      </c>
      <c r="D84" s="2">
        <f>ROUND($C$8*$C$5+$C$8*$C$4*(1-$L$5),0)</f>
        <v>88</v>
      </c>
      <c r="E84" s="2">
        <f t="shared" si="1"/>
        <v>5192</v>
      </c>
      <c r="F84" s="2">
        <f>ROUND(E84*VLOOKUP($B$10,总产出!$T$4:$U$14,2,FALSE),0)</f>
        <v>260</v>
      </c>
      <c r="G84" s="2">
        <f ca="1" t="shared" si="2"/>
        <v>10</v>
      </c>
      <c r="H84" s="2">
        <f ca="1" t="shared" si="3"/>
        <v>590</v>
      </c>
      <c r="I84" s="2">
        <f ca="1">SUM(INDEX(advertisement!G:G,13):INDEX(advertisement!G:G,MATCH(总产出!$Q$4,advertisement!D:D,0)))</f>
        <v>10</v>
      </c>
      <c r="J8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4" s="2"/>
      <c r="L84" s="2"/>
      <c r="M84" s="2"/>
    </row>
    <row r="85" s="1" customFormat="1" ht="18" customHeight="1" spans="2:13">
      <c r="B85" s="2">
        <v>60</v>
      </c>
      <c r="C85" s="2">
        <f t="shared" si="0"/>
        <v>60000</v>
      </c>
      <c r="D85" s="2">
        <f>ROUND($C$8*$C$5+$C$8*$C$4*(1-$L$5),0)</f>
        <v>88</v>
      </c>
      <c r="E85" s="2">
        <f t="shared" si="1"/>
        <v>5280</v>
      </c>
      <c r="F85" s="2">
        <f>ROUND(E85*VLOOKUP($B$10,总产出!$T$4:$U$14,2,FALSE),0)</f>
        <v>264</v>
      </c>
      <c r="G85" s="2">
        <f ca="1" t="shared" si="2"/>
        <v>10</v>
      </c>
      <c r="H85" s="2">
        <f ca="1" t="shared" si="3"/>
        <v>600</v>
      </c>
      <c r="I85" s="2">
        <f ca="1">SUM(INDEX(advertisement!G:G,13):INDEX(advertisement!G:G,MATCH(总产出!$Q$4,advertisement!D:D,0)))</f>
        <v>10</v>
      </c>
      <c r="J8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5" s="2"/>
      <c r="L85" s="2"/>
      <c r="M85" s="2"/>
    </row>
    <row r="86" s="1" customFormat="1" ht="18" customHeight="1" spans="2:13">
      <c r="B86" s="2">
        <v>61</v>
      </c>
      <c r="C86" s="2">
        <f t="shared" si="0"/>
        <v>61000</v>
      </c>
      <c r="D86" s="2">
        <f>ROUND($C$8*$C$5+$C$8*$C$4*(1-$L$5),0)</f>
        <v>88</v>
      </c>
      <c r="E86" s="2">
        <f t="shared" si="1"/>
        <v>5368</v>
      </c>
      <c r="F86" s="2">
        <f>ROUND(E86*VLOOKUP($B$10,总产出!$T$4:$U$14,2,FALSE),0)</f>
        <v>268</v>
      </c>
      <c r="G86" s="2">
        <f ca="1" t="shared" si="2"/>
        <v>10</v>
      </c>
      <c r="H86" s="2">
        <f ca="1" t="shared" si="3"/>
        <v>610</v>
      </c>
      <c r="I86" s="2">
        <f ca="1">SUM(INDEX(advertisement!G:G,13):INDEX(advertisement!G:G,MATCH(总产出!$Q$4,advertisement!D:D,0)))</f>
        <v>10</v>
      </c>
      <c r="J8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6" s="2"/>
      <c r="L86" s="2"/>
      <c r="M86" s="2"/>
    </row>
    <row r="87" s="1" customFormat="1" ht="18" customHeight="1" spans="2:13">
      <c r="B87" s="2">
        <v>62</v>
      </c>
      <c r="C87" s="2">
        <f t="shared" si="0"/>
        <v>62000</v>
      </c>
      <c r="D87" s="2">
        <f>ROUND($C$8*$C$5+$C$8*$C$4*(1-$L$5),0)</f>
        <v>88</v>
      </c>
      <c r="E87" s="2">
        <f t="shared" si="1"/>
        <v>5456</v>
      </c>
      <c r="F87" s="2">
        <f>ROUND(E87*VLOOKUP($B$10,总产出!$T$4:$U$14,2,FALSE),0)</f>
        <v>273</v>
      </c>
      <c r="G87" s="2">
        <f ca="1" t="shared" si="2"/>
        <v>10</v>
      </c>
      <c r="H87" s="2">
        <f ca="1" t="shared" si="3"/>
        <v>620</v>
      </c>
      <c r="I87" s="2">
        <f ca="1">SUM(INDEX(advertisement!G:G,13):INDEX(advertisement!G:G,MATCH(总产出!$Q$4,advertisement!D:D,0)))</f>
        <v>10</v>
      </c>
      <c r="J8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7" s="2"/>
      <c r="L87" s="2"/>
      <c r="M87" s="2"/>
    </row>
    <row r="88" s="1" customFormat="1" ht="18" customHeight="1" spans="2:13">
      <c r="B88" s="2">
        <v>63</v>
      </c>
      <c r="C88" s="2">
        <f t="shared" si="0"/>
        <v>63000</v>
      </c>
      <c r="D88" s="2">
        <f>ROUND($C$8*$C$5+$C$8*$C$4*(1-$L$5),0)</f>
        <v>88</v>
      </c>
      <c r="E88" s="2">
        <f t="shared" si="1"/>
        <v>5544</v>
      </c>
      <c r="F88" s="2">
        <f>ROUND(E88*VLOOKUP($B$10,总产出!$T$4:$U$14,2,FALSE),0)</f>
        <v>277</v>
      </c>
      <c r="G88" s="2">
        <f ca="1" t="shared" si="2"/>
        <v>10</v>
      </c>
      <c r="H88" s="2">
        <f ca="1" t="shared" si="3"/>
        <v>630</v>
      </c>
      <c r="I88" s="2">
        <f ca="1">SUM(INDEX(advertisement!G:G,13):INDEX(advertisement!G:G,MATCH(总产出!$Q$4,advertisement!D:D,0)))</f>
        <v>10</v>
      </c>
      <c r="J8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8" s="2"/>
      <c r="L88" s="2"/>
      <c r="M88" s="2"/>
    </row>
    <row r="89" s="1" customFormat="1" ht="18" customHeight="1" spans="2:13">
      <c r="B89" s="2">
        <v>64</v>
      </c>
      <c r="C89" s="2">
        <f t="shared" si="0"/>
        <v>64000</v>
      </c>
      <c r="D89" s="2">
        <f>ROUND($C$8*$C$5+$C$8*$C$4*(1-$L$5),0)</f>
        <v>88</v>
      </c>
      <c r="E89" s="2">
        <f t="shared" si="1"/>
        <v>5632</v>
      </c>
      <c r="F89" s="2">
        <f>ROUND(E89*VLOOKUP($B$10,总产出!$T$4:$U$14,2,FALSE),0)</f>
        <v>282</v>
      </c>
      <c r="G89" s="2">
        <f ca="1" t="shared" si="2"/>
        <v>10</v>
      </c>
      <c r="H89" s="2">
        <f ca="1" t="shared" si="3"/>
        <v>640</v>
      </c>
      <c r="I89" s="2">
        <f ca="1">SUM(INDEX(advertisement!G:G,13):INDEX(advertisement!G:G,MATCH(总产出!$Q$4,advertisement!D:D,0)))</f>
        <v>10</v>
      </c>
      <c r="J8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89" s="2"/>
      <c r="L89" s="2"/>
      <c r="M89" s="2"/>
    </row>
    <row r="90" s="1" customFormat="1" ht="18" customHeight="1" spans="2:13">
      <c r="B90" s="2">
        <v>65</v>
      </c>
      <c r="C90" s="2">
        <f t="shared" ref="C90:C125" si="4">$C$8*B90</f>
        <v>65000</v>
      </c>
      <c r="D90" s="2">
        <f>ROUND($C$8*$C$5+$C$8*$C$4*(1-$L$5),0)</f>
        <v>88</v>
      </c>
      <c r="E90" s="2">
        <f t="shared" ref="E90:E125" si="5">D90*B90</f>
        <v>5720</v>
      </c>
      <c r="F90" s="2">
        <f>ROUND(E90*VLOOKUP($B$10,总产出!$T$4:$U$14,2,FALSE),0)</f>
        <v>286</v>
      </c>
      <c r="G90" s="2">
        <f ca="1" t="shared" ref="G90:G125" si="6">SUM(I90:M90)</f>
        <v>10</v>
      </c>
      <c r="H90" s="2">
        <f ca="1" t="shared" si="3"/>
        <v>650</v>
      </c>
      <c r="I90" s="2">
        <f ca="1">SUM(INDEX(advertisement!G:G,13):INDEX(advertisement!G:G,MATCH(总产出!$Q$4,advertisement!D:D,0)))</f>
        <v>10</v>
      </c>
      <c r="J9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0" s="2"/>
      <c r="L90" s="2"/>
      <c r="M90" s="2"/>
    </row>
    <row r="91" s="1" customFormat="1" ht="18" customHeight="1" spans="2:13">
      <c r="B91" s="2">
        <v>66</v>
      </c>
      <c r="C91" s="2">
        <f t="shared" si="4"/>
        <v>66000</v>
      </c>
      <c r="D91" s="2">
        <f>ROUND($C$8*$C$5+$C$8*$C$4*(1-$L$5),0)</f>
        <v>88</v>
      </c>
      <c r="E91" s="2">
        <f t="shared" si="5"/>
        <v>5808</v>
      </c>
      <c r="F91" s="2">
        <f>ROUND(E91*VLOOKUP($B$10,总产出!$T$4:$U$14,2,FALSE),0)</f>
        <v>290</v>
      </c>
      <c r="G91" s="2">
        <f ca="1" t="shared" si="6"/>
        <v>10</v>
      </c>
      <c r="H91" s="2">
        <f ca="1" t="shared" ref="H91:H125" si="7">G91+H90</f>
        <v>660</v>
      </c>
      <c r="I91" s="2">
        <f ca="1">SUM(INDEX(advertisement!G:G,13):INDEX(advertisement!G:G,MATCH(总产出!$Q$4,advertisement!D:D,0)))</f>
        <v>10</v>
      </c>
      <c r="J9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1" s="2"/>
      <c r="L91" s="2"/>
      <c r="M91" s="2"/>
    </row>
    <row r="92" s="1" customFormat="1" ht="18" customHeight="1" spans="2:13">
      <c r="B92" s="2">
        <v>67</v>
      </c>
      <c r="C92" s="2">
        <f t="shared" si="4"/>
        <v>67000</v>
      </c>
      <c r="D92" s="2">
        <f>ROUND($C$8*$C$5+$C$8*$C$4*(1-$L$5),0)</f>
        <v>88</v>
      </c>
      <c r="E92" s="2">
        <f t="shared" si="5"/>
        <v>5896</v>
      </c>
      <c r="F92" s="2">
        <f>ROUND(E92*VLOOKUP($B$10,总产出!$T$4:$U$14,2,FALSE),0)</f>
        <v>295</v>
      </c>
      <c r="G92" s="2">
        <f ca="1" t="shared" si="6"/>
        <v>10</v>
      </c>
      <c r="H92" s="2">
        <f ca="1" t="shared" si="7"/>
        <v>670</v>
      </c>
      <c r="I92" s="2">
        <f ca="1">SUM(INDEX(advertisement!G:G,13):INDEX(advertisement!G:G,MATCH(总产出!$Q$4,advertisement!D:D,0)))</f>
        <v>10</v>
      </c>
      <c r="J9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2" s="2"/>
      <c r="L92" s="2"/>
      <c r="M92" s="2"/>
    </row>
    <row r="93" s="1" customFormat="1" ht="18" customHeight="1" spans="2:13">
      <c r="B93" s="2">
        <v>68</v>
      </c>
      <c r="C93" s="2">
        <f t="shared" si="4"/>
        <v>68000</v>
      </c>
      <c r="D93" s="2">
        <f>ROUND($C$8*$C$5+$C$8*$C$4*(1-$L$5),0)</f>
        <v>88</v>
      </c>
      <c r="E93" s="2">
        <f t="shared" si="5"/>
        <v>5984</v>
      </c>
      <c r="F93" s="2">
        <f>ROUND(E93*VLOOKUP($B$10,总产出!$T$4:$U$14,2,FALSE),0)</f>
        <v>299</v>
      </c>
      <c r="G93" s="2">
        <f ca="1" t="shared" si="6"/>
        <v>10</v>
      </c>
      <c r="H93" s="2">
        <f ca="1" t="shared" si="7"/>
        <v>680</v>
      </c>
      <c r="I93" s="2">
        <f ca="1">SUM(INDEX(advertisement!G:G,13):INDEX(advertisement!G:G,MATCH(总产出!$Q$4,advertisement!D:D,0)))</f>
        <v>10</v>
      </c>
      <c r="J9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3" s="2"/>
      <c r="L93" s="2"/>
      <c r="M93" s="2"/>
    </row>
    <row r="94" s="1" customFormat="1" ht="18" customHeight="1" spans="2:13">
      <c r="B94" s="2">
        <v>69</v>
      </c>
      <c r="C94" s="2">
        <f t="shared" si="4"/>
        <v>69000</v>
      </c>
      <c r="D94" s="2">
        <f>ROUND($C$8*$C$5+$C$8*$C$4*(1-$L$5),0)</f>
        <v>88</v>
      </c>
      <c r="E94" s="2">
        <f t="shared" si="5"/>
        <v>6072</v>
      </c>
      <c r="F94" s="2">
        <f>ROUND(E94*VLOOKUP($B$10,总产出!$T$4:$U$14,2,FALSE),0)</f>
        <v>304</v>
      </c>
      <c r="G94" s="2">
        <f ca="1" t="shared" si="6"/>
        <v>10</v>
      </c>
      <c r="H94" s="2">
        <f ca="1" t="shared" si="7"/>
        <v>690</v>
      </c>
      <c r="I94" s="2">
        <f ca="1">SUM(INDEX(advertisement!G:G,13):INDEX(advertisement!G:G,MATCH(总产出!$Q$4,advertisement!D:D,0)))</f>
        <v>10</v>
      </c>
      <c r="J9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4" s="2"/>
      <c r="L94" s="2"/>
      <c r="M94" s="2"/>
    </row>
    <row r="95" s="1" customFormat="1" ht="18" customHeight="1" spans="2:13">
      <c r="B95" s="2">
        <v>70</v>
      </c>
      <c r="C95" s="2">
        <f t="shared" si="4"/>
        <v>70000</v>
      </c>
      <c r="D95" s="2">
        <f>ROUND($C$8*$C$5+$C$8*$C$4*(1-$L$5),0)</f>
        <v>88</v>
      </c>
      <c r="E95" s="2">
        <f t="shared" si="5"/>
        <v>6160</v>
      </c>
      <c r="F95" s="2">
        <f>ROUND(E95*VLOOKUP($B$10,总产出!$T$4:$U$14,2,FALSE),0)</f>
        <v>308</v>
      </c>
      <c r="G95" s="2">
        <f ca="1" t="shared" si="6"/>
        <v>10</v>
      </c>
      <c r="H95" s="2">
        <f ca="1" t="shared" si="7"/>
        <v>700</v>
      </c>
      <c r="I95" s="2">
        <f ca="1">SUM(INDEX(advertisement!G:G,13):INDEX(advertisement!G:G,MATCH(总产出!$Q$4,advertisement!D:D,0)))</f>
        <v>10</v>
      </c>
      <c r="J9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5" s="2"/>
      <c r="L95" s="2"/>
      <c r="M95" s="2"/>
    </row>
    <row r="96" s="1" customFormat="1" ht="18" customHeight="1" spans="2:13">
      <c r="B96" s="2">
        <v>71</v>
      </c>
      <c r="C96" s="2">
        <f t="shared" si="4"/>
        <v>71000</v>
      </c>
      <c r="D96" s="2">
        <f>ROUND($C$8*$C$5+$C$8*$C$4*(1-$L$5),0)</f>
        <v>88</v>
      </c>
      <c r="E96" s="2">
        <f t="shared" si="5"/>
        <v>6248</v>
      </c>
      <c r="F96" s="2">
        <f>ROUND(E96*VLOOKUP($B$10,总产出!$T$4:$U$14,2,FALSE),0)</f>
        <v>312</v>
      </c>
      <c r="G96" s="2">
        <f ca="1" t="shared" si="6"/>
        <v>10</v>
      </c>
      <c r="H96" s="2">
        <f ca="1" t="shared" si="7"/>
        <v>710</v>
      </c>
      <c r="I96" s="2">
        <f ca="1">SUM(INDEX(advertisement!G:G,13):INDEX(advertisement!G:G,MATCH(总产出!$Q$4,advertisement!D:D,0)))</f>
        <v>10</v>
      </c>
      <c r="J9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6" s="2"/>
      <c r="L96" s="2"/>
      <c r="M96" s="2"/>
    </row>
    <row r="97" s="1" customFormat="1" ht="18" customHeight="1" spans="2:13">
      <c r="B97" s="2">
        <v>72</v>
      </c>
      <c r="C97" s="2">
        <f t="shared" si="4"/>
        <v>72000</v>
      </c>
      <c r="D97" s="2">
        <f>ROUND($C$8*$C$5+$C$8*$C$4*(1-$L$5),0)</f>
        <v>88</v>
      </c>
      <c r="E97" s="2">
        <f t="shared" si="5"/>
        <v>6336</v>
      </c>
      <c r="F97" s="2">
        <f>ROUND(E97*VLOOKUP($B$10,总产出!$T$4:$U$14,2,FALSE),0)</f>
        <v>317</v>
      </c>
      <c r="G97" s="2">
        <f ca="1" t="shared" si="6"/>
        <v>10</v>
      </c>
      <c r="H97" s="2">
        <f ca="1" t="shared" si="7"/>
        <v>720</v>
      </c>
      <c r="I97" s="2">
        <f ca="1">SUM(INDEX(advertisement!G:G,13):INDEX(advertisement!G:G,MATCH(总产出!$Q$4,advertisement!D:D,0)))</f>
        <v>10</v>
      </c>
      <c r="J9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7" s="2"/>
      <c r="L97" s="2"/>
      <c r="M97" s="2"/>
    </row>
    <row r="98" s="1" customFormat="1" ht="18" customHeight="1" spans="2:13">
      <c r="B98" s="2">
        <v>73</v>
      </c>
      <c r="C98" s="2">
        <f t="shared" si="4"/>
        <v>73000</v>
      </c>
      <c r="D98" s="2">
        <f>ROUND($C$8*$C$5+$C$8*$C$4*(1-$L$5),0)</f>
        <v>88</v>
      </c>
      <c r="E98" s="2">
        <f t="shared" si="5"/>
        <v>6424</v>
      </c>
      <c r="F98" s="2">
        <f>ROUND(E98*VLOOKUP($B$10,总产出!$T$4:$U$14,2,FALSE),0)</f>
        <v>321</v>
      </c>
      <c r="G98" s="2">
        <f ca="1" t="shared" si="6"/>
        <v>10</v>
      </c>
      <c r="H98" s="2">
        <f ca="1" t="shared" si="7"/>
        <v>730</v>
      </c>
      <c r="I98" s="2">
        <f ca="1">SUM(INDEX(advertisement!G:G,13):INDEX(advertisement!G:G,MATCH(总产出!$Q$4,advertisement!D:D,0)))</f>
        <v>10</v>
      </c>
      <c r="J9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8" s="2"/>
      <c r="L98" s="2"/>
      <c r="M98" s="2"/>
    </row>
    <row r="99" s="1" customFormat="1" ht="18" customHeight="1" spans="2:13">
      <c r="B99" s="2">
        <v>74</v>
      </c>
      <c r="C99" s="2">
        <f t="shared" si="4"/>
        <v>74000</v>
      </c>
      <c r="D99" s="2">
        <f>ROUND($C$8*$C$5+$C$8*$C$4*(1-$L$5),0)</f>
        <v>88</v>
      </c>
      <c r="E99" s="2">
        <f t="shared" si="5"/>
        <v>6512</v>
      </c>
      <c r="F99" s="2">
        <f>ROUND(E99*VLOOKUP($B$10,总产出!$T$4:$U$14,2,FALSE),0)</f>
        <v>326</v>
      </c>
      <c r="G99" s="2">
        <f ca="1" t="shared" si="6"/>
        <v>10</v>
      </c>
      <c r="H99" s="2">
        <f ca="1" t="shared" si="7"/>
        <v>740</v>
      </c>
      <c r="I99" s="2">
        <f ca="1">SUM(INDEX(advertisement!G:G,13):INDEX(advertisement!G:G,MATCH(总产出!$Q$4,advertisement!D:D,0)))</f>
        <v>10</v>
      </c>
      <c r="J9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99" s="2"/>
      <c r="L99" s="2"/>
      <c r="M99" s="2"/>
    </row>
    <row r="100" s="1" customFormat="1" ht="18" customHeight="1" spans="2:13">
      <c r="B100" s="2">
        <v>75</v>
      </c>
      <c r="C100" s="2">
        <f t="shared" si="4"/>
        <v>75000</v>
      </c>
      <c r="D100" s="2">
        <f>ROUND($C$8*$C$5+$C$8*$C$4*(1-$L$5),0)</f>
        <v>88</v>
      </c>
      <c r="E100" s="2">
        <f t="shared" si="5"/>
        <v>6600</v>
      </c>
      <c r="F100" s="2">
        <f>ROUND(E100*VLOOKUP($B$10,总产出!$T$4:$U$14,2,FALSE),0)</f>
        <v>330</v>
      </c>
      <c r="G100" s="2">
        <f ca="1" t="shared" si="6"/>
        <v>10</v>
      </c>
      <c r="H100" s="2">
        <f ca="1" t="shared" si="7"/>
        <v>750</v>
      </c>
      <c r="I100" s="2">
        <f ca="1">SUM(INDEX(advertisement!G:G,13):INDEX(advertisement!G:G,MATCH(总产出!$Q$4,advertisement!D:D,0)))</f>
        <v>10</v>
      </c>
      <c r="J10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0" s="2"/>
      <c r="L100" s="2"/>
      <c r="M100" s="2"/>
    </row>
    <row r="101" s="1" customFormat="1" ht="18" customHeight="1" spans="2:13">
      <c r="B101" s="2">
        <v>76</v>
      </c>
      <c r="C101" s="2">
        <f t="shared" si="4"/>
        <v>76000</v>
      </c>
      <c r="D101" s="2">
        <f>ROUND($C$8*$C$5+$C$8*$C$4*(1-$L$5),0)</f>
        <v>88</v>
      </c>
      <c r="E101" s="2">
        <f t="shared" si="5"/>
        <v>6688</v>
      </c>
      <c r="F101" s="2">
        <f>ROUND(E101*VLOOKUP($B$10,总产出!$T$4:$U$14,2,FALSE),0)</f>
        <v>334</v>
      </c>
      <c r="G101" s="2">
        <f ca="1" t="shared" si="6"/>
        <v>10</v>
      </c>
      <c r="H101" s="2">
        <f ca="1" t="shared" si="7"/>
        <v>760</v>
      </c>
      <c r="I101" s="2">
        <f ca="1">SUM(INDEX(advertisement!G:G,13):INDEX(advertisement!G:G,MATCH(总产出!$Q$4,advertisement!D:D,0)))</f>
        <v>10</v>
      </c>
      <c r="J10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1" s="2"/>
      <c r="L101" s="2"/>
      <c r="M101" s="2"/>
    </row>
    <row r="102" s="1" customFormat="1" ht="18" customHeight="1" spans="2:13">
      <c r="B102" s="2">
        <v>77</v>
      </c>
      <c r="C102" s="2">
        <f t="shared" si="4"/>
        <v>77000</v>
      </c>
      <c r="D102" s="2">
        <f>ROUND($C$8*$C$5+$C$8*$C$4*(1-$L$5),0)</f>
        <v>88</v>
      </c>
      <c r="E102" s="2">
        <f t="shared" si="5"/>
        <v>6776</v>
      </c>
      <c r="F102" s="2">
        <f>ROUND(E102*VLOOKUP($B$10,总产出!$T$4:$U$14,2,FALSE),0)</f>
        <v>339</v>
      </c>
      <c r="G102" s="2">
        <f ca="1" t="shared" si="6"/>
        <v>10</v>
      </c>
      <c r="H102" s="2">
        <f ca="1" t="shared" si="7"/>
        <v>770</v>
      </c>
      <c r="I102" s="2">
        <f ca="1">SUM(INDEX(advertisement!G:G,13):INDEX(advertisement!G:G,MATCH(总产出!$Q$4,advertisement!D:D,0)))</f>
        <v>10</v>
      </c>
      <c r="J10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2" s="2"/>
      <c r="L102" s="2"/>
      <c r="M102" s="2"/>
    </row>
    <row r="103" s="1" customFormat="1" ht="18" customHeight="1" spans="2:13">
      <c r="B103" s="2">
        <v>78</v>
      </c>
      <c r="C103" s="2">
        <f t="shared" si="4"/>
        <v>78000</v>
      </c>
      <c r="D103" s="2">
        <f>ROUND($C$8*$C$5+$C$8*$C$4*(1-$L$5),0)</f>
        <v>88</v>
      </c>
      <c r="E103" s="2">
        <f t="shared" si="5"/>
        <v>6864</v>
      </c>
      <c r="F103" s="2">
        <f>ROUND(E103*VLOOKUP($B$10,总产出!$T$4:$U$14,2,FALSE),0)</f>
        <v>343</v>
      </c>
      <c r="G103" s="2">
        <f ca="1" t="shared" si="6"/>
        <v>10</v>
      </c>
      <c r="H103" s="2">
        <f ca="1" t="shared" si="7"/>
        <v>780</v>
      </c>
      <c r="I103" s="2">
        <f ca="1">SUM(INDEX(advertisement!G:G,13):INDEX(advertisement!G:G,MATCH(总产出!$Q$4,advertisement!D:D,0)))</f>
        <v>10</v>
      </c>
      <c r="J10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3" s="2"/>
      <c r="L103" s="2"/>
      <c r="M103" s="2"/>
    </row>
    <row r="104" s="1" customFormat="1" ht="18" customHeight="1" spans="2:13">
      <c r="B104" s="2">
        <v>79</v>
      </c>
      <c r="C104" s="2">
        <f t="shared" si="4"/>
        <v>79000</v>
      </c>
      <c r="D104" s="2">
        <f>ROUND($C$8*$C$5+$C$8*$C$4*(1-$L$5),0)</f>
        <v>88</v>
      </c>
      <c r="E104" s="2">
        <f t="shared" si="5"/>
        <v>6952</v>
      </c>
      <c r="F104" s="2">
        <f>ROUND(E104*VLOOKUP($B$10,总产出!$T$4:$U$14,2,FALSE),0)</f>
        <v>348</v>
      </c>
      <c r="G104" s="2">
        <f ca="1" t="shared" si="6"/>
        <v>10</v>
      </c>
      <c r="H104" s="2">
        <f ca="1" t="shared" si="7"/>
        <v>790</v>
      </c>
      <c r="I104" s="2">
        <f ca="1">SUM(INDEX(advertisement!G:G,13):INDEX(advertisement!G:G,MATCH(总产出!$Q$4,advertisement!D:D,0)))</f>
        <v>10</v>
      </c>
      <c r="J10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4" s="2"/>
      <c r="L104" s="2"/>
      <c r="M104" s="2"/>
    </row>
    <row r="105" s="1" customFormat="1" ht="18" customHeight="1" spans="2:13">
      <c r="B105" s="2">
        <v>80</v>
      </c>
      <c r="C105" s="2">
        <f t="shared" si="4"/>
        <v>80000</v>
      </c>
      <c r="D105" s="2">
        <f>ROUND($C$8*$C$5+$C$8*$C$4*(1-$L$5),0)</f>
        <v>88</v>
      </c>
      <c r="E105" s="2">
        <f t="shared" si="5"/>
        <v>7040</v>
      </c>
      <c r="F105" s="2">
        <f>ROUND(E105*VLOOKUP($B$10,总产出!$T$4:$U$14,2,FALSE),0)</f>
        <v>352</v>
      </c>
      <c r="G105" s="2">
        <f ca="1" t="shared" si="6"/>
        <v>10</v>
      </c>
      <c r="H105" s="2">
        <f ca="1" t="shared" si="7"/>
        <v>800</v>
      </c>
      <c r="I105" s="2">
        <f ca="1">SUM(INDEX(advertisement!G:G,13):INDEX(advertisement!G:G,MATCH(总产出!$Q$4,advertisement!D:D,0)))</f>
        <v>10</v>
      </c>
      <c r="J10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5" s="2"/>
      <c r="L105" s="2"/>
      <c r="M105" s="2"/>
    </row>
    <row r="106" s="1" customFormat="1" ht="18" customHeight="1" spans="2:13">
      <c r="B106" s="2">
        <v>81</v>
      </c>
      <c r="C106" s="2">
        <f t="shared" si="4"/>
        <v>81000</v>
      </c>
      <c r="D106" s="2">
        <f>ROUND($C$8*$C$5+$C$8*$C$4*(1-$L$5),0)</f>
        <v>88</v>
      </c>
      <c r="E106" s="2">
        <f t="shared" si="5"/>
        <v>7128</v>
      </c>
      <c r="F106" s="2">
        <f>ROUND(E106*VLOOKUP($B$10,总产出!$T$4:$U$14,2,FALSE),0)</f>
        <v>356</v>
      </c>
      <c r="G106" s="2">
        <f ca="1" t="shared" si="6"/>
        <v>10</v>
      </c>
      <c r="H106" s="2">
        <f ca="1" t="shared" si="7"/>
        <v>810</v>
      </c>
      <c r="I106" s="2">
        <f ca="1">SUM(INDEX(advertisement!G:G,13):INDEX(advertisement!G:G,MATCH(总产出!$Q$4,advertisement!D:D,0)))</f>
        <v>10</v>
      </c>
      <c r="J10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6" s="2"/>
      <c r="L106" s="2"/>
      <c r="M106" s="2"/>
    </row>
    <row r="107" s="1" customFormat="1" ht="18" customHeight="1" spans="2:13">
      <c r="B107" s="2">
        <v>82</v>
      </c>
      <c r="C107" s="2">
        <f t="shared" si="4"/>
        <v>82000</v>
      </c>
      <c r="D107" s="2">
        <f>ROUND($C$8*$C$5+$C$8*$C$4*(1-$L$5),0)</f>
        <v>88</v>
      </c>
      <c r="E107" s="2">
        <f t="shared" si="5"/>
        <v>7216</v>
      </c>
      <c r="F107" s="2">
        <f>ROUND(E107*VLOOKUP($B$10,总产出!$T$4:$U$14,2,FALSE),0)</f>
        <v>361</v>
      </c>
      <c r="G107" s="2">
        <f ca="1" t="shared" si="6"/>
        <v>10</v>
      </c>
      <c r="H107" s="2">
        <f ca="1" t="shared" si="7"/>
        <v>820</v>
      </c>
      <c r="I107" s="2">
        <f ca="1">SUM(INDEX(advertisement!G:G,13):INDEX(advertisement!G:G,MATCH(总产出!$Q$4,advertisement!D:D,0)))</f>
        <v>10</v>
      </c>
      <c r="J10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7" s="2"/>
      <c r="L107" s="2"/>
      <c r="M107" s="2"/>
    </row>
    <row r="108" s="1" customFormat="1" ht="18" customHeight="1" spans="2:13">
      <c r="B108" s="2">
        <v>83</v>
      </c>
      <c r="C108" s="2">
        <f t="shared" si="4"/>
        <v>83000</v>
      </c>
      <c r="D108" s="2">
        <f>ROUND($C$8*$C$5+$C$8*$C$4*(1-$L$5),0)</f>
        <v>88</v>
      </c>
      <c r="E108" s="2">
        <f t="shared" si="5"/>
        <v>7304</v>
      </c>
      <c r="F108" s="2">
        <f>ROUND(E108*VLOOKUP($B$10,总产出!$T$4:$U$14,2,FALSE),0)</f>
        <v>365</v>
      </c>
      <c r="G108" s="2">
        <f ca="1" t="shared" si="6"/>
        <v>10</v>
      </c>
      <c r="H108" s="2">
        <f ca="1" t="shared" si="7"/>
        <v>830</v>
      </c>
      <c r="I108" s="2">
        <f ca="1">SUM(INDEX(advertisement!G:G,13):INDEX(advertisement!G:G,MATCH(总产出!$Q$4,advertisement!D:D,0)))</f>
        <v>10</v>
      </c>
      <c r="J10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8" s="2"/>
      <c r="L108" s="2"/>
      <c r="M108" s="2"/>
    </row>
    <row r="109" s="1" customFormat="1" ht="18" customHeight="1" spans="2:13">
      <c r="B109" s="2">
        <v>84</v>
      </c>
      <c r="C109" s="2">
        <f t="shared" si="4"/>
        <v>84000</v>
      </c>
      <c r="D109" s="2">
        <f>ROUND($C$8*$C$5+$C$8*$C$4*(1-$L$5),0)</f>
        <v>88</v>
      </c>
      <c r="E109" s="2">
        <f t="shared" si="5"/>
        <v>7392</v>
      </c>
      <c r="F109" s="2">
        <f>ROUND(E109*VLOOKUP($B$10,总产出!$T$4:$U$14,2,FALSE),0)</f>
        <v>370</v>
      </c>
      <c r="G109" s="2">
        <f ca="1" t="shared" si="6"/>
        <v>10</v>
      </c>
      <c r="H109" s="2">
        <f ca="1" t="shared" si="7"/>
        <v>840</v>
      </c>
      <c r="I109" s="2">
        <f ca="1">SUM(INDEX(advertisement!G:G,13):INDEX(advertisement!G:G,MATCH(总产出!$Q$4,advertisement!D:D,0)))</f>
        <v>10</v>
      </c>
      <c r="J10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09" s="2"/>
      <c r="L109" s="2"/>
      <c r="M109" s="2"/>
    </row>
    <row r="110" s="1" customFormat="1" ht="18" customHeight="1" spans="2:13">
      <c r="B110" s="2">
        <v>85</v>
      </c>
      <c r="C110" s="2">
        <f t="shared" si="4"/>
        <v>85000</v>
      </c>
      <c r="D110" s="2">
        <f>ROUND($C$8*$C$5+$C$8*$C$4*(1-$L$5),0)</f>
        <v>88</v>
      </c>
      <c r="E110" s="2">
        <f t="shared" si="5"/>
        <v>7480</v>
      </c>
      <c r="F110" s="2">
        <f>ROUND(E110*VLOOKUP($B$10,总产出!$T$4:$U$14,2,FALSE),0)</f>
        <v>374</v>
      </c>
      <c r="G110" s="2">
        <f ca="1" t="shared" si="6"/>
        <v>10</v>
      </c>
      <c r="H110" s="2">
        <f ca="1" t="shared" si="7"/>
        <v>850</v>
      </c>
      <c r="I110" s="2">
        <f ca="1">SUM(INDEX(advertisement!G:G,13):INDEX(advertisement!G:G,MATCH(总产出!$Q$4,advertisement!D:D,0)))</f>
        <v>10</v>
      </c>
      <c r="J11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0" s="2"/>
      <c r="L110" s="2"/>
      <c r="M110" s="2"/>
    </row>
    <row r="111" s="1" customFormat="1" ht="18" customHeight="1" spans="2:13">
      <c r="B111" s="2">
        <v>86</v>
      </c>
      <c r="C111" s="2">
        <f t="shared" si="4"/>
        <v>86000</v>
      </c>
      <c r="D111" s="2">
        <f>ROUND($C$8*$C$5+$C$8*$C$4*(1-$L$5),0)</f>
        <v>88</v>
      </c>
      <c r="E111" s="2">
        <f t="shared" si="5"/>
        <v>7568</v>
      </c>
      <c r="F111" s="2">
        <f>ROUND(E111*VLOOKUP($B$10,总产出!$T$4:$U$14,2,FALSE),0)</f>
        <v>378</v>
      </c>
      <c r="G111" s="2">
        <f ca="1" t="shared" si="6"/>
        <v>10</v>
      </c>
      <c r="H111" s="2">
        <f ca="1" t="shared" si="7"/>
        <v>860</v>
      </c>
      <c r="I111" s="2">
        <f ca="1">SUM(INDEX(advertisement!G:G,13):INDEX(advertisement!G:G,MATCH(总产出!$Q$4,advertisement!D:D,0)))</f>
        <v>10</v>
      </c>
      <c r="J11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1" s="2"/>
      <c r="L111" s="2"/>
      <c r="M111" s="2"/>
    </row>
    <row r="112" s="1" customFormat="1" ht="18" customHeight="1" spans="2:13">
      <c r="B112" s="2">
        <v>87</v>
      </c>
      <c r="C112" s="2">
        <f t="shared" si="4"/>
        <v>87000</v>
      </c>
      <c r="D112" s="2">
        <f>ROUND($C$8*$C$5+$C$8*$C$4*(1-$L$5),0)</f>
        <v>88</v>
      </c>
      <c r="E112" s="2">
        <f t="shared" si="5"/>
        <v>7656</v>
      </c>
      <c r="F112" s="2">
        <f>ROUND(E112*VLOOKUP($B$10,总产出!$T$4:$U$14,2,FALSE),0)</f>
        <v>383</v>
      </c>
      <c r="G112" s="2">
        <f ca="1" t="shared" si="6"/>
        <v>10</v>
      </c>
      <c r="H112" s="2">
        <f ca="1" t="shared" si="7"/>
        <v>870</v>
      </c>
      <c r="I112" s="2">
        <f ca="1">SUM(INDEX(advertisement!G:G,13):INDEX(advertisement!G:G,MATCH(总产出!$Q$4,advertisement!D:D,0)))</f>
        <v>10</v>
      </c>
      <c r="J11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2" s="2"/>
      <c r="L112" s="2"/>
      <c r="M112" s="2"/>
    </row>
    <row r="113" s="1" customFormat="1" ht="18" customHeight="1" spans="2:13">
      <c r="B113" s="2">
        <v>88</v>
      </c>
      <c r="C113" s="2">
        <f t="shared" si="4"/>
        <v>88000</v>
      </c>
      <c r="D113" s="2">
        <f>ROUND($C$8*$C$5+$C$8*$C$4*(1-$L$5),0)</f>
        <v>88</v>
      </c>
      <c r="E113" s="2">
        <f t="shared" si="5"/>
        <v>7744</v>
      </c>
      <c r="F113" s="2">
        <f>ROUND(E113*VLOOKUP($B$10,总产出!$T$4:$U$14,2,FALSE),0)</f>
        <v>387</v>
      </c>
      <c r="G113" s="2">
        <f ca="1" t="shared" si="6"/>
        <v>10</v>
      </c>
      <c r="H113" s="2">
        <f ca="1" t="shared" si="7"/>
        <v>880</v>
      </c>
      <c r="I113" s="2">
        <f ca="1">SUM(INDEX(advertisement!G:G,13):INDEX(advertisement!G:G,MATCH(总产出!$Q$4,advertisement!D:D,0)))</f>
        <v>10</v>
      </c>
      <c r="J11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3" s="2"/>
      <c r="L113" s="2"/>
      <c r="M113" s="2"/>
    </row>
    <row r="114" s="1" customFormat="1" ht="18" customHeight="1" spans="2:13">
      <c r="B114" s="2">
        <v>89</v>
      </c>
      <c r="C114" s="2">
        <f t="shared" si="4"/>
        <v>89000</v>
      </c>
      <c r="D114" s="2">
        <f>ROUND($C$8*$C$5+$C$8*$C$4*(1-$L$5),0)</f>
        <v>88</v>
      </c>
      <c r="E114" s="2">
        <f t="shared" si="5"/>
        <v>7832</v>
      </c>
      <c r="F114" s="2">
        <f>ROUND(E114*VLOOKUP($B$10,总产出!$T$4:$U$14,2,FALSE),0)</f>
        <v>392</v>
      </c>
      <c r="G114" s="2">
        <f ca="1" t="shared" si="6"/>
        <v>10</v>
      </c>
      <c r="H114" s="2">
        <f ca="1" t="shared" si="7"/>
        <v>890</v>
      </c>
      <c r="I114" s="2">
        <f ca="1">SUM(INDEX(advertisement!G:G,13):INDEX(advertisement!G:G,MATCH(总产出!$Q$4,advertisement!D:D,0)))</f>
        <v>10</v>
      </c>
      <c r="J11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4" s="2"/>
      <c r="L114" s="2"/>
      <c r="M114" s="2"/>
    </row>
    <row r="115" s="1" customFormat="1" ht="18" customHeight="1" spans="2:13">
      <c r="B115" s="2">
        <v>90</v>
      </c>
      <c r="C115" s="2">
        <f t="shared" si="4"/>
        <v>90000</v>
      </c>
      <c r="D115" s="2">
        <f>ROUND($C$8*$C$5+$C$8*$C$4*(1-$L$5),0)</f>
        <v>88</v>
      </c>
      <c r="E115" s="2">
        <f t="shared" si="5"/>
        <v>7920</v>
      </c>
      <c r="F115" s="2">
        <f>ROUND(E115*VLOOKUP($B$10,总产出!$T$4:$U$14,2,FALSE),0)</f>
        <v>396</v>
      </c>
      <c r="G115" s="2">
        <f ca="1" t="shared" si="6"/>
        <v>10</v>
      </c>
      <c r="H115" s="2">
        <f ca="1" t="shared" si="7"/>
        <v>900</v>
      </c>
      <c r="I115" s="2">
        <f ca="1">SUM(INDEX(advertisement!G:G,13):INDEX(advertisement!G:G,MATCH(总产出!$Q$4,advertisement!D:D,0)))</f>
        <v>10</v>
      </c>
      <c r="J11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5" s="2"/>
      <c r="L115" s="2"/>
      <c r="M115" s="2"/>
    </row>
    <row r="116" s="1" customFormat="1" ht="18" customHeight="1" spans="2:13">
      <c r="B116" s="2">
        <v>91</v>
      </c>
      <c r="C116" s="2">
        <f t="shared" si="4"/>
        <v>91000</v>
      </c>
      <c r="D116" s="2">
        <f>ROUND($C$8*$C$5+$C$8*$C$4*(1-$L$5),0)</f>
        <v>88</v>
      </c>
      <c r="E116" s="2">
        <f t="shared" si="5"/>
        <v>8008</v>
      </c>
      <c r="F116" s="2">
        <f>ROUND(E116*VLOOKUP($B$10,总产出!$T$4:$U$14,2,FALSE),0)</f>
        <v>400</v>
      </c>
      <c r="G116" s="2">
        <f ca="1" t="shared" si="6"/>
        <v>10</v>
      </c>
      <c r="H116" s="2">
        <f ca="1" t="shared" si="7"/>
        <v>910</v>
      </c>
      <c r="I116" s="2">
        <f ca="1">SUM(INDEX(advertisement!G:G,13):INDEX(advertisement!G:G,MATCH(总产出!$Q$4,advertisement!D:D,0)))</f>
        <v>10</v>
      </c>
      <c r="J116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6" s="2"/>
      <c r="L116" s="2"/>
      <c r="M116" s="2"/>
    </row>
    <row r="117" s="1" customFormat="1" ht="18" customHeight="1" spans="2:13">
      <c r="B117" s="2">
        <v>92</v>
      </c>
      <c r="C117" s="2">
        <f t="shared" si="4"/>
        <v>92000</v>
      </c>
      <c r="D117" s="2">
        <f>ROUND($C$8*$C$5+$C$8*$C$4*(1-$L$5),0)</f>
        <v>88</v>
      </c>
      <c r="E117" s="2">
        <f t="shared" si="5"/>
        <v>8096</v>
      </c>
      <c r="F117" s="2">
        <f>ROUND(E117*VLOOKUP($B$10,总产出!$T$4:$U$14,2,FALSE),0)</f>
        <v>405</v>
      </c>
      <c r="G117" s="2">
        <f ca="1" t="shared" si="6"/>
        <v>10</v>
      </c>
      <c r="H117" s="2">
        <f ca="1" t="shared" si="7"/>
        <v>920</v>
      </c>
      <c r="I117" s="2">
        <f ca="1">SUM(INDEX(advertisement!G:G,13):INDEX(advertisement!G:G,MATCH(总产出!$Q$4,advertisement!D:D,0)))</f>
        <v>10</v>
      </c>
      <c r="J117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7" s="2"/>
      <c r="L117" s="2"/>
      <c r="M117" s="2"/>
    </row>
    <row r="118" s="1" customFormat="1" ht="18" customHeight="1" spans="2:13">
      <c r="B118" s="2">
        <v>93</v>
      </c>
      <c r="C118" s="2">
        <f t="shared" si="4"/>
        <v>93000</v>
      </c>
      <c r="D118" s="2">
        <f>ROUND($C$8*$C$5+$C$8*$C$4*(1-$L$5),0)</f>
        <v>88</v>
      </c>
      <c r="E118" s="2">
        <f t="shared" si="5"/>
        <v>8184</v>
      </c>
      <c r="F118" s="2">
        <f>ROUND(E118*VLOOKUP($B$10,总产出!$T$4:$U$14,2,FALSE),0)</f>
        <v>409</v>
      </c>
      <c r="G118" s="2">
        <f ca="1" t="shared" si="6"/>
        <v>10</v>
      </c>
      <c r="H118" s="2">
        <f ca="1" t="shared" si="7"/>
        <v>930</v>
      </c>
      <c r="I118" s="2">
        <f ca="1">SUM(INDEX(advertisement!G:G,13):INDEX(advertisement!G:G,MATCH(总产出!$Q$4,advertisement!D:D,0)))</f>
        <v>10</v>
      </c>
      <c r="J118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8" s="2"/>
      <c r="L118" s="2"/>
      <c r="M118" s="2"/>
    </row>
    <row r="119" s="1" customFormat="1" ht="18" customHeight="1" spans="2:13">
      <c r="B119" s="2">
        <v>94</v>
      </c>
      <c r="C119" s="2">
        <f t="shared" si="4"/>
        <v>94000</v>
      </c>
      <c r="D119" s="2">
        <f>ROUND($C$8*$C$5+$C$8*$C$4*(1-$L$5),0)</f>
        <v>88</v>
      </c>
      <c r="E119" s="2">
        <f t="shared" si="5"/>
        <v>8272</v>
      </c>
      <c r="F119" s="2">
        <f>ROUND(E119*VLOOKUP($B$10,总产出!$T$4:$U$14,2,FALSE),0)</f>
        <v>414</v>
      </c>
      <c r="G119" s="2">
        <f ca="1" t="shared" si="6"/>
        <v>10</v>
      </c>
      <c r="H119" s="2">
        <f ca="1" t="shared" si="7"/>
        <v>940</v>
      </c>
      <c r="I119" s="2">
        <f ca="1">SUM(INDEX(advertisement!G:G,13):INDEX(advertisement!G:G,MATCH(总产出!$Q$4,advertisement!D:D,0)))</f>
        <v>10</v>
      </c>
      <c r="J119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19" s="2"/>
      <c r="L119" s="2"/>
      <c r="M119" s="2"/>
    </row>
    <row r="120" s="1" customFormat="1" ht="18" customHeight="1" spans="2:13">
      <c r="B120" s="2">
        <v>95</v>
      </c>
      <c r="C120" s="2">
        <f t="shared" si="4"/>
        <v>95000</v>
      </c>
      <c r="D120" s="2">
        <f>ROUND($C$8*$C$5+$C$8*$C$4*(1-$L$5),0)</f>
        <v>88</v>
      </c>
      <c r="E120" s="2">
        <f t="shared" si="5"/>
        <v>8360</v>
      </c>
      <c r="F120" s="2">
        <f>ROUND(E120*VLOOKUP($B$10,总产出!$T$4:$U$14,2,FALSE),0)</f>
        <v>418</v>
      </c>
      <c r="G120" s="2">
        <f ca="1" t="shared" si="6"/>
        <v>10</v>
      </c>
      <c r="H120" s="2">
        <f ca="1" t="shared" si="7"/>
        <v>950</v>
      </c>
      <c r="I120" s="2">
        <f ca="1">SUM(INDEX(advertisement!G:G,13):INDEX(advertisement!G:G,MATCH(总产出!$Q$4,advertisement!D:D,0)))</f>
        <v>10</v>
      </c>
      <c r="J120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20" s="2"/>
      <c r="L120" s="2"/>
      <c r="M120" s="2"/>
    </row>
    <row r="121" s="1" customFormat="1" ht="18" customHeight="1" spans="2:13">
      <c r="B121" s="2">
        <v>96</v>
      </c>
      <c r="C121" s="2">
        <f t="shared" si="4"/>
        <v>96000</v>
      </c>
      <c r="D121" s="2">
        <f>ROUND($C$8*$C$5+$C$8*$C$4*(1-$L$5),0)</f>
        <v>88</v>
      </c>
      <c r="E121" s="2">
        <f t="shared" si="5"/>
        <v>8448</v>
      </c>
      <c r="F121" s="2">
        <f>ROUND(E121*VLOOKUP($B$10,总产出!$T$4:$U$14,2,FALSE),0)</f>
        <v>422</v>
      </c>
      <c r="G121" s="2">
        <f ca="1" t="shared" si="6"/>
        <v>10</v>
      </c>
      <c r="H121" s="2">
        <f ca="1" t="shared" si="7"/>
        <v>960</v>
      </c>
      <c r="I121" s="2">
        <f ca="1">SUM(INDEX(advertisement!G:G,13):INDEX(advertisement!G:G,MATCH(总产出!$Q$4,advertisement!D:D,0)))</f>
        <v>10</v>
      </c>
      <c r="J121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21" s="2"/>
      <c r="L121" s="2"/>
      <c r="M121" s="2"/>
    </row>
    <row r="122" s="1" customFormat="1" ht="18" customHeight="1" spans="2:13">
      <c r="B122" s="2">
        <v>97</v>
      </c>
      <c r="C122" s="2">
        <f t="shared" si="4"/>
        <v>97000</v>
      </c>
      <c r="D122" s="2">
        <f>ROUND($C$8*$C$5+$C$8*$C$4*(1-$L$5),0)</f>
        <v>88</v>
      </c>
      <c r="E122" s="2">
        <f t="shared" si="5"/>
        <v>8536</v>
      </c>
      <c r="F122" s="2">
        <f>ROUND(E122*VLOOKUP($B$10,总产出!$T$4:$U$14,2,FALSE),0)</f>
        <v>427</v>
      </c>
      <c r="G122" s="2">
        <f ca="1" t="shared" si="6"/>
        <v>10</v>
      </c>
      <c r="H122" s="2">
        <f ca="1" t="shared" si="7"/>
        <v>970</v>
      </c>
      <c r="I122" s="2">
        <f ca="1">SUM(INDEX(advertisement!G:G,13):INDEX(advertisement!G:G,MATCH(总产出!$Q$4,advertisement!D:D,0)))</f>
        <v>10</v>
      </c>
      <c r="J122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22" s="2"/>
      <c r="L122" s="2"/>
      <c r="M122" s="2"/>
    </row>
    <row r="123" s="1" customFormat="1" ht="18" customHeight="1" spans="2:13">
      <c r="B123" s="2">
        <v>98</v>
      </c>
      <c r="C123" s="2">
        <f t="shared" si="4"/>
        <v>98000</v>
      </c>
      <c r="D123" s="2">
        <f>ROUND($C$8*$C$5+$C$8*$C$4*(1-$L$5),0)</f>
        <v>88</v>
      </c>
      <c r="E123" s="2">
        <f t="shared" si="5"/>
        <v>8624</v>
      </c>
      <c r="F123" s="2">
        <f>ROUND(E123*VLOOKUP($B$10,总产出!$T$4:$U$14,2,FALSE),0)</f>
        <v>431</v>
      </c>
      <c r="G123" s="2">
        <f ca="1" t="shared" si="6"/>
        <v>10</v>
      </c>
      <c r="H123" s="2">
        <f ca="1" t="shared" si="7"/>
        <v>980</v>
      </c>
      <c r="I123" s="2">
        <f ca="1">SUM(INDEX(advertisement!G:G,13):INDEX(advertisement!G:G,MATCH(总产出!$Q$4,advertisement!D:D,0)))</f>
        <v>10</v>
      </c>
      <c r="J123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23" s="2"/>
      <c r="L123" s="2"/>
      <c r="M123" s="2"/>
    </row>
    <row r="124" s="1" customFormat="1" ht="18" customHeight="1" spans="2:13">
      <c r="B124" s="2">
        <v>99</v>
      </c>
      <c r="C124" s="2">
        <f t="shared" si="4"/>
        <v>99000</v>
      </c>
      <c r="D124" s="2">
        <f>ROUND($C$8*$C$5+$C$8*$C$4*(1-$L$5),0)</f>
        <v>88</v>
      </c>
      <c r="E124" s="2">
        <f t="shared" si="5"/>
        <v>8712</v>
      </c>
      <c r="F124" s="2">
        <f>ROUND(E124*VLOOKUP($B$10,总产出!$T$4:$U$14,2,FALSE),0)</f>
        <v>436</v>
      </c>
      <c r="G124" s="2">
        <f ca="1" t="shared" si="6"/>
        <v>10</v>
      </c>
      <c r="H124" s="2">
        <f ca="1" t="shared" si="7"/>
        <v>990</v>
      </c>
      <c r="I124" s="2">
        <f ca="1">SUM(INDEX(advertisement!G:G,13):INDEX(advertisement!G:G,MATCH(总产出!$Q$4,advertisement!D:D,0)))</f>
        <v>10</v>
      </c>
      <c r="J124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24" s="2"/>
      <c r="L124" s="2"/>
      <c r="M124" s="2"/>
    </row>
    <row r="125" s="1" customFormat="1" ht="18" customHeight="1" spans="2:13">
      <c r="B125" s="2">
        <v>100</v>
      </c>
      <c r="C125" s="2">
        <f t="shared" si="4"/>
        <v>100000</v>
      </c>
      <c r="D125" s="2">
        <f>ROUND($C$8*$C$5+$C$8*$C$4*(1-$L$5),0)</f>
        <v>88</v>
      </c>
      <c r="E125" s="2">
        <f t="shared" si="5"/>
        <v>8800</v>
      </c>
      <c r="F125" s="2">
        <f>ROUND(E125*VLOOKUP($B$10,总产出!$T$4:$U$14,2,FALSE),0)</f>
        <v>440</v>
      </c>
      <c r="G125" s="2">
        <f ca="1" t="shared" si="6"/>
        <v>10</v>
      </c>
      <c r="H125" s="2">
        <f ca="1" t="shared" si="7"/>
        <v>1000</v>
      </c>
      <c r="I125" s="2">
        <f ca="1">SUM(INDEX(advertisement!G:G,13):INDEX(advertisement!G:G,MATCH(总产出!$Q$4,advertisement!D:D,0)))</f>
        <v>10</v>
      </c>
      <c r="J125" s="2">
        <f ca="1">IF(总产出!$C$8&gt;=advertisement!$E$26,SUM(INDEX(advertisement!F:F,26):INDEX(advertisement!F:F,MATCH(_xlfn.XLOOKUP(总产出!$C$8,advertisement!E:E,advertisement!E:E,0,-1),advertisement!E:E,0))),0)*总产出!$L$7</f>
        <v>0</v>
      </c>
      <c r="K125" s="2"/>
      <c r="L125" s="2"/>
      <c r="M125" s="2"/>
    </row>
  </sheetData>
  <mergeCells count="3">
    <mergeCell ref="B2:C3"/>
    <mergeCell ref="E2:F3"/>
    <mergeCell ref="K2:L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总产出</vt:lpstr>
      <vt:lpstr>VIP</vt:lpstr>
      <vt:lpstr>mission</vt:lpstr>
      <vt:lpstr>chest</vt:lpstr>
      <vt:lpstr>achievement</vt:lpstr>
      <vt:lpstr>top-up</vt:lpstr>
      <vt:lpstr>recharge</vt:lpstr>
      <vt:lpstr>advertisement</vt:lpstr>
      <vt:lpstr>每日任务产出</vt:lpstr>
      <vt:lpstr>每周任务产出</vt:lpstr>
      <vt:lpstr>每日活跃度宝箱产出</vt:lpstr>
      <vt:lpstr>每周活跃度宝箱产出</vt:lpstr>
      <vt:lpstr>成就产出</vt:lpstr>
      <vt:lpstr>充值回馈活动产出</vt:lpstr>
      <vt:lpstr>商城充值产出</vt:lpstr>
      <vt:lpstr>广告产出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Shallow Dream</cp:lastModifiedBy>
  <dcterms:created xsi:type="dcterms:W3CDTF">2023-05-12T11:15:00Z</dcterms:created>
  <dcterms:modified xsi:type="dcterms:W3CDTF">2025-06-10T03:55:41Z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450ADD03622C4862B7CAF1CF02C5DFB8_12</vt:lpwstr>
  </property>
  <property fmtid="{D5CDD505-2E9C-101B-9397-08002B2CF9AE}" pid="4" name="KSOReadingLayout">
    <vt:bool>true</vt:bool>
  </property>
</Properties>
</file>