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1FE468AF-87C2-4F54-B8D4-E547BBC64AC1}" xr6:coauthVersionLast="47" xr6:coauthVersionMax="47" xr10:uidLastSave="{00000000-0000-0000-0000-000000000000}"/>
  <bookViews>
    <workbookView xWindow="1440" yWindow="45" windowWidth="22050" windowHeight="14910" xr2:uid="{00000000-000D-0000-FFFF-FFFF00000000}"/>
  </bookViews>
  <sheets>
    <sheet name="sara amorim" sheetId="5" r:id="rId1"/>
    <sheet name="sem sinal menos" sheetId="4" r:id="rId2"/>
    <sheet name="com sinal menos" sheetId="1" r:id="rId3"/>
    <sheet name="Folha2" sheetId="2" r:id="rId4"/>
    <sheet name="Folha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3" i="5" l="1"/>
  <c r="C77" i="5"/>
  <c r="C75" i="5"/>
  <c r="C74" i="5"/>
  <c r="C70" i="5"/>
  <c r="C69" i="5"/>
  <c r="C64" i="5"/>
  <c r="C59" i="5"/>
  <c r="C62" i="5" s="1"/>
  <c r="C61" i="5"/>
  <c r="G31" i="5"/>
  <c r="G27" i="5"/>
  <c r="G28" i="5"/>
  <c r="G29" i="5"/>
  <c r="G30" i="5"/>
  <c r="G26" i="5"/>
  <c r="B25" i="5"/>
  <c r="H20" i="5"/>
  <c r="G15" i="5"/>
  <c r="H15" i="5" s="1"/>
  <c r="F16" i="5"/>
  <c r="C30" i="5" s="1"/>
  <c r="F13" i="5"/>
  <c r="C27" i="5" s="1"/>
  <c r="F15" i="5"/>
  <c r="C29" i="5" s="1"/>
  <c r="F14" i="5"/>
  <c r="C28" i="5" s="1"/>
  <c r="F12" i="5"/>
  <c r="C26" i="5" s="1"/>
  <c r="C14" i="5"/>
  <c r="C13" i="5"/>
  <c r="G13" i="5" s="1"/>
  <c r="C12" i="5"/>
  <c r="E20" i="5" s="1"/>
  <c r="F20" i="5" s="1"/>
  <c r="D16" i="5"/>
  <c r="I20" i="5" l="1"/>
  <c r="D17" i="5"/>
  <c r="G12" i="5"/>
  <c r="H12" i="5" s="1"/>
  <c r="H13" i="5"/>
  <c r="G14" i="5"/>
  <c r="H14" i="5" s="1"/>
  <c r="C63" i="5" l="1"/>
  <c r="E15" i="5"/>
  <c r="B29" i="5" s="1"/>
  <c r="E12" i="5"/>
  <c r="E13" i="5"/>
  <c r="B27" i="5" s="1"/>
  <c r="E14" i="5"/>
  <c r="B28" i="5" s="1"/>
  <c r="E16" i="5"/>
  <c r="B30" i="5" s="1"/>
  <c r="D60" i="4"/>
  <c r="D65" i="4" s="1"/>
  <c r="D66" i="4" s="1"/>
  <c r="K15" i="4"/>
  <c r="D12" i="4"/>
  <c r="D13" i="4"/>
  <c r="D14" i="4"/>
  <c r="D15" i="4"/>
  <c r="D11" i="4"/>
  <c r="D60" i="1"/>
  <c r="M15" i="1"/>
  <c r="D12" i="1"/>
  <c r="D13" i="1"/>
  <c r="D14" i="1"/>
  <c r="D15" i="1"/>
  <c r="D11" i="1"/>
  <c r="D83" i="4"/>
  <c r="D87" i="4" s="1"/>
  <c r="D72" i="4"/>
  <c r="G16" i="4"/>
  <c r="E16" i="4"/>
  <c r="E53" i="4" s="1"/>
  <c r="G15" i="4"/>
  <c r="E15" i="4"/>
  <c r="E52" i="4" s="1"/>
  <c r="G14" i="4"/>
  <c r="E14" i="4"/>
  <c r="C39" i="4" s="1"/>
  <c r="G13" i="4"/>
  <c r="E13" i="4"/>
  <c r="E50" i="4" s="1"/>
  <c r="G12" i="4"/>
  <c r="E12" i="4"/>
  <c r="E49" i="4" s="1"/>
  <c r="G11" i="4"/>
  <c r="E11" i="4"/>
  <c r="E48" i="4" s="1"/>
  <c r="D30" i="5" l="1"/>
  <c r="F30" i="5"/>
  <c r="E30" i="5"/>
  <c r="D29" i="5"/>
  <c r="F29" i="5"/>
  <c r="E29" i="5"/>
  <c r="D28" i="5"/>
  <c r="F28" i="5"/>
  <c r="E28" i="5"/>
  <c r="D27" i="5"/>
  <c r="E27" i="5"/>
  <c r="F27" i="5"/>
  <c r="B26" i="5"/>
  <c r="E17" i="5"/>
  <c r="E87" i="4"/>
  <c r="F87" i="4" s="1"/>
  <c r="E51" i="4"/>
  <c r="C36" i="4"/>
  <c r="C40" i="4"/>
  <c r="D73" i="4"/>
  <c r="D69" i="4"/>
  <c r="D70" i="4" s="1"/>
  <c r="D17" i="4"/>
  <c r="F16" i="4" s="1"/>
  <c r="C38" i="4"/>
  <c r="C37" i="4"/>
  <c r="C41" i="4"/>
  <c r="D83" i="1"/>
  <c r="D87" i="1" s="1"/>
  <c r="D72" i="1"/>
  <c r="D73" i="1" s="1"/>
  <c r="D69" i="1"/>
  <c r="D70" i="1" s="1"/>
  <c r="C37" i="1"/>
  <c r="C39" i="1"/>
  <c r="C40" i="1"/>
  <c r="E12" i="1"/>
  <c r="E49" i="1" s="1"/>
  <c r="E13" i="1"/>
  <c r="E50" i="1" s="1"/>
  <c r="E14" i="1"/>
  <c r="E51" i="1" s="1"/>
  <c r="E15" i="1"/>
  <c r="E52" i="1" s="1"/>
  <c r="E16" i="1"/>
  <c r="E53" i="1" s="1"/>
  <c r="E11" i="1"/>
  <c r="E48" i="1" s="1"/>
  <c r="D65" i="1"/>
  <c r="D66" i="1" s="1"/>
  <c r="E26" i="5" l="1"/>
  <c r="E31" i="5" s="1"/>
  <c r="F26" i="5"/>
  <c r="F31" i="5" s="1"/>
  <c r="B31" i="5"/>
  <c r="D26" i="5"/>
  <c r="D31" i="5" s="1"/>
  <c r="E34" i="5" s="1"/>
  <c r="F87" i="1"/>
  <c r="G87" i="1" s="1"/>
  <c r="C41" i="1"/>
  <c r="F11" i="4"/>
  <c r="D48" i="4" s="1"/>
  <c r="F12" i="4"/>
  <c r="D49" i="4" s="1"/>
  <c r="F49" i="4" s="1"/>
  <c r="G49" i="4" s="1"/>
  <c r="H49" i="4" s="1"/>
  <c r="F13" i="4"/>
  <c r="D50" i="4" s="1"/>
  <c r="F50" i="4" s="1"/>
  <c r="G50" i="4" s="1"/>
  <c r="H50" i="4" s="1"/>
  <c r="F14" i="4"/>
  <c r="D51" i="4" s="1"/>
  <c r="F51" i="4" s="1"/>
  <c r="G51" i="4" s="1"/>
  <c r="H51" i="4" s="1"/>
  <c r="F15" i="4"/>
  <c r="D40" i="4" s="1"/>
  <c r="H15" i="4"/>
  <c r="D52" i="4"/>
  <c r="F52" i="4" s="1"/>
  <c r="G52" i="4" s="1"/>
  <c r="H52" i="4" s="1"/>
  <c r="D53" i="4"/>
  <c r="F53" i="4" s="1"/>
  <c r="G53" i="4" s="1"/>
  <c r="H53" i="4" s="1"/>
  <c r="D41" i="4"/>
  <c r="D36" i="4"/>
  <c r="C36" i="1"/>
  <c r="C38" i="1"/>
  <c r="D17" i="1"/>
  <c r="F16" i="1" s="1"/>
  <c r="I16" i="1" s="1"/>
  <c r="G12" i="1"/>
  <c r="G13" i="1"/>
  <c r="G14" i="1"/>
  <c r="G15" i="1"/>
  <c r="G16" i="1"/>
  <c r="G11" i="1"/>
  <c r="E47" i="5" l="1"/>
  <c r="D38" i="4"/>
  <c r="F17" i="4"/>
  <c r="D37" i="4"/>
  <c r="D42" i="4" s="1"/>
  <c r="E40" i="4" s="1"/>
  <c r="D39" i="4"/>
  <c r="F11" i="1"/>
  <c r="D36" i="1" s="1"/>
  <c r="F15" i="1"/>
  <c r="H14" i="4"/>
  <c r="D54" i="4"/>
  <c r="F48" i="4"/>
  <c r="D48" i="1"/>
  <c r="D53" i="1"/>
  <c r="F53" i="1" s="1"/>
  <c r="G53" i="1" s="1"/>
  <c r="H53" i="1" s="1"/>
  <c r="D41" i="1"/>
  <c r="H15" i="1"/>
  <c r="F14" i="1"/>
  <c r="I14" i="1" s="1"/>
  <c r="F12" i="1"/>
  <c r="F13" i="1"/>
  <c r="D52" i="1" l="1"/>
  <c r="F52" i="1" s="1"/>
  <c r="G52" i="1" s="1"/>
  <c r="H52" i="1" s="1"/>
  <c r="I15" i="1"/>
  <c r="D40" i="1"/>
  <c r="E36" i="4"/>
  <c r="G48" i="4"/>
  <c r="F54" i="4"/>
  <c r="E39" i="4"/>
  <c r="E37" i="4"/>
  <c r="E41" i="4"/>
  <c r="E38" i="4"/>
  <c r="E44" i="4" s="1"/>
  <c r="H13" i="4"/>
  <c r="D49" i="1"/>
  <c r="F49" i="1" s="1"/>
  <c r="G49" i="1" s="1"/>
  <c r="H49" i="1" s="1"/>
  <c r="D37" i="1"/>
  <c r="F48" i="1"/>
  <c r="G48" i="1" s="1"/>
  <c r="H48" i="1" s="1"/>
  <c r="D39" i="1"/>
  <c r="D51" i="1"/>
  <c r="F51" i="1" s="1"/>
  <c r="G51" i="1" s="1"/>
  <c r="H51" i="1" s="1"/>
  <c r="H14" i="1"/>
  <c r="D50" i="1"/>
  <c r="F50" i="1" s="1"/>
  <c r="G50" i="1" s="1"/>
  <c r="H50" i="1" s="1"/>
  <c r="D38" i="1"/>
  <c r="F17" i="1"/>
  <c r="I14" i="4" l="1"/>
  <c r="I13" i="4"/>
  <c r="H13" i="1"/>
  <c r="J14" i="1"/>
  <c r="E42" i="4"/>
  <c r="H12" i="4"/>
  <c r="H11" i="4" s="1"/>
  <c r="I16" i="4"/>
  <c r="I15" i="4"/>
  <c r="G54" i="4"/>
  <c r="H48" i="4"/>
  <c r="H54" i="4" s="1"/>
  <c r="D42" i="1"/>
  <c r="E37" i="1" s="1"/>
  <c r="D54" i="1"/>
  <c r="E39" i="1" l="1"/>
  <c r="E38" i="1"/>
  <c r="E44" i="1" s="1"/>
  <c r="H12" i="1"/>
  <c r="H11" i="1" s="1"/>
  <c r="J16" i="1"/>
  <c r="J13" i="1"/>
  <c r="J15" i="1"/>
  <c r="F57" i="4"/>
  <c r="D89" i="4" s="1"/>
  <c r="E36" i="1"/>
  <c r="E40" i="1"/>
  <c r="E41" i="1"/>
  <c r="F54" i="1"/>
  <c r="E42" i="1"/>
  <c r="H54" i="1" l="1"/>
  <c r="G54" i="1"/>
  <c r="F57" i="1" l="1"/>
  <c r="D89" i="1" s="1"/>
</calcChain>
</file>

<file path=xl/sharedStrings.xml><?xml version="1.0" encoding="utf-8"?>
<sst xmlns="http://schemas.openxmlformats.org/spreadsheetml/2006/main" count="211" uniqueCount="97">
  <si>
    <t>di</t>
  </si>
  <si>
    <t>a)</t>
  </si>
  <si>
    <t>b)</t>
  </si>
  <si>
    <t>m</t>
  </si>
  <si>
    <t>kg/s</t>
  </si>
  <si>
    <t>c)</t>
  </si>
  <si>
    <t>ros</t>
  </si>
  <si>
    <t>kg/m3</t>
  </si>
  <si>
    <t>ro</t>
  </si>
  <si>
    <t>visc</t>
  </si>
  <si>
    <t>u</t>
  </si>
  <si>
    <t>m/s</t>
  </si>
  <si>
    <t>Problema 1</t>
  </si>
  <si>
    <t>peneiro</t>
  </si>
  <si>
    <t>#</t>
  </si>
  <si>
    <t>mm</t>
  </si>
  <si>
    <t>SOMA:</t>
  </si>
  <si>
    <t>Resposta:</t>
  </si>
  <si>
    <t>d)</t>
  </si>
  <si>
    <t>e)</t>
  </si>
  <si>
    <t>d de separação</t>
  </si>
  <si>
    <t>Pa.s</t>
  </si>
  <si>
    <t>Re'</t>
  </si>
  <si>
    <t>Lei de Newton</t>
  </si>
  <si>
    <t>L1</t>
  </si>
  <si>
    <t>L2</t>
  </si>
  <si>
    <t>E</t>
  </si>
  <si>
    <t>kJ/kg</t>
  </si>
  <si>
    <t>Número</t>
  </si>
  <si>
    <t>-</t>
  </si>
  <si>
    <t>ni</t>
  </si>
  <si>
    <t>ni*di^2</t>
  </si>
  <si>
    <t>ni*di^3</t>
  </si>
  <si>
    <t>ni*di^4</t>
  </si>
  <si>
    <t>d</t>
  </si>
  <si>
    <t>si</t>
  </si>
  <si>
    <t>s3=</t>
  </si>
  <si>
    <t>dx=dv = sum(ni*di^4) / sum(ni*di^3) =</t>
  </si>
  <si>
    <t>Invalido</t>
  </si>
  <si>
    <t>R'/rou2*Re´^2</t>
  </si>
  <si>
    <t>log10(…)</t>
  </si>
  <si>
    <t>log10(Re')</t>
  </si>
  <si>
    <t>Ambos - Regime intermédio</t>
  </si>
  <si>
    <t>f)</t>
  </si>
  <si>
    <t>P</t>
  </si>
  <si>
    <t>kw</t>
  </si>
  <si>
    <t>fc</t>
  </si>
  <si>
    <t>Mpa</t>
  </si>
  <si>
    <t>Resposta: a água deveria ter u=0,34 m/s</t>
  </si>
  <si>
    <t>Interpolação linear</t>
  </si>
  <si>
    <t>Resposta: a água deveria ter u=0,249 m/s</t>
  </si>
  <si>
    <t>C</t>
  </si>
  <si>
    <t>Constante de Bond</t>
  </si>
  <si>
    <t>kj/kg</t>
  </si>
  <si>
    <t>Constante de BOND</t>
  </si>
  <si>
    <t>TESTE 1:  10 de Outubro de 2020</t>
  </si>
  <si>
    <t>xi/di</t>
  </si>
  <si>
    <t>xi/di^2</t>
  </si>
  <si>
    <t>xi/di^3</t>
  </si>
  <si>
    <t>r1 (m)</t>
  </si>
  <si>
    <t>beta</t>
  </si>
  <si>
    <t>ângulo de beliscão para o maior tamanho</t>
  </si>
  <si>
    <t>cos(beta/2)</t>
  </si>
  <si>
    <t>b</t>
  </si>
  <si>
    <t>porque é o maior tamano de sólido possivel a a ser alimentado ao moinho</t>
  </si>
  <si>
    <t>r2 (m)</t>
  </si>
  <si>
    <t>Coluna</t>
  </si>
  <si>
    <t>Residual</t>
  </si>
  <si>
    <t>u [m/s]</t>
  </si>
  <si>
    <t>dsep[m]</t>
  </si>
  <si>
    <t>massa[g]</t>
  </si>
  <si>
    <t>x[w/w]</t>
  </si>
  <si>
    <t>d[m]</t>
  </si>
  <si>
    <t>LOG10</t>
  </si>
  <si>
    <t>LOG10(Re')</t>
  </si>
  <si>
    <t>u0</t>
  </si>
  <si>
    <t>(*)</t>
  </si>
  <si>
    <t>(*) Solução invalida; fora do regime laminar</t>
  </si>
  <si>
    <t>Pela consulta da tabela</t>
  </si>
  <si>
    <t>Correto para a coluna 1; regime de transição</t>
  </si>
  <si>
    <t>d[micron]</t>
  </si>
  <si>
    <t>xi*di</t>
  </si>
  <si>
    <t>dV</t>
  </si>
  <si>
    <t>=</t>
  </si>
  <si>
    <t>micron</t>
  </si>
  <si>
    <t>coluna</t>
  </si>
  <si>
    <t>residual</t>
  </si>
  <si>
    <t>Problema 2</t>
  </si>
  <si>
    <t>seja</t>
  </si>
  <si>
    <t>w</t>
  </si>
  <si>
    <t>rot/s</t>
  </si>
  <si>
    <t>Q</t>
  </si>
  <si>
    <t>L</t>
  </si>
  <si>
    <t>eff</t>
  </si>
  <si>
    <t>J/kg</t>
  </si>
  <si>
    <t>kW</t>
  </si>
  <si>
    <t>o dobro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</si>
</sst>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E+00"/>
    <numFmt numFmtId="167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2" borderId="1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2" fontId="2" fillId="3" borderId="0" xfId="0" applyNumberFormat="1" applyFont="1" applyFill="1"/>
    <xf numFmtId="2" fontId="0" fillId="0" borderId="0" xfId="0" applyNumberFormat="1" applyAlignment="1">
      <alignment wrapText="1"/>
    </xf>
    <xf numFmtId="2" fontId="2" fillId="0" borderId="0" xfId="0" applyNumberFormat="1" applyFont="1" applyAlignment="1">
      <alignment horizontal="left"/>
    </xf>
    <xf numFmtId="2" fontId="2" fillId="0" borderId="0" xfId="0" applyNumberFormat="1" applyFont="1" applyFill="1"/>
    <xf numFmtId="11" fontId="1" fillId="0" borderId="0" xfId="0" applyNumberFormat="1" applyFont="1"/>
    <xf numFmtId="165" fontId="2" fillId="0" borderId="0" xfId="0" applyNumberFormat="1" applyFont="1"/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1" fontId="0" fillId="0" borderId="0" xfId="0" applyNumberFormat="1" applyFill="1" applyBorder="1"/>
    <xf numFmtId="0" fontId="1" fillId="0" borderId="0" xfId="0" applyFont="1" applyFill="1" applyBorder="1"/>
    <xf numFmtId="11" fontId="1" fillId="0" borderId="0" xfId="0" applyNumberFormat="1" applyFont="1" applyFill="1" applyBorder="1"/>
    <xf numFmtId="0" fontId="0" fillId="4" borderId="0" xfId="0" applyFill="1"/>
    <xf numFmtId="0" fontId="3" fillId="4" borderId="0" xfId="0" applyFont="1" applyFill="1" applyAlignment="1">
      <alignment horizontal="left"/>
    </xf>
    <xf numFmtId="11" fontId="0" fillId="5" borderId="0" xfId="0" applyNumberFormat="1" applyFont="1" applyFill="1" applyBorder="1"/>
    <xf numFmtId="2" fontId="4" fillId="0" borderId="0" xfId="0" applyNumberFormat="1" applyFont="1" applyFill="1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11" fontId="0" fillId="0" borderId="0" xfId="0" applyNumberForma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 applyAlignment="1">
      <alignment horizontal="left"/>
    </xf>
    <xf numFmtId="0" fontId="3" fillId="0" borderId="0" xfId="0" applyFont="1" applyFill="1" applyBorder="1"/>
    <xf numFmtId="1" fontId="0" fillId="0" borderId="0" xfId="0" applyNumberFormat="1" applyFont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1" fontId="0" fillId="0" borderId="0" xfId="0" applyNumberFormat="1" applyFont="1" applyAlignment="1">
      <alignment horizontal="center"/>
    </xf>
    <xf numFmtId="11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6" fontId="7" fillId="5" borderId="0" xfId="0" applyNumberFormat="1" applyFont="1" applyFill="1" applyAlignment="1">
      <alignment horizontal="center"/>
    </xf>
    <xf numFmtId="11" fontId="7" fillId="5" borderId="0" xfId="0" applyNumberFormat="1" applyFont="1" applyFill="1" applyAlignment="1">
      <alignment horizontal="center"/>
    </xf>
    <xf numFmtId="2" fontId="7" fillId="0" borderId="0" xfId="0" applyNumberFormat="1" applyFont="1" applyFill="1"/>
    <xf numFmtId="11" fontId="1" fillId="0" borderId="0" xfId="0" applyNumberFormat="1" applyFont="1" applyFill="1" applyBorder="1" applyAlignment="1">
      <alignment horizontal="center"/>
    </xf>
    <xf numFmtId="11" fontId="0" fillId="6" borderId="0" xfId="0" applyNumberFormat="1" applyFill="1"/>
    <xf numFmtId="0" fontId="0" fillId="6" borderId="0" xfId="0" applyFill="1"/>
    <xf numFmtId="0" fontId="10" fillId="0" borderId="0" xfId="0" applyFont="1" applyAlignment="1">
      <alignment horizontal="left"/>
    </xf>
    <xf numFmtId="0" fontId="12" fillId="0" borderId="0" xfId="0" applyFont="1" applyFill="1"/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2" fontId="6" fillId="0" borderId="0" xfId="0" applyNumberFormat="1" applyFont="1" applyFill="1"/>
    <xf numFmtId="0" fontId="6" fillId="0" borderId="0" xfId="0" applyFont="1" applyFill="1"/>
    <xf numFmtId="0" fontId="9" fillId="0" borderId="0" xfId="0" applyFont="1" applyFill="1"/>
    <xf numFmtId="0" fontId="6" fillId="0" borderId="0" xfId="0" applyFont="1" applyFill="1" applyBorder="1"/>
    <xf numFmtId="0" fontId="11" fillId="0" borderId="0" xfId="0" applyFont="1" applyFill="1" applyBorder="1"/>
    <xf numFmtId="2" fontId="9" fillId="0" borderId="0" xfId="0" applyNumberFormat="1" applyFont="1" applyFill="1" applyBorder="1"/>
    <xf numFmtId="0" fontId="9" fillId="0" borderId="0" xfId="0" applyFont="1" applyFill="1" applyBorder="1"/>
    <xf numFmtId="0" fontId="8" fillId="0" borderId="0" xfId="0" applyFont="1" applyFill="1" applyBorder="1"/>
    <xf numFmtId="0" fontId="13" fillId="0" borderId="0" xfId="0" applyFont="1" applyFill="1" applyBorder="1"/>
    <xf numFmtId="167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'sem sinal menos'!$E$11:$E$16</c:f>
              <c:numCache>
                <c:formatCode>0.00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'sem sinal menos'!$F$11:$F$16</c:f>
              <c:numCache>
                <c:formatCode>0.00</c:formatCode>
                <c:ptCount val="6"/>
                <c:pt idx="0">
                  <c:v>0.29087130695289093</c:v>
                </c:pt>
                <c:pt idx="1">
                  <c:v>0.14933830842499801</c:v>
                </c:pt>
                <c:pt idx="2">
                  <c:v>0.11958076924422219</c:v>
                </c:pt>
                <c:pt idx="3">
                  <c:v>0.14933830842499801</c:v>
                </c:pt>
                <c:pt idx="4">
                  <c:v>0.29087130695289093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12-4550-9742-CEC163376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8544"/>
        <c:axId val="8427008"/>
      </c:scatterChart>
      <c:valAx>
        <c:axId val="84285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427008"/>
        <c:crosses val="autoZero"/>
        <c:crossBetween val="midCat"/>
      </c:valAx>
      <c:valAx>
        <c:axId val="84270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428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og"/>
            <c:dispRSqr val="0"/>
            <c:dispEq val="0"/>
          </c:trendline>
          <c:xVal>
            <c:numRef>
              <c:f>'sem sinal menos'!$G$11:$G$16</c:f>
              <c:numCache>
                <c:formatCode>0.00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'sem sinal menos'!$H$11:$H$16</c:f>
              <c:numCache>
                <c:formatCode>0.00</c:formatCode>
                <c:ptCount val="6"/>
                <c:pt idx="0">
                  <c:v>1.0000000000000002</c:v>
                </c:pt>
                <c:pt idx="1">
                  <c:v>0.70912869304710924</c:v>
                </c:pt>
                <c:pt idx="2">
                  <c:v>0.55979038462211117</c:v>
                </c:pt>
                <c:pt idx="3">
                  <c:v>0.44020961537788894</c:v>
                </c:pt>
                <c:pt idx="4">
                  <c:v>0.29087130695289093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85-4DBB-96AF-8D318BCB0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30336"/>
        <c:axId val="38028800"/>
      </c:scatterChart>
      <c:valAx>
        <c:axId val="380303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8028800"/>
        <c:crosses val="autoZero"/>
        <c:crossBetween val="midCat"/>
      </c:valAx>
      <c:valAx>
        <c:axId val="380288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8030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'com sinal menos'!$E$11:$E$16</c:f>
            </c:numRef>
          </c:xVal>
          <c:yVal>
            <c:numRef>
              <c:f>'com sinal menos'!$F$11:$F$16</c:f>
              <c:numCache>
                <c:formatCode>0.000</c:formatCode>
                <c:ptCount val="6"/>
                <c:pt idx="0">
                  <c:v>0.12007838424321346</c:v>
                </c:pt>
                <c:pt idx="1">
                  <c:v>0.23388075658535026</c:v>
                </c:pt>
                <c:pt idx="2">
                  <c:v>0.29208171834287244</c:v>
                </c:pt>
                <c:pt idx="3">
                  <c:v>0.23388075658535026</c:v>
                </c:pt>
                <c:pt idx="4">
                  <c:v>0.12007838424321346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2-4C79-8B93-FBD20F1E9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8544"/>
        <c:axId val="8427008"/>
      </c:scatterChart>
      <c:valAx>
        <c:axId val="84285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427008"/>
        <c:crosses val="autoZero"/>
        <c:crossBetween val="midCat"/>
      </c:valAx>
      <c:valAx>
        <c:axId val="842700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8428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og"/>
            <c:dispRSqr val="0"/>
            <c:dispEq val="0"/>
          </c:trendline>
          <c:xVal>
            <c:numRef>
              <c:f>'com sinal menos'!$G$11:$G$16</c:f>
              <c:numCache>
                <c:formatCode>0.00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'com sinal menos'!$H$11:$H$16</c:f>
              <c:numCache>
                <c:formatCode>0.00</c:formatCode>
                <c:ptCount val="6"/>
                <c:pt idx="0">
                  <c:v>0.99999999999999989</c:v>
                </c:pt>
                <c:pt idx="1">
                  <c:v>0.8799216157567864</c:v>
                </c:pt>
                <c:pt idx="2">
                  <c:v>0.64604085917143617</c:v>
                </c:pt>
                <c:pt idx="3">
                  <c:v>0.35395914082856372</c:v>
                </c:pt>
                <c:pt idx="4">
                  <c:v>0.12007838424321346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26-44BC-B672-1389C7D5D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30336"/>
        <c:axId val="38028800"/>
      </c:scatterChart>
      <c:valAx>
        <c:axId val="380303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8028800"/>
        <c:crosses val="autoZero"/>
        <c:crossBetween val="midCat"/>
      </c:valAx>
      <c:valAx>
        <c:axId val="380288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8030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114300</xdr:colOff>
      <xdr:row>4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08F752-12B6-4FAF-ACEE-B81A687ED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430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590550</xdr:colOff>
      <xdr:row>0</xdr:row>
      <xdr:rowOff>66675</xdr:rowOff>
    </xdr:from>
    <xdr:ext cx="3825727" cy="436786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0D46601-E1FC-4CBE-BD6D-FD8A1B16325C}"/>
            </a:ext>
          </a:extLst>
        </xdr:cNvPr>
        <xdr:cNvSpPr txBox="1"/>
      </xdr:nvSpPr>
      <xdr:spPr>
        <a:xfrm>
          <a:off x="1819275" y="66675"/>
          <a:ext cx="382572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MIEQB</a:t>
          </a:r>
          <a:r>
            <a:rPr lang="pt-P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– Mestrado Integrado Engenharia Química e Bioquímica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Unidade Curricular: OPERAÇÕES SÓLIDO-FLUIDO</a:t>
          </a:r>
          <a:endParaRPr lang="en-US" sz="1100"/>
        </a:p>
      </xdr:txBody>
    </xdr:sp>
    <xdr:clientData/>
  </xdr:oneCellAnchor>
  <xdr:twoCellAnchor>
    <xdr:from>
      <xdr:col>1</xdr:col>
      <xdr:colOff>104774</xdr:colOff>
      <xdr:row>40</xdr:row>
      <xdr:rowOff>114300</xdr:rowOff>
    </xdr:from>
    <xdr:to>
      <xdr:col>7</xdr:col>
      <xdr:colOff>314324</xdr:colOff>
      <xdr:row>43</xdr:row>
      <xdr:rowOff>34986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30">
              <a:extLst>
                <a:ext uri="{FF2B5EF4-FFF2-40B4-BE49-F238E27FC236}">
                  <a16:creationId xmlns:a16="http://schemas.microsoft.com/office/drawing/2014/main" id="{7AEEB7D1-82CC-4450-BF49-19473F703E13}"/>
                </a:ext>
              </a:extLst>
            </xdr:cNvPr>
            <xdr:cNvSpPr txBox="1"/>
          </xdr:nvSpPr>
          <xdr:spPr>
            <a:xfrm>
              <a:off x="1333499" y="8477250"/>
              <a:ext cx="4914900" cy="49218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pt-P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>
                    <m:sSubPr>
                      <m:ctrlPr>
                        <a:rPr lang="pt-PT" sz="18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PT" sz="18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t-PT" sz="18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pt-PT" sz="20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pt-PT" sz="20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PT" sz="20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  <m:sub>
                      <m:r>
                        <a:rPr lang="pt-PT" sz="20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d>
                    <m:dPr>
                      <m:ctrlPr>
                        <a:rPr lang="pt-PT" sz="20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t-PT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𝜌</m:t>
                      </m:r>
                      <m:acc>
                        <m:accPr>
                          <m:chr m:val="̈"/>
                          <m:ctrlPr>
                            <a:rPr lang="pt-PT" sz="2000" b="0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PT" sz="2000" b="0" i="1">
                              <a:latin typeface="Cambria Math" panose="02040503050406030204" pitchFamily="18" charset="0"/>
                            </a:rPr>
                            <m:t>𝑘</m:t>
                          </m:r>
                        </m:e>
                      </m:acc>
                      <m:sSubSup>
                        <m:sSubSupPr>
                          <m:ctrlPr>
                            <a:rPr lang="en-GB" sz="20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t-PT" sz="2000" b="0" i="1"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pt-PT" sz="20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  <m:sup>
                          <m:r>
                            <a:rPr lang="pt-PT" sz="20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sup>
                      </m:sSubSup>
                    </m:e>
                  </m:d>
                  <m:r>
                    <a:rPr lang="pt-PT" sz="2000" b="0" i="1">
                      <a:latin typeface="Cambria Math" panose="02040503050406030204" pitchFamily="18" charset="0"/>
                    </a:rPr>
                    <m:t> </m:t>
                  </m:r>
                  <m:r>
                    <a:rPr lang="pt-PT" sz="2000" b="0" i="1">
                      <a:latin typeface="Cambria Math" panose="02040503050406030204" pitchFamily="18" charset="0"/>
                      <a:sym typeface="Symbol" panose="05050102010706020507" pitchFamily="18" charset="2"/>
                    </a:rPr>
                    <m:t></m:t>
                  </m:r>
                </m:oMath>
              </a14:m>
              <a:r>
                <a:rPr lang="en-GB" sz="2000"/>
                <a:t>  </a:t>
              </a:r>
              <a14:m>
                <m:oMath xmlns:m="http://schemas.openxmlformats.org/officeDocument/2006/math">
                  <m:sSub>
                    <m:sSubPr>
                      <m:ctrlPr>
                        <a:rPr lang="pt-PT" sz="18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PT" sz="18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pt-PT" sz="18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pt-PT" sz="18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GB" sz="2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PT" sz="18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t-PT" sz="18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pt-PT" sz="18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num>
                    <m:den>
                      <m:r>
                        <a:rPr lang="pt-PT" sz="18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𝜌</m:t>
                      </m:r>
                      <m:acc>
                        <m:accPr>
                          <m:chr m:val="̈"/>
                          <m:ctrlPr>
                            <a:rPr lang="pt-PT" sz="18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t-PT" sz="18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𝑘</m:t>
                          </m:r>
                        </m:e>
                      </m:acc>
                      <m:sSubSup>
                        <m:sSubSupPr>
                          <m:ctrlPr>
                            <a:rPr lang="en-GB" sz="180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t-PT" sz="18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t-PT" sz="18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>
                          <m:r>
                            <a:rPr lang="pt-PT" sz="18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p>
                      </m:sSubSup>
                    </m:den>
                  </m:f>
                </m:oMath>
              </a14:m>
              <a:endParaRPr lang="en-GB" sz="2000"/>
            </a:p>
          </xdr:txBody>
        </xdr:sp>
      </mc:Choice>
      <mc:Fallback xmlns="">
        <xdr:sp macro="" textlink="">
          <xdr:nvSpPr>
            <xdr:cNvPr id="10" name="CaixaDeTexto 30">
              <a:extLst>
                <a:ext uri="{FF2B5EF4-FFF2-40B4-BE49-F238E27FC236}">
                  <a16:creationId xmlns:a16="http://schemas.microsoft.com/office/drawing/2014/main" id="{7AEEB7D1-82CC-4450-BF49-19473F703E13}"/>
                </a:ext>
              </a:extLst>
            </xdr:cNvPr>
            <xdr:cNvSpPr txBox="1"/>
          </xdr:nvSpPr>
          <xdr:spPr>
            <a:xfrm>
              <a:off x="1333499" y="8477250"/>
              <a:ext cx="4914900" cy="49218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pt-P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PT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</a:t>
              </a:r>
              <a:r>
                <a:rPr lang="pt-PT" sz="2000" b="0" i="0">
                  <a:latin typeface="Cambria Math" panose="02040503050406030204" pitchFamily="18" charset="0"/>
                </a:rPr>
                <a:t>=𝑛_𝑖 (</a:t>
              </a:r>
              <a:r>
                <a:rPr lang="pt-PT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pt-PT" sz="2000" b="0" i="0">
                  <a:latin typeface="Cambria Math" panose="02040503050406030204" pitchFamily="18" charset="0"/>
                </a:rPr>
                <a:t>𝑘 ̈𝑑</a:t>
              </a:r>
              <a:r>
                <a:rPr lang="en-GB" sz="2000" b="0" i="0">
                  <a:latin typeface="Cambria Math" panose="02040503050406030204" pitchFamily="18" charset="0"/>
                </a:rPr>
                <a:t>_</a:t>
              </a:r>
              <a:r>
                <a:rPr lang="pt-PT" sz="2000" b="0" i="0">
                  <a:latin typeface="Cambria Math" panose="02040503050406030204" pitchFamily="18" charset="0"/>
                </a:rPr>
                <a:t>𝑖^3 )  </a:t>
              </a:r>
              <a:r>
                <a:rPr lang="pt-PT" sz="2000" b="0" i="0">
                  <a:latin typeface="Cambria Math" panose="02040503050406030204" pitchFamily="18" charset="0"/>
                  <a:sym typeface="Symbol" panose="05050102010706020507" pitchFamily="18" charset="2"/>
                </a:rPr>
                <a:t></a:t>
              </a:r>
              <a:r>
                <a:rPr lang="en-GB" sz="2000"/>
                <a:t>  </a:t>
              </a:r>
              <a:r>
                <a:rPr lang="pt-PT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𝑛_𝑖=𝑥_𝑖</a:t>
              </a:r>
              <a:r>
                <a:rPr lang="en-GB" sz="20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t-PT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𝜌𝑘 ̈𝑑</a:t>
              </a:r>
              <a:r>
                <a:rPr lang="en-GB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t-PT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𝑖^3 </a:t>
              </a:r>
              <a:r>
                <a:rPr lang="en-GB" sz="20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GB" sz="2000"/>
            </a:p>
          </xdr:txBody>
        </xdr:sp>
      </mc:Fallback>
    </mc:AlternateContent>
    <xdr:clientData/>
  </xdr:twoCellAnchor>
  <xdr:twoCellAnchor>
    <xdr:from>
      <xdr:col>7</xdr:col>
      <xdr:colOff>323850</xdr:colOff>
      <xdr:row>62</xdr:row>
      <xdr:rowOff>19050</xdr:rowOff>
    </xdr:from>
    <xdr:to>
      <xdr:col>10</xdr:col>
      <xdr:colOff>405298</xdr:colOff>
      <xdr:row>65</xdr:row>
      <xdr:rowOff>139086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6">
              <a:extLst>
                <a:ext uri="{FF2B5EF4-FFF2-40B4-BE49-F238E27FC236}">
                  <a16:creationId xmlns:a16="http://schemas.microsoft.com/office/drawing/2014/main" id="{4B602C50-E225-4658-B548-9E6326943A22}"/>
                </a:ext>
              </a:extLst>
            </xdr:cNvPr>
            <xdr:cNvSpPr txBox="1"/>
          </xdr:nvSpPr>
          <xdr:spPr>
            <a:xfrm>
              <a:off x="5200650" y="12687300"/>
              <a:ext cx="2157898" cy="691536"/>
            </a:xfrm>
            <a:prstGeom prst="rect">
              <a:avLst/>
            </a:prstGeom>
            <a:noFill/>
            <a:ln>
              <a:solidFill>
                <a:srgbClr val="000099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pt-P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pt-PT" sz="20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t-PT" sz="20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pt-PT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pt-PT" sz="2000" b="0" i="1">
                                    <a:latin typeface="Cambria Math" panose="02040503050406030204" pitchFamily="18" charset="0"/>
                                    <a:sym typeface="Symbol" panose="05050102010706020507" pitchFamily="18" charset="2"/>
                                  </a:rPr>
                                </m:ctrlPr>
                              </m:fPr>
                              <m:num>
                                <m:r>
                                  <a:rPr lang="pt-PT" sz="2000" i="1">
                                    <a:latin typeface="Cambria Math" panose="02040503050406030204" pitchFamily="18" charset="0"/>
                                    <a:sym typeface="Symbol" panose="05050102010706020507" pitchFamily="18" charset="2"/>
                                  </a:rPr>
                                  <m:t></m:t>
                                </m:r>
                              </m:num>
                              <m:den>
                                <m:r>
                                  <a:rPr lang="pt-PT" sz="2000" b="0" i="1">
                                    <a:latin typeface="Cambria Math" panose="02040503050406030204" pitchFamily="18" charset="0"/>
                                    <a:sym typeface="Symbol" panose="05050102010706020507" pitchFamily="18" charset="2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e>
                    </m:func>
                    <m:r>
                      <a:rPr lang="pt-PT" sz="2000" b="0" i="1">
                        <a:latin typeface="Cambria Math" panose="02040503050406030204" pitchFamily="18" charset="0"/>
                        <a:sym typeface="Symbol" panose="05050102010706020507" pitchFamily="18" charset="2"/>
                      </a:rPr>
                      <m:t>=</m:t>
                    </m:r>
                    <m:f>
                      <m:fPr>
                        <m:ctrlPr>
                          <a:rPr lang="pt-PT" sz="2000" b="0" i="1">
                            <a:latin typeface="Cambria Math" panose="02040503050406030204" pitchFamily="18" charset="0"/>
                            <a:sym typeface="Symbol" panose="05050102010706020507" pitchFamily="18" charset="2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PT" sz="2000" b="0" i="1">
                                <a:latin typeface="Cambria Math" panose="02040503050406030204" pitchFamily="18" charset="0"/>
                                <a:sym typeface="Symbol" panose="05050102010706020507" pitchFamily="18" charset="2"/>
                              </a:rPr>
                            </m:ctrlPr>
                          </m:sSubPr>
                          <m:e>
                            <m:r>
                              <a:rPr lang="pt-PT" sz="2000" b="0" i="1">
                                <a:latin typeface="Cambria Math" panose="02040503050406030204" pitchFamily="18" charset="0"/>
                                <a:sym typeface="Symbol" panose="05050102010706020507" pitchFamily="18" charset="2"/>
                              </a:rPr>
                              <m:t>𝑟</m:t>
                            </m:r>
                          </m:e>
                          <m:sub>
                            <m:r>
                              <a:rPr lang="pt-PT" sz="2000" b="0" i="1">
                                <a:latin typeface="Cambria Math" panose="02040503050406030204" pitchFamily="18" charset="0"/>
                                <a:sym typeface="Symbol" panose="05050102010706020507" pitchFamily="18" charset="2"/>
                              </a:rPr>
                              <m:t>1</m:t>
                            </m:r>
                          </m:sub>
                        </m:sSub>
                        <m:r>
                          <a:rPr lang="pt-PT" sz="2000" b="0" i="1">
                            <a:latin typeface="Cambria Math" panose="02040503050406030204" pitchFamily="18" charset="0"/>
                            <a:sym typeface="Symbol" panose="05050102010706020507" pitchFamily="18" charset="2"/>
                          </a:rPr>
                          <m:t>+</m:t>
                        </m:r>
                        <m:r>
                          <a:rPr lang="pt-PT" sz="2000" b="0" i="1">
                            <a:latin typeface="Cambria Math" panose="02040503050406030204" pitchFamily="18" charset="0"/>
                            <a:sym typeface="Symbol" panose="05050102010706020507" pitchFamily="18" charset="2"/>
                          </a:rPr>
                          <m:t>𝑏</m:t>
                        </m:r>
                        <m:r>
                          <a:rPr lang="pt-PT" sz="2000" b="0" i="1">
                            <a:latin typeface="Cambria Math" panose="02040503050406030204" pitchFamily="18" charset="0"/>
                            <a:sym typeface="Symbol" panose="05050102010706020507" pitchFamily="18" charset="2"/>
                          </a:rPr>
                          <m:t>/2</m:t>
                        </m:r>
                      </m:num>
                      <m:den>
                        <m:sSub>
                          <m:sSubPr>
                            <m:ctrlPr>
                              <a:rPr lang="pt-PT" sz="2000" i="1">
                                <a:latin typeface="Cambria Math" panose="02040503050406030204" pitchFamily="18" charset="0"/>
                                <a:sym typeface="Symbol" panose="05050102010706020507" pitchFamily="18" charset="2"/>
                              </a:rPr>
                            </m:ctrlPr>
                          </m:sSubPr>
                          <m:e>
                            <m:r>
                              <a:rPr lang="pt-PT" sz="2000" i="1">
                                <a:latin typeface="Cambria Math" panose="02040503050406030204" pitchFamily="18" charset="0"/>
                                <a:sym typeface="Symbol" panose="05050102010706020507" pitchFamily="18" charset="2"/>
                              </a:rPr>
                              <m:t>𝑟</m:t>
                            </m:r>
                          </m:e>
                          <m:sub>
                            <m:r>
                              <a:rPr lang="pt-PT" sz="2000" i="1">
                                <a:latin typeface="Cambria Math" panose="02040503050406030204" pitchFamily="18" charset="0"/>
                                <a:sym typeface="Symbol" panose="05050102010706020507" pitchFamily="18" charset="2"/>
                              </a:rPr>
                              <m:t>1</m:t>
                            </m:r>
                          </m:sub>
                        </m:sSub>
                        <m:r>
                          <a:rPr lang="pt-PT" sz="2000" b="0" i="1">
                            <a:latin typeface="Cambria Math" panose="02040503050406030204" pitchFamily="18" charset="0"/>
                            <a:sym typeface="Symbol" panose="05050102010706020507" pitchFamily="18" charset="2"/>
                          </a:rPr>
                          <m:t>+</m:t>
                        </m:r>
                        <m:sSub>
                          <m:sSubPr>
                            <m:ctrlPr>
                              <a:rPr lang="pt-PT" sz="2000" i="1">
                                <a:latin typeface="Cambria Math" panose="02040503050406030204" pitchFamily="18" charset="0"/>
                                <a:sym typeface="Symbol" panose="05050102010706020507" pitchFamily="18" charset="2"/>
                              </a:rPr>
                            </m:ctrlPr>
                          </m:sSubPr>
                          <m:e>
                            <m:r>
                              <a:rPr lang="pt-PT" sz="2000" i="1">
                                <a:latin typeface="Cambria Math" panose="02040503050406030204" pitchFamily="18" charset="0"/>
                                <a:sym typeface="Symbol" panose="05050102010706020507" pitchFamily="18" charset="2"/>
                              </a:rPr>
                              <m:t>𝑟</m:t>
                            </m:r>
                          </m:e>
                          <m:sub>
                            <m:r>
                              <a:rPr lang="pt-PT" sz="2000" b="0" i="1">
                                <a:latin typeface="Cambria Math" panose="02040503050406030204" pitchFamily="18" charset="0"/>
                                <a:sym typeface="Symbol" panose="05050102010706020507" pitchFamily="18" charset="2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12" name="CaixaDeTexto 6">
              <a:extLst>
                <a:ext uri="{FF2B5EF4-FFF2-40B4-BE49-F238E27FC236}">
                  <a16:creationId xmlns:a16="http://schemas.microsoft.com/office/drawing/2014/main" id="{4B602C50-E225-4658-B548-9E6326943A22}"/>
                </a:ext>
              </a:extLst>
            </xdr:cNvPr>
            <xdr:cNvSpPr txBox="1"/>
          </xdr:nvSpPr>
          <xdr:spPr>
            <a:xfrm>
              <a:off x="5200650" y="12687300"/>
              <a:ext cx="2157898" cy="691536"/>
            </a:xfrm>
            <a:prstGeom prst="rect">
              <a:avLst/>
            </a:prstGeom>
            <a:noFill/>
            <a:ln>
              <a:solidFill>
                <a:srgbClr val="000099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pt-P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PT" sz="2000" b="0" i="0">
                  <a:latin typeface="Cambria Math" panose="02040503050406030204" pitchFamily="18" charset="0"/>
                </a:rPr>
                <a:t>cos⁡(</a:t>
              </a:r>
              <a:r>
                <a:rPr lang="pt-PT" sz="2000" i="0">
                  <a:latin typeface="Cambria Math" panose="02040503050406030204" pitchFamily="18" charset="0"/>
                  <a:sym typeface="Symbol" panose="05050102010706020507" pitchFamily="18" charset="2"/>
                </a:rPr>
                <a:t></a:t>
              </a:r>
              <a:r>
                <a:rPr lang="pt-PT" sz="2000" b="0" i="0">
                  <a:latin typeface="Cambria Math" panose="02040503050406030204" pitchFamily="18" charset="0"/>
                  <a:sym typeface="Symbol" panose="05050102010706020507" pitchFamily="18" charset="2"/>
                </a:rPr>
                <a:t>/2)=(𝑟_1+𝑏/2)/(</a:t>
              </a:r>
              <a:r>
                <a:rPr lang="pt-PT" sz="2000" i="0">
                  <a:latin typeface="Cambria Math" panose="02040503050406030204" pitchFamily="18" charset="0"/>
                  <a:sym typeface="Symbol" panose="05050102010706020507" pitchFamily="18" charset="2"/>
                </a:rPr>
                <a:t>𝑟_1</a:t>
              </a:r>
              <a:r>
                <a:rPr lang="pt-PT" sz="2000" b="0" i="0">
                  <a:latin typeface="Cambria Math" panose="02040503050406030204" pitchFamily="18" charset="0"/>
                  <a:sym typeface="Symbol" panose="05050102010706020507" pitchFamily="18" charset="2"/>
                </a:rPr>
                <a:t>+</a:t>
              </a:r>
              <a:r>
                <a:rPr lang="pt-PT" sz="2000" i="0">
                  <a:latin typeface="Cambria Math" panose="02040503050406030204" pitchFamily="18" charset="0"/>
                  <a:sym typeface="Symbol" panose="05050102010706020507" pitchFamily="18" charset="2"/>
                </a:rPr>
                <a:t>𝑟_</a:t>
              </a:r>
              <a:r>
                <a:rPr lang="pt-PT" sz="2000" b="0" i="0">
                  <a:latin typeface="Cambria Math" panose="02040503050406030204" pitchFamily="18" charset="0"/>
                  <a:sym typeface="Symbol" panose="05050102010706020507" pitchFamily="18" charset="2"/>
                </a:rPr>
                <a:t>2 )</a:t>
              </a:r>
              <a:endParaRPr lang="en-US" sz="2000"/>
            </a:p>
          </xdr:txBody>
        </xdr:sp>
      </mc:Fallback>
    </mc:AlternateContent>
    <xdr:clientData/>
  </xdr:twoCellAnchor>
  <xdr:twoCellAnchor>
    <xdr:from>
      <xdr:col>9</xdr:col>
      <xdr:colOff>47625</xdr:colOff>
      <xdr:row>12</xdr:row>
      <xdr:rowOff>114300</xdr:rowOff>
    </xdr:from>
    <xdr:to>
      <xdr:col>12</xdr:col>
      <xdr:colOff>104598</xdr:colOff>
      <xdr:row>15</xdr:row>
      <xdr:rowOff>101094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5">
              <a:extLst>
                <a:ext uri="{FF2B5EF4-FFF2-40B4-BE49-F238E27FC236}">
                  <a16:creationId xmlns:a16="http://schemas.microsoft.com/office/drawing/2014/main" id="{513C77A1-D10D-4183-BF6E-D90F05962B10}"/>
                </a:ext>
              </a:extLst>
            </xdr:cNvPr>
            <xdr:cNvSpPr txBox="1"/>
          </xdr:nvSpPr>
          <xdr:spPr>
            <a:xfrm>
              <a:off x="7448550" y="2495550"/>
              <a:ext cx="1885773" cy="558294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txBody>
            <a:bodyPr wrap="square" rtlCol="0">
              <a:spAutoFit/>
            </a:bodyPr>
            <a:lstStyle>
              <a:defPPr>
                <a:defRPr lang="pt-P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PT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pt-PT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PT" sz="1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PT" sz="1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pt-PT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pt-PT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40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t-PT" sz="1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PT" sz="140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  <m:r>
                          <a:rPr lang="pt-PT" sz="14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PT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  <m:r>
                          <a:rPr lang="pt-PT" sz="1400" i="1">
                            <a:latin typeface="Cambria Math" panose="02040503050406030204" pitchFamily="18" charset="0"/>
                          </a:rPr>
                          <m:t>)</m:t>
                        </m:r>
                        <m:r>
                          <a:rPr lang="pt-PT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18</m:t>
                        </m:r>
                        <m:r>
                          <a:rPr lang="pt-PT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pt-PT" sz="14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13" name="CaixaDeTexto 15">
              <a:extLst>
                <a:ext uri="{FF2B5EF4-FFF2-40B4-BE49-F238E27FC236}">
                  <a16:creationId xmlns:a16="http://schemas.microsoft.com/office/drawing/2014/main" id="{513C77A1-D10D-4183-BF6E-D90F05962B10}"/>
                </a:ext>
              </a:extLst>
            </xdr:cNvPr>
            <xdr:cNvSpPr txBox="1"/>
          </xdr:nvSpPr>
          <xdr:spPr>
            <a:xfrm>
              <a:off x="7448550" y="2495550"/>
              <a:ext cx="1885773" cy="558294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txBody>
            <a:bodyPr wrap="square" rtlCol="0">
              <a:spAutoFit/>
            </a:bodyPr>
            <a:lstStyle>
              <a:defPPr>
                <a:defRPr lang="pt-P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PT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𝑢_0</a:t>
              </a:r>
              <a:r>
                <a:rPr lang="pt-PT" sz="1400" b="0" i="0">
                  <a:latin typeface="Cambria Math" panose="02040503050406030204" pitchFamily="18" charset="0"/>
                </a:rPr>
                <a:t>=</a:t>
              </a:r>
              <a:r>
                <a:rPr lang="pt-PT" sz="1400" i="0">
                  <a:latin typeface="Cambria Math" panose="02040503050406030204" pitchFamily="18" charset="0"/>
                </a:rPr>
                <a:t>(</a:t>
              </a:r>
              <a:r>
                <a:rPr lang="pt-PT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𝑑^</a:t>
              </a:r>
              <a:r>
                <a:rPr lang="pt-PT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〖</a:t>
              </a:r>
              <a:r>
                <a:rPr lang="pt-PT" sz="1400" i="0">
                  <a:latin typeface="Cambria Math" panose="02040503050406030204" pitchFamily="18" charset="0"/>
                </a:rPr>
                <a:t>(</a:t>
              </a:r>
              <a:r>
                <a:rPr lang="pt-PT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𝜌〗_</a:t>
              </a:r>
              <a:r>
                <a:rPr lang="pt-PT" sz="1400" i="0">
                  <a:latin typeface="Cambria Math" panose="02040503050406030204" pitchFamily="18" charset="0"/>
                </a:rPr>
                <a:t>𝑠−</a:t>
              </a:r>
              <a:r>
                <a:rPr lang="pt-PT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pt-PT" sz="1400" i="0">
                  <a:latin typeface="Cambria Math" panose="02040503050406030204" pitchFamily="18" charset="0"/>
                </a:rPr>
                <a:t>)</a:t>
              </a:r>
              <a:r>
                <a:rPr lang="pt-PT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𝑔)/</a:t>
              </a:r>
              <a:r>
                <a:rPr lang="pt-PT" sz="1400" b="0" i="0">
                  <a:latin typeface="Cambria Math" panose="02040503050406030204" pitchFamily="18" charset="0"/>
                </a:rPr>
                <a:t>18</a:t>
              </a:r>
              <a:r>
                <a:rPr lang="pt-PT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endParaRPr lang="pt-PT" sz="1400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>
    <xdr:from>
      <xdr:col>13</xdr:col>
      <xdr:colOff>19050</xdr:colOff>
      <xdr:row>10</xdr:row>
      <xdr:rowOff>152400</xdr:rowOff>
    </xdr:from>
    <xdr:to>
      <xdr:col>16</xdr:col>
      <xdr:colOff>273449</xdr:colOff>
      <xdr:row>14</xdr:row>
      <xdr:rowOff>28395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ixaDeTexto 23">
              <a:extLst>
                <a:ext uri="{FF2B5EF4-FFF2-40B4-BE49-F238E27FC236}">
                  <a16:creationId xmlns:a16="http://schemas.microsoft.com/office/drawing/2014/main" id="{E5BADCA3-6A5A-4396-A271-68737D50B375}"/>
                </a:ext>
              </a:extLst>
            </xdr:cNvPr>
            <xdr:cNvSpPr txBox="1"/>
          </xdr:nvSpPr>
          <xdr:spPr>
            <a:xfrm>
              <a:off x="9858375" y="2152650"/>
              <a:ext cx="2083199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txBody>
            <a:bodyPr wrap="square" rtlCol="0">
              <a:spAutoFit/>
            </a:bodyPr>
            <a:lstStyle>
              <a:defPPr>
                <a:defRPr lang="pt-P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PT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pt-PT" sz="12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PT" sz="12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PT" sz="12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20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pt-PT" sz="12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  <m:sSub>
                              <m:sSubPr>
                                <m:ctrlPr>
                                  <a:rPr lang="pt-PT" sz="12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PT" sz="120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pt-PT" sz="12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pt-PT" sz="120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  <m:r>
                              <a:rPr lang="pt-PT" sz="120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pt-PT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  <m:r>
                              <a:rPr lang="pt-PT" sz="1200" i="1">
                                <a:latin typeface="Cambria Math" panose="02040503050406030204" pitchFamily="18" charset="0"/>
                              </a:rPr>
                              <m:t>)</m:t>
                            </m:r>
                            <m:r>
                              <a:rPr lang="pt-PT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𝑔</m:t>
                            </m:r>
                          </m:num>
                          <m:den>
                            <m:r>
                              <a:rPr lang="pt-PT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PT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14" name="CaixaDeTexto 23">
              <a:extLst>
                <a:ext uri="{FF2B5EF4-FFF2-40B4-BE49-F238E27FC236}">
                  <a16:creationId xmlns:a16="http://schemas.microsoft.com/office/drawing/2014/main" id="{E5BADCA3-6A5A-4396-A271-68737D50B375}"/>
                </a:ext>
              </a:extLst>
            </xdr:cNvPr>
            <xdr:cNvSpPr txBox="1"/>
          </xdr:nvSpPr>
          <xdr:spPr>
            <a:xfrm>
              <a:off x="9858375" y="2152650"/>
              <a:ext cx="2083199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txBody>
            <a:bodyPr wrap="square" rtlCol="0">
              <a:spAutoFit/>
            </a:bodyPr>
            <a:lstStyle>
              <a:defPPr>
                <a:defRPr lang="pt-P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PT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𝑢_0</a:t>
              </a:r>
              <a:r>
                <a:rPr lang="pt-PT" sz="1200" b="0" i="0">
                  <a:latin typeface="Cambria Math" panose="02040503050406030204" pitchFamily="18" charset="0"/>
                </a:rPr>
                <a:t>=√((</a:t>
              </a:r>
              <a:r>
                <a:rPr lang="pt-PT" sz="1200" i="0">
                  <a:latin typeface="Cambria Math" panose="02040503050406030204" pitchFamily="18" charset="0"/>
                </a:rPr>
                <a:t>3𝑑〖(</a:t>
              </a:r>
              <a:r>
                <a:rPr lang="pt-PT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𝜌〗_</a:t>
              </a:r>
              <a:r>
                <a:rPr lang="pt-PT" sz="1200" i="0">
                  <a:latin typeface="Cambria Math" panose="02040503050406030204" pitchFamily="18" charset="0"/>
                </a:rPr>
                <a:t>𝑠−</a:t>
              </a:r>
              <a:r>
                <a:rPr lang="pt-PT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pt-PT" sz="1200" i="0">
                  <a:latin typeface="Cambria Math" panose="02040503050406030204" pitchFamily="18" charset="0"/>
                </a:rPr>
                <a:t>)</a:t>
              </a:r>
              <a:r>
                <a:rPr lang="pt-PT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𝑔)/𝜌</a:t>
              </a:r>
              <a:r>
                <a:rPr lang="pt-PT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pt-PT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1</xdr:col>
      <xdr:colOff>123825</xdr:colOff>
      <xdr:row>18</xdr:row>
      <xdr:rowOff>38100</xdr:rowOff>
    </xdr:from>
    <xdr:to>
      <xdr:col>3</xdr:col>
      <xdr:colOff>590550</xdr:colOff>
      <xdr:row>21</xdr:row>
      <xdr:rowOff>47625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1B856CBD-0534-4958-B0CB-3EBBAE296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" y="3562350"/>
          <a:ext cx="220027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390525</xdr:colOff>
      <xdr:row>31</xdr:row>
      <xdr:rowOff>66675</xdr:rowOff>
    </xdr:from>
    <xdr:to>
      <xdr:col>2</xdr:col>
      <xdr:colOff>790575</xdr:colOff>
      <xdr:row>35</xdr:row>
      <xdr:rowOff>85725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94DA8FCE-B9F5-450C-9A68-B7B432DF9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6448425"/>
          <a:ext cx="113347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114300</xdr:colOff>
      <xdr:row>36</xdr:row>
      <xdr:rowOff>223837</xdr:rowOff>
    </xdr:from>
    <xdr:ext cx="1361783" cy="64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594D8F19-EFE2-4022-A294-5AF85D4168F3}"/>
                </a:ext>
              </a:extLst>
            </xdr:cNvPr>
            <xdr:cNvSpPr txBox="1"/>
          </xdr:nvSpPr>
          <xdr:spPr>
            <a:xfrm>
              <a:off x="1343025" y="7634287"/>
              <a:ext cx="1361783" cy="64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20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pt-PT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t-PT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PT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pt-PT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PT" sz="20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PT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pt-PT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PT" sz="20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pt-PT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PT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pt-PT" sz="2000" b="0" i="1">
                                <a:latin typeface="Cambria Math" panose="02040503050406030204" pitchFamily="18" charset="0"/>
                              </a:rPr>
                              <m:t>𝑛𝑖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594D8F19-EFE2-4022-A294-5AF85D4168F3}"/>
                </a:ext>
              </a:extLst>
            </xdr:cNvPr>
            <xdr:cNvSpPr txBox="1"/>
          </xdr:nvSpPr>
          <xdr:spPr>
            <a:xfrm>
              <a:off x="1343025" y="7634287"/>
              <a:ext cx="1361783" cy="64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2000" b="0" i="0">
                  <a:latin typeface="Cambria Math" panose="02040503050406030204" pitchFamily="18" charset="0"/>
                </a:rPr>
                <a:t>𝑑</a:t>
              </a:r>
              <a:r>
                <a:rPr lang="en-US" sz="2000" b="0" i="0">
                  <a:latin typeface="Cambria Math" panose="02040503050406030204" pitchFamily="18" charset="0"/>
                </a:rPr>
                <a:t>_</a:t>
              </a:r>
              <a:r>
                <a:rPr lang="pt-PT" sz="2000" b="0" i="0">
                  <a:latin typeface="Cambria Math" panose="02040503050406030204" pitchFamily="18" charset="0"/>
                </a:rPr>
                <a:t>𝑛=(∑▒〖𝑛_𝑖 𝑑_𝑖 〗)/(∑▒𝑛𝑖)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1</xdr:col>
      <xdr:colOff>47625</xdr:colOff>
      <xdr:row>44</xdr:row>
      <xdr:rowOff>161925</xdr:rowOff>
    </xdr:from>
    <xdr:ext cx="1535099" cy="678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E838B398-F8AB-46B6-AF84-3FE35B928A07}"/>
                </a:ext>
              </a:extLst>
            </xdr:cNvPr>
            <xdr:cNvSpPr txBox="1"/>
          </xdr:nvSpPr>
          <xdr:spPr>
            <a:xfrm>
              <a:off x="1276350" y="9286875"/>
              <a:ext cx="1535099" cy="678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20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pt-PT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t-PT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PT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f>
                              <m:fPr>
                                <m:type m:val="lin"/>
                                <m:ctrlPr>
                                  <a:rPr lang="pt-PT" sz="20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pt-PT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PT" sz="20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PT" sz="20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Sup>
                                  <m:sSubSupPr>
                                    <m:ctrlPr>
                                      <a:rPr lang="pt-PT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pt-PT" sz="20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pt-PT" sz="20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pt-PT" sz="20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den>
                            </m:f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PT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f>
                              <m:fPr>
                                <m:type m:val="lin"/>
                                <m:ctrlPr>
                                  <a:rPr lang="pt-P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pt-P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P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P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Sup>
                                  <m:sSubSupPr>
                                    <m:ctrlPr>
                                      <a:rPr lang="pt-P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pt-P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pt-P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pt-P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p>
                                </m:sSubSup>
                              </m:den>
                            </m:f>
                          </m:e>
                        </m:nary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E838B398-F8AB-46B6-AF84-3FE35B928A07}"/>
                </a:ext>
              </a:extLst>
            </xdr:cNvPr>
            <xdr:cNvSpPr txBox="1"/>
          </xdr:nvSpPr>
          <xdr:spPr>
            <a:xfrm>
              <a:off x="1276350" y="9286875"/>
              <a:ext cx="1535099" cy="678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2000" b="0" i="0">
                  <a:latin typeface="Cambria Math" panose="02040503050406030204" pitchFamily="18" charset="0"/>
                </a:rPr>
                <a:t>𝑑</a:t>
              </a:r>
              <a:r>
                <a:rPr lang="en-US" sz="2000" b="0" i="0">
                  <a:latin typeface="Cambria Math" panose="02040503050406030204" pitchFamily="18" charset="0"/>
                </a:rPr>
                <a:t>_</a:t>
              </a:r>
              <a:r>
                <a:rPr lang="pt-PT" sz="2000" b="0" i="0">
                  <a:latin typeface="Cambria Math" panose="02040503050406030204" pitchFamily="18" charset="0"/>
                </a:rPr>
                <a:t>𝑛=(∑▒𝑥_𝑖∕𝑑_𝑖^2 )/(∑▒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𝑥_𝑖∕𝑑_𝑖^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t-PT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2000"/>
            </a:p>
          </xdr:txBody>
        </xdr:sp>
      </mc:Fallback>
    </mc:AlternateContent>
    <xdr:clientData/>
  </xdr:oneCellAnchor>
  <xdr:twoCellAnchor>
    <xdr:from>
      <xdr:col>1</xdr:col>
      <xdr:colOff>0</xdr:colOff>
      <xdr:row>50</xdr:row>
      <xdr:rowOff>0</xdr:rowOff>
    </xdr:from>
    <xdr:to>
      <xdr:col>3</xdr:col>
      <xdr:colOff>104775</xdr:colOff>
      <xdr:row>51</xdr:row>
      <xdr:rowOff>123481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ixaDeTexto 30">
              <a:extLst>
                <a:ext uri="{FF2B5EF4-FFF2-40B4-BE49-F238E27FC236}">
                  <a16:creationId xmlns:a16="http://schemas.microsoft.com/office/drawing/2014/main" id="{1F90990C-91AA-4FEA-95F8-67FF5BF046E6}"/>
                </a:ext>
              </a:extLst>
            </xdr:cNvPr>
            <xdr:cNvSpPr txBox="1"/>
          </xdr:nvSpPr>
          <xdr:spPr>
            <a:xfrm>
              <a:off x="1228725" y="10487025"/>
              <a:ext cx="1838325" cy="45685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pt-P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PT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e>
                      <m:sub>
                        <m:r>
                          <a:rPr lang="pt-PT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pt-PT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PT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pt-PT" sz="2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d>
                      <m:dPr>
                        <m:ctrlPr>
                          <a:rPr lang="pt-PT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́"/>
                            <m:ctrlPr>
                              <a:rPr lang="pt-PT" sz="20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t-PT" sz="20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e>
                        </m:acc>
                        <m:sSubSup>
                          <m:sSubSupPr>
                            <m:ctrlPr>
                              <a:rPr lang="en-GB" sz="20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t-PT" sz="20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pt-PT" sz="2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pt-PT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d>
                    <m:r>
                      <a:rPr lang="pt-PT" sz="2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2000"/>
            </a:p>
          </xdr:txBody>
        </xdr:sp>
      </mc:Choice>
      <mc:Fallback xmlns="">
        <xdr:sp macro="" textlink="">
          <xdr:nvSpPr>
            <xdr:cNvPr id="19" name="CaixaDeTexto 30">
              <a:extLst>
                <a:ext uri="{FF2B5EF4-FFF2-40B4-BE49-F238E27FC236}">
                  <a16:creationId xmlns:a16="http://schemas.microsoft.com/office/drawing/2014/main" id="{1F90990C-91AA-4FEA-95F8-67FF5BF046E6}"/>
                </a:ext>
              </a:extLst>
            </xdr:cNvPr>
            <xdr:cNvSpPr txBox="1"/>
          </xdr:nvSpPr>
          <xdr:spPr>
            <a:xfrm>
              <a:off x="1228725" y="10487025"/>
              <a:ext cx="1838325" cy="45685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pt-P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PT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𝑠_𝑖</a:t>
              </a:r>
              <a:r>
                <a:rPr lang="pt-PT" sz="2000" b="0" i="0">
                  <a:latin typeface="Cambria Math" panose="02040503050406030204" pitchFamily="18" charset="0"/>
                </a:rPr>
                <a:t>=𝑛_𝑖 (</a:t>
              </a:r>
              <a:r>
                <a:rPr lang="pt-PT" sz="20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 ́</a:t>
              </a:r>
              <a:r>
                <a:rPr lang="pt-PT" sz="2000" b="0" i="0">
                  <a:latin typeface="Cambria Math" panose="02040503050406030204" pitchFamily="18" charset="0"/>
                </a:rPr>
                <a:t>𝑑</a:t>
              </a:r>
              <a:r>
                <a:rPr lang="en-GB" sz="2000" b="0" i="0">
                  <a:latin typeface="Cambria Math" panose="02040503050406030204" pitchFamily="18" charset="0"/>
                </a:rPr>
                <a:t>_</a:t>
              </a:r>
              <a:r>
                <a:rPr lang="pt-PT" sz="2000" b="0" i="0">
                  <a:latin typeface="Cambria Math" panose="02040503050406030204" pitchFamily="18" charset="0"/>
                </a:rPr>
                <a:t>𝑖^2 )  </a:t>
              </a:r>
              <a:endParaRPr lang="en-GB" sz="2000"/>
            </a:p>
          </xdr:txBody>
        </xdr:sp>
      </mc:Fallback>
    </mc:AlternateContent>
    <xdr:clientData/>
  </xdr:twoCellAnchor>
  <xdr:twoCellAnchor>
    <xdr:from>
      <xdr:col>1</xdr:col>
      <xdr:colOff>0</xdr:colOff>
      <xdr:row>52</xdr:row>
      <xdr:rowOff>0</xdr:rowOff>
    </xdr:from>
    <xdr:to>
      <xdr:col>3</xdr:col>
      <xdr:colOff>238125</xdr:colOff>
      <xdr:row>54</xdr:row>
      <xdr:rowOff>29818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aixaDeTexto 30">
              <a:extLst>
                <a:ext uri="{FF2B5EF4-FFF2-40B4-BE49-F238E27FC236}">
                  <a16:creationId xmlns:a16="http://schemas.microsoft.com/office/drawing/2014/main" id="{E5680F62-C24A-4781-8B6B-97B9041F3DE6}"/>
                </a:ext>
              </a:extLst>
            </xdr:cNvPr>
            <xdr:cNvSpPr txBox="1"/>
          </xdr:nvSpPr>
          <xdr:spPr>
            <a:xfrm>
              <a:off x="1228725" y="11010900"/>
              <a:ext cx="1971675" cy="41081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pt-P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6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PT" sz="16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pt-PT" sz="16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pt-P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P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pt-PT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d>
                      <m:dPr>
                        <m:ctrlPr>
                          <a:rPr lang="pt-PT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  <m:acc>
                          <m:accPr>
                            <m:chr m:val="̈"/>
                            <m:ctrlPr>
                              <a:rPr lang="pt-PT" sz="18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t-PT" sz="18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𝑘</m:t>
                            </m:r>
                          </m:e>
                        </m:acc>
                        <m:sSubSup>
                          <m:sSubSupPr>
                            <m:ctrlPr>
                              <a:rPr lang="en-GB" sz="18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t-PT" sz="18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pt-PT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pt-PT" sz="18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</m:e>
                    </m:d>
                    <m:r>
                      <a:rPr lang="pt-PT" sz="18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800"/>
            </a:p>
          </xdr:txBody>
        </xdr:sp>
      </mc:Choice>
      <mc:Fallback xmlns="">
        <xdr:sp macro="" textlink="">
          <xdr:nvSpPr>
            <xdr:cNvPr id="20" name="CaixaDeTexto 30">
              <a:extLst>
                <a:ext uri="{FF2B5EF4-FFF2-40B4-BE49-F238E27FC236}">
                  <a16:creationId xmlns:a16="http://schemas.microsoft.com/office/drawing/2014/main" id="{E5680F62-C24A-4781-8B6B-97B9041F3DE6}"/>
                </a:ext>
              </a:extLst>
            </xdr:cNvPr>
            <xdr:cNvSpPr txBox="1"/>
          </xdr:nvSpPr>
          <xdr:spPr>
            <a:xfrm>
              <a:off x="1228725" y="11010900"/>
              <a:ext cx="1971675" cy="41081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pt-P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PT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</a:t>
              </a:r>
              <a:r>
                <a:rPr lang="pt-PT" sz="1800" b="0" i="0">
                  <a:latin typeface="Cambria Math" panose="02040503050406030204" pitchFamily="18" charset="0"/>
                </a:rPr>
                <a:t>=𝑛_𝑖 (</a:t>
              </a:r>
              <a:r>
                <a:rPr lang="pt-P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pt-PT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𝑘 ̈</a:t>
              </a:r>
              <a:r>
                <a:rPr lang="pt-PT" sz="1800" b="0" i="0">
                  <a:latin typeface="Cambria Math" panose="02040503050406030204" pitchFamily="18" charset="0"/>
                </a:rPr>
                <a:t>𝑑</a:t>
              </a:r>
              <a:r>
                <a:rPr lang="en-GB" sz="1800" b="0" i="0">
                  <a:latin typeface="Cambria Math" panose="02040503050406030204" pitchFamily="18" charset="0"/>
                </a:rPr>
                <a:t>_</a:t>
              </a:r>
              <a:r>
                <a:rPr lang="pt-PT" sz="1800" b="0" i="0">
                  <a:latin typeface="Cambria Math" panose="02040503050406030204" pitchFamily="18" charset="0"/>
                </a:rPr>
                <a:t>𝑖^3 )  </a:t>
              </a:r>
              <a:endParaRPr lang="en-GB" sz="1800"/>
            </a:p>
          </xdr:txBody>
        </xdr:sp>
      </mc:Fallback>
    </mc:AlternateContent>
    <xdr:clientData/>
  </xdr:twoCellAnchor>
  <xdr:twoCellAnchor>
    <xdr:from>
      <xdr:col>3</xdr:col>
      <xdr:colOff>228600</xdr:colOff>
      <xdr:row>50</xdr:row>
      <xdr:rowOff>247650</xdr:rowOff>
    </xdr:from>
    <xdr:to>
      <xdr:col>5</xdr:col>
      <xdr:colOff>466725</xdr:colOff>
      <xdr:row>53</xdr:row>
      <xdr:rowOff>105932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aixaDeTexto 30">
              <a:extLst>
                <a:ext uri="{FF2B5EF4-FFF2-40B4-BE49-F238E27FC236}">
                  <a16:creationId xmlns:a16="http://schemas.microsoft.com/office/drawing/2014/main" id="{B403A1C0-C5F7-4144-8358-F101EC0E53F4}"/>
                </a:ext>
              </a:extLst>
            </xdr:cNvPr>
            <xdr:cNvSpPr txBox="1"/>
          </xdr:nvSpPr>
          <xdr:spPr>
            <a:xfrm>
              <a:off x="3190875" y="10734675"/>
              <a:ext cx="1838325" cy="57265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pt-P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PT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e>
                      <m:sub>
                        <m:r>
                          <a:rPr lang="pt-PT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pt-PT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PT" sz="18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8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pt-PT" sz="18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pt-PT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</m:t>
                        </m:r>
                        <m:sSub>
                          <m:sSubPr>
                            <m:ctrlPr>
                              <a:rPr lang="pt-PT" sz="18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8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pt-PT" sz="18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PT" sz="18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pt-PT" sz="18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PT" sz="18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PT" sz="18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pt-PT" sz="18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/</m:t>
                            </m:r>
                            <m:sSub>
                              <m:sSubPr>
                                <m:ctrlPr>
                                  <a:rPr lang="pt-PT" sz="18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PT" sz="18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pt-PT" sz="18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  <m:r>
                      <a:rPr lang="pt-PT" sz="2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2000"/>
            </a:p>
          </xdr:txBody>
        </xdr:sp>
      </mc:Choice>
      <mc:Fallback xmlns="">
        <xdr:sp macro="" textlink="">
          <xdr:nvSpPr>
            <xdr:cNvPr id="21" name="CaixaDeTexto 30">
              <a:extLst>
                <a:ext uri="{FF2B5EF4-FFF2-40B4-BE49-F238E27FC236}">
                  <a16:creationId xmlns:a16="http://schemas.microsoft.com/office/drawing/2014/main" id="{B403A1C0-C5F7-4144-8358-F101EC0E53F4}"/>
                </a:ext>
              </a:extLst>
            </xdr:cNvPr>
            <xdr:cNvSpPr txBox="1"/>
          </xdr:nvSpPr>
          <xdr:spPr>
            <a:xfrm>
              <a:off x="3190875" y="10734675"/>
              <a:ext cx="1838325" cy="57265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pt-P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PT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𝑠_𝑖</a:t>
              </a:r>
              <a:r>
                <a:rPr lang="pt-PT" sz="2000" b="0" i="0">
                  <a:latin typeface="Cambria Math" panose="02040503050406030204" pitchFamily="18" charset="0"/>
                </a:rPr>
                <a:t>=</a:t>
              </a:r>
              <a:r>
                <a:rPr lang="pt-PT" sz="18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(𝑥_𝑖/𝑑_𝑖)/(</a:t>
              </a:r>
              <a:r>
                <a:rPr lang="pt-PT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∑▒〖</a:t>
              </a:r>
              <a:r>
                <a:rPr lang="pt-PT" sz="18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𝑥_𝑖/𝑑_𝑖</a:t>
              </a:r>
              <a:r>
                <a:rPr lang="pt-PT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r>
                <a:rPr lang="pt-PT" sz="18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t-PT" sz="20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t-PT" sz="2000" b="0" i="0">
                  <a:latin typeface="Cambria Math" panose="02040503050406030204" pitchFamily="18" charset="0"/>
                </a:rPr>
                <a:t> </a:t>
              </a:r>
              <a:endParaRPr lang="en-GB" sz="20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390525</xdr:colOff>
      <xdr:row>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BCA9EA-7294-4197-9B65-B5291F308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192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57150</xdr:colOff>
      <xdr:row>0</xdr:row>
      <xdr:rowOff>152400</xdr:rowOff>
    </xdr:from>
    <xdr:ext cx="3825727" cy="436786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EBE0207-818E-4D25-916C-7E26FC0CA775}"/>
            </a:ext>
          </a:extLst>
        </xdr:cNvPr>
        <xdr:cNvSpPr txBox="1"/>
      </xdr:nvSpPr>
      <xdr:spPr>
        <a:xfrm>
          <a:off x="2019300" y="152400"/>
          <a:ext cx="382572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MIEQB</a:t>
          </a:r>
          <a:r>
            <a:rPr lang="pt-P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– Mestrado Integrado Engenharia Química e Bioquímica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Unidade Curricular: OPERAÇÕES SÓLIDO-FLUIDO</a:t>
          </a:r>
          <a:endParaRPr lang="en-US" sz="1100"/>
        </a:p>
      </xdr:txBody>
    </xdr:sp>
    <xdr:clientData/>
  </xdr:oneCellAnchor>
  <xdr:twoCellAnchor>
    <xdr:from>
      <xdr:col>2</xdr:col>
      <xdr:colOff>9525</xdr:colOff>
      <xdr:row>19</xdr:row>
      <xdr:rowOff>152400</xdr:rowOff>
    </xdr:from>
    <xdr:to>
      <xdr:col>6</xdr:col>
      <xdr:colOff>47625</xdr:colOff>
      <xdr:row>31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C01031-5F4F-4107-9D15-57B816CD0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352423</xdr:colOff>
      <xdr:row>18</xdr:row>
      <xdr:rowOff>190499</xdr:rowOff>
    </xdr:from>
    <xdr:to>
      <xdr:col>15</xdr:col>
      <xdr:colOff>104774</xdr:colOff>
      <xdr:row>32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E68573-6487-463F-8573-0F2D064F3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390525</xdr:colOff>
      <xdr:row>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012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57150</xdr:colOff>
      <xdr:row>0</xdr:row>
      <xdr:rowOff>152400</xdr:rowOff>
    </xdr:from>
    <xdr:ext cx="3825727" cy="436786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76350" y="152400"/>
          <a:ext cx="382572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MIEQB</a:t>
          </a:r>
          <a:r>
            <a:rPr lang="pt-P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– Mestrado Integrado Engenharia Química e Bioquímica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Unidade Curricular: OPERAÇÕES SÓLIDO-FLUIDO</a:t>
          </a:r>
          <a:endParaRPr lang="en-US" sz="1100"/>
        </a:p>
      </xdr:txBody>
    </xdr:sp>
    <xdr:clientData/>
  </xdr:oneCellAnchor>
  <xdr:twoCellAnchor>
    <xdr:from>
      <xdr:col>2</xdr:col>
      <xdr:colOff>9525</xdr:colOff>
      <xdr:row>19</xdr:row>
      <xdr:rowOff>152400</xdr:rowOff>
    </xdr:from>
    <xdr:to>
      <xdr:col>6</xdr:col>
      <xdr:colOff>47625</xdr:colOff>
      <xdr:row>31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352423</xdr:colOff>
      <xdr:row>18</xdr:row>
      <xdr:rowOff>190499</xdr:rowOff>
    </xdr:from>
    <xdr:to>
      <xdr:col>15</xdr:col>
      <xdr:colOff>104774</xdr:colOff>
      <xdr:row>32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29B32-AA6F-448D-A26D-D39B859FCD7B}">
  <dimension ref="A4:P86"/>
  <sheetViews>
    <sheetView tabSelected="1" topLeftCell="A19" zoomScale="115" zoomScaleNormal="115" workbookViewId="0">
      <selection activeCell="H39" sqref="H39"/>
    </sheetView>
  </sheetViews>
  <sheetFormatPr defaultRowHeight="15" x14ac:dyDescent="0.25"/>
  <cols>
    <col min="1" max="1" width="18.42578125" customWidth="1"/>
    <col min="2" max="2" width="11" customWidth="1"/>
    <col min="3" max="3" width="15" customWidth="1"/>
    <col min="4" max="4" width="13.28515625" customWidth="1"/>
    <col min="5" max="5" width="10.7109375" customWidth="1"/>
    <col min="6" max="6" width="9.85546875" customWidth="1"/>
    <col min="7" max="7" width="10.7109375" customWidth="1"/>
    <col min="8" max="8" width="16.5703125" customWidth="1"/>
    <col min="9" max="9" width="10" bestFit="1" customWidth="1"/>
  </cols>
  <sheetData>
    <row r="4" spans="1:12" x14ac:dyDescent="0.25">
      <c r="C4" t="s">
        <v>55</v>
      </c>
    </row>
    <row r="7" spans="1:12" ht="18.75" x14ac:dyDescent="0.3">
      <c r="A7" s="38" t="s">
        <v>12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</row>
    <row r="8" spans="1:12" ht="18.75" x14ac:dyDescent="0.3">
      <c r="A8" s="38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1:12" ht="28.5" x14ac:dyDescent="0.45">
      <c r="A9" s="62" t="s">
        <v>1</v>
      </c>
      <c r="B9" s="7" t="s">
        <v>6</v>
      </c>
      <c r="C9" s="1">
        <v>2890</v>
      </c>
      <c r="D9" s="1" t="s">
        <v>7</v>
      </c>
    </row>
    <row r="10" spans="1:12" x14ac:dyDescent="0.25">
      <c r="A10" s="4"/>
      <c r="B10" s="14"/>
      <c r="C10" s="1"/>
      <c r="F10" s="1"/>
      <c r="G10" s="1"/>
      <c r="H10" s="1"/>
      <c r="I10" s="1"/>
    </row>
    <row r="11" spans="1:12" x14ac:dyDescent="0.25">
      <c r="A11" s="4"/>
      <c r="B11" s="7" t="s">
        <v>66</v>
      </c>
      <c r="C11" s="7" t="s">
        <v>69</v>
      </c>
      <c r="D11" s="2" t="s">
        <v>70</v>
      </c>
      <c r="E11" s="2" t="s">
        <v>71</v>
      </c>
      <c r="F11" s="55" t="s">
        <v>72</v>
      </c>
      <c r="G11" s="55" t="s">
        <v>68</v>
      </c>
      <c r="H11" s="55" t="s">
        <v>22</v>
      </c>
      <c r="I11" s="15"/>
    </row>
    <row r="12" spans="1:12" x14ac:dyDescent="0.25">
      <c r="A12" s="4"/>
      <c r="B12" s="48">
        <v>1</v>
      </c>
      <c r="C12" s="50">
        <f>0.00035</f>
        <v>3.5E-4</v>
      </c>
      <c r="D12" s="1">
        <v>690</v>
      </c>
      <c r="E12" s="53">
        <f>D12/$D$17</f>
        <v>0.5036496350364964</v>
      </c>
      <c r="F12" s="51">
        <f>(350+730)/2*0.000001</f>
        <v>5.4000000000000001E-4</v>
      </c>
      <c r="G12" s="56">
        <f>C12^2*($C$9-1000)*9.81/18/0.001</f>
        <v>0.12618112499999998</v>
      </c>
      <c r="H12" s="57">
        <f>1000*G12*C12/0.001</f>
        <v>44.163393749999997</v>
      </c>
      <c r="I12" s="58" t="s">
        <v>77</v>
      </c>
      <c r="J12" s="26"/>
    </row>
    <row r="13" spans="1:12" x14ac:dyDescent="0.25">
      <c r="A13" s="4"/>
      <c r="B13" s="49">
        <v>2</v>
      </c>
      <c r="C13" s="50">
        <f>0.00005</f>
        <v>5.0000000000000002E-5</v>
      </c>
      <c r="D13" s="1">
        <v>270</v>
      </c>
      <c r="E13" s="53">
        <f t="shared" ref="E13:E16" si="0">D13/$D$17</f>
        <v>0.19708029197080293</v>
      </c>
      <c r="F13" s="51">
        <f>(50+350)/2*0.000001</f>
        <v>1.9999999999999998E-4</v>
      </c>
      <c r="G13" s="52">
        <f t="shared" ref="G13:G15" si="1">C13^2*($C$9-1000)*9.81/18/0.001</f>
        <v>2.5751250000000006E-3</v>
      </c>
      <c r="H13" s="51">
        <f t="shared" ref="H13:H15" si="2">1000*G13*C13/0.001</f>
        <v>0.12875625000000004</v>
      </c>
      <c r="I13" s="28"/>
      <c r="J13" s="26"/>
    </row>
    <row r="14" spans="1:12" x14ac:dyDescent="0.25">
      <c r="B14" s="49">
        <v>3</v>
      </c>
      <c r="C14" s="50">
        <f>0.000017</f>
        <v>1.7E-5</v>
      </c>
      <c r="D14" s="1">
        <v>103</v>
      </c>
      <c r="E14" s="53">
        <f t="shared" si="0"/>
        <v>7.518248175182482E-2</v>
      </c>
      <c r="F14" s="51">
        <f>(17+50)/2*0.000001</f>
        <v>3.3500000000000001E-5</v>
      </c>
      <c r="G14" s="52">
        <f t="shared" si="1"/>
        <v>2.9768445000000004E-4</v>
      </c>
      <c r="H14" s="51">
        <f t="shared" si="2"/>
        <v>5.0606356500000008E-3</v>
      </c>
      <c r="I14" s="28"/>
      <c r="K14" s="26"/>
    </row>
    <row r="15" spans="1:12" x14ac:dyDescent="0.25">
      <c r="B15" s="49">
        <v>4</v>
      </c>
      <c r="C15" s="50">
        <v>2.7E-6</v>
      </c>
      <c r="D15" s="1">
        <v>61</v>
      </c>
      <c r="E15" s="53">
        <f t="shared" si="0"/>
        <v>4.4525547445255477E-2</v>
      </c>
      <c r="F15" s="51">
        <f>(2.7+17)/2*0.000001</f>
        <v>9.8499999999999989E-6</v>
      </c>
      <c r="G15" s="52">
        <f t="shared" si="1"/>
        <v>7.5090645000000002E-6</v>
      </c>
      <c r="H15" s="51">
        <f t="shared" si="2"/>
        <v>2.0274474149999997E-5</v>
      </c>
      <c r="I15" s="28"/>
      <c r="K15" s="26"/>
      <c r="L15" s="6"/>
    </row>
    <row r="16" spans="1:12" x14ac:dyDescent="0.25">
      <c r="A16" s="4"/>
      <c r="B16" s="13" t="s">
        <v>67</v>
      </c>
      <c r="C16" s="50"/>
      <c r="D16" s="54">
        <f>1370-SUM(D12:D15)</f>
        <v>246</v>
      </c>
      <c r="E16" s="53">
        <f t="shared" si="0"/>
        <v>0.17956204379562044</v>
      </c>
      <c r="F16" s="51">
        <f>0.0000027/2</f>
        <v>1.35E-6</v>
      </c>
      <c r="G16" s="30"/>
      <c r="H16" s="28"/>
      <c r="I16" s="28"/>
      <c r="K16" s="26"/>
    </row>
    <row r="17" spans="1:13" x14ac:dyDescent="0.25">
      <c r="A17" s="4"/>
      <c r="B17" s="13"/>
      <c r="C17" s="13"/>
      <c r="D17" s="54">
        <f>SUM(D12:D16)</f>
        <v>1370</v>
      </c>
      <c r="E17" s="54">
        <f>SUM(E12:E16)</f>
        <v>1</v>
      </c>
      <c r="F17" s="27"/>
      <c r="G17" s="30"/>
      <c r="H17" s="28"/>
      <c r="I17" s="28"/>
      <c r="K17" s="26"/>
    </row>
    <row r="18" spans="1:13" x14ac:dyDescent="0.25">
      <c r="A18" s="4"/>
      <c r="B18" s="8"/>
      <c r="C18" s="13"/>
      <c r="D18" s="40"/>
      <c r="E18" s="40"/>
      <c r="F18" s="11"/>
      <c r="G18" s="23"/>
      <c r="J18" s="26"/>
    </row>
    <row r="19" spans="1:13" x14ac:dyDescent="0.25">
      <c r="B19" s="9"/>
      <c r="C19" s="8"/>
      <c r="D19" s="9"/>
      <c r="E19" s="9"/>
      <c r="F19" s="59" t="s">
        <v>73</v>
      </c>
      <c r="G19" s="7" t="s">
        <v>74</v>
      </c>
      <c r="H19" s="2" t="s">
        <v>22</v>
      </c>
      <c r="I19" s="7" t="s">
        <v>75</v>
      </c>
    </row>
    <row r="20" spans="1:13" x14ac:dyDescent="0.25">
      <c r="A20" s="4" t="s">
        <v>76</v>
      </c>
      <c r="B20" s="10"/>
      <c r="C20" s="11"/>
      <c r="D20" s="9"/>
      <c r="E20" s="11">
        <f>2*C12^3*(C9-1000)*1000*9.81/3/0.001/0.001</f>
        <v>529.96072499999991</v>
      </c>
      <c r="F20" s="11">
        <f>LOG10(E20)</f>
        <v>2.7242436855483381</v>
      </c>
      <c r="G20" s="1">
        <v>1.2729999999999999</v>
      </c>
      <c r="H20">
        <f>10^G20</f>
        <v>18.749945080674191</v>
      </c>
      <c r="I20" s="60">
        <f>H20*0.001/1000/C12</f>
        <v>5.3571271659069115E-2</v>
      </c>
      <c r="J20" s="61" t="s">
        <v>11</v>
      </c>
      <c r="K20" t="s">
        <v>79</v>
      </c>
    </row>
    <row r="21" spans="1:13" x14ac:dyDescent="0.25">
      <c r="A21" s="41"/>
      <c r="B21" s="42"/>
      <c r="C21" s="43"/>
      <c r="D21" s="41"/>
      <c r="E21" s="41"/>
      <c r="F21" s="41"/>
      <c r="G21" s="44" t="s">
        <v>78</v>
      </c>
      <c r="H21" s="41"/>
      <c r="I21" s="41"/>
      <c r="J21" s="41"/>
      <c r="K21" s="41"/>
      <c r="L21" s="41"/>
      <c r="M21" s="41"/>
    </row>
    <row r="22" spans="1:13" x14ac:dyDescent="0.25">
      <c r="A22" s="41"/>
      <c r="B22" s="42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</row>
    <row r="23" spans="1:13" x14ac:dyDescent="0.25">
      <c r="A23" s="45"/>
      <c r="B23" s="42"/>
      <c r="C23" s="43"/>
      <c r="D23" s="41"/>
      <c r="E23" s="41"/>
      <c r="F23" s="41"/>
      <c r="G23" s="41"/>
      <c r="H23" s="41"/>
      <c r="I23" s="41"/>
      <c r="J23" s="41"/>
      <c r="K23" s="41"/>
      <c r="L23" s="41"/>
      <c r="M23" s="41"/>
    </row>
    <row r="24" spans="1:13" ht="31.5" x14ac:dyDescent="0.5">
      <c r="A24" s="63" t="s">
        <v>2</v>
      </c>
      <c r="B24" s="42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</row>
    <row r="25" spans="1:13" x14ac:dyDescent="0.25">
      <c r="A25" s="45"/>
      <c r="B25" s="46" t="str">
        <f>E11</f>
        <v>x[w/w]</v>
      </c>
      <c r="C25" s="41" t="s">
        <v>80</v>
      </c>
      <c r="D25" s="67" t="s">
        <v>81</v>
      </c>
      <c r="E25" s="43" t="s">
        <v>57</v>
      </c>
      <c r="F25" s="41" t="s">
        <v>58</v>
      </c>
      <c r="G25" s="41" t="s">
        <v>56</v>
      </c>
      <c r="H25" s="41" t="s">
        <v>85</v>
      </c>
      <c r="I25" s="41"/>
      <c r="J25" s="41"/>
      <c r="K25" s="41"/>
      <c r="L25" s="41"/>
      <c r="M25" s="41"/>
    </row>
    <row r="26" spans="1:13" x14ac:dyDescent="0.25">
      <c r="A26" s="41"/>
      <c r="B26" s="65">
        <f t="shared" ref="B26:B30" si="3">E12</f>
        <v>0.5036496350364964</v>
      </c>
      <c r="C26" s="64">
        <f>F12*1000000</f>
        <v>540</v>
      </c>
      <c r="D26" s="41">
        <f>B26*C26</f>
        <v>271.97080291970804</v>
      </c>
      <c r="E26" s="41">
        <f>B26/C26/C26</f>
        <v>1.727193535790454E-6</v>
      </c>
      <c r="F26" s="41">
        <f>B26/C26/C26/C26</f>
        <v>3.1985065477601E-9</v>
      </c>
      <c r="G26" s="41">
        <f>B26/C26</f>
        <v>9.3268450932684516E-4</v>
      </c>
      <c r="H26" s="41">
        <v>1</v>
      </c>
      <c r="I26" s="41"/>
      <c r="J26" s="41"/>
      <c r="K26" s="41"/>
      <c r="L26" s="41"/>
      <c r="M26" s="41"/>
    </row>
    <row r="27" spans="1:13" x14ac:dyDescent="0.25">
      <c r="A27" s="41"/>
      <c r="B27" s="65">
        <f t="shared" si="3"/>
        <v>0.19708029197080293</v>
      </c>
      <c r="C27" s="64">
        <f t="shared" ref="C27:C30" si="4">F13*1000000</f>
        <v>199.99999999999997</v>
      </c>
      <c r="D27" s="41">
        <f t="shared" ref="D27:D30" si="5">B27*C27</f>
        <v>39.416058394160579</v>
      </c>
      <c r="E27" s="41">
        <f t="shared" ref="E27:E30" si="6">B27/C27/C27</f>
        <v>4.9270072992700747E-6</v>
      </c>
      <c r="F27" s="41">
        <f t="shared" ref="F27:F30" si="7">B27/C27/C27/C27</f>
        <v>2.4635036496350375E-8</v>
      </c>
      <c r="G27" s="41">
        <f t="shared" ref="G27:G30" si="8">B27/C27</f>
        <v>9.8540145985401479E-4</v>
      </c>
      <c r="H27" s="41">
        <v>2</v>
      </c>
      <c r="I27" s="41"/>
      <c r="J27" s="41"/>
      <c r="K27" s="41"/>
      <c r="L27" s="41"/>
      <c r="M27" s="41"/>
    </row>
    <row r="28" spans="1:13" x14ac:dyDescent="0.25">
      <c r="A28" s="41"/>
      <c r="B28" s="65">
        <f t="shared" si="3"/>
        <v>7.518248175182482E-2</v>
      </c>
      <c r="C28" s="64">
        <f t="shared" si="4"/>
        <v>33.5</v>
      </c>
      <c r="D28" s="41">
        <f t="shared" si="5"/>
        <v>2.5186131386861317</v>
      </c>
      <c r="E28" s="41">
        <f t="shared" si="6"/>
        <v>6.6992632436466761E-5</v>
      </c>
      <c r="F28" s="41">
        <f t="shared" si="7"/>
        <v>1.9997800727303512E-6</v>
      </c>
      <c r="G28" s="41">
        <f t="shared" si="8"/>
        <v>2.2442531866216364E-3</v>
      </c>
      <c r="H28" s="41">
        <v>3</v>
      </c>
      <c r="I28" s="41"/>
      <c r="J28" s="41"/>
      <c r="K28" s="41"/>
      <c r="L28" s="41"/>
      <c r="M28" s="41"/>
    </row>
    <row r="29" spans="1:13" x14ac:dyDescent="0.25">
      <c r="A29" s="41"/>
      <c r="B29" s="65">
        <f t="shared" si="3"/>
        <v>4.4525547445255477E-2</v>
      </c>
      <c r="C29" s="64">
        <f t="shared" si="4"/>
        <v>9.85</v>
      </c>
      <c r="D29" s="41">
        <f t="shared" si="5"/>
        <v>0.43857664233576643</v>
      </c>
      <c r="E29" s="41">
        <f t="shared" si="6"/>
        <v>4.5891981185040045E-4</v>
      </c>
      <c r="F29" s="41">
        <f t="shared" si="7"/>
        <v>4.6590843842680254E-5</v>
      </c>
      <c r="G29" s="41">
        <f t="shared" si="8"/>
        <v>4.5203601467264445E-3</v>
      </c>
      <c r="H29" s="41">
        <v>4</v>
      </c>
      <c r="I29" s="41"/>
      <c r="J29" s="41"/>
      <c r="K29" s="41"/>
      <c r="L29" s="41"/>
      <c r="M29" s="41"/>
    </row>
    <row r="30" spans="1:13" x14ac:dyDescent="0.25">
      <c r="A30" s="41"/>
      <c r="B30" s="65">
        <f t="shared" si="3"/>
        <v>0.17956204379562044</v>
      </c>
      <c r="C30" s="64">
        <f t="shared" si="4"/>
        <v>1.35</v>
      </c>
      <c r="D30" s="41">
        <f t="shared" si="5"/>
        <v>0.2424087591240876</v>
      </c>
      <c r="E30" s="41">
        <f t="shared" si="6"/>
        <v>9.852512691117718E-2</v>
      </c>
      <c r="F30" s="41">
        <f t="shared" si="7"/>
        <v>7.2981575489760864E-2</v>
      </c>
      <c r="G30" s="41">
        <f t="shared" si="8"/>
        <v>0.13300892133008921</v>
      </c>
      <c r="H30" s="41" t="s">
        <v>86</v>
      </c>
      <c r="I30" s="41"/>
      <c r="J30" s="41"/>
      <c r="K30" s="41"/>
      <c r="L30" s="41"/>
      <c r="M30" s="41"/>
    </row>
    <row r="31" spans="1:13" x14ac:dyDescent="0.25">
      <c r="A31" s="41"/>
      <c r="B31" s="66">
        <f>SUM(B26:B30)</f>
        <v>1</v>
      </c>
      <c r="C31" s="41"/>
      <c r="D31" s="45">
        <f>SUM(D26:D30)</f>
        <v>314.58645985401461</v>
      </c>
      <c r="E31" s="45">
        <f t="shared" ref="E31:G31" si="9">SUM(E26:E30)</f>
        <v>9.9057693556299106E-2</v>
      </c>
      <c r="F31" s="45">
        <f t="shared" si="9"/>
        <v>7.3030193947219324E-2</v>
      </c>
      <c r="G31" s="45">
        <f t="shared" si="9"/>
        <v>0.14169162063261814</v>
      </c>
      <c r="H31" s="41"/>
      <c r="I31" s="41"/>
      <c r="J31" s="41"/>
      <c r="K31" s="41"/>
      <c r="L31" s="41"/>
      <c r="M31" s="41"/>
    </row>
    <row r="32" spans="1:13" x14ac:dyDescent="0.25">
      <c r="A32" s="41"/>
      <c r="B32" s="46"/>
      <c r="C32" s="45"/>
      <c r="D32" s="45"/>
      <c r="E32" s="45"/>
      <c r="F32" s="41"/>
      <c r="G32" s="41"/>
      <c r="H32" s="41"/>
      <c r="I32" s="41"/>
      <c r="J32" s="41"/>
      <c r="K32" s="41"/>
      <c r="L32" s="41"/>
      <c r="M32" s="41"/>
    </row>
    <row r="33" spans="1:16" x14ac:dyDescent="0.25">
      <c r="A33" s="41"/>
      <c r="B33" s="41"/>
      <c r="C33" s="45"/>
      <c r="D33" s="45"/>
      <c r="E33" s="45"/>
      <c r="F33" s="41"/>
      <c r="G33" s="41"/>
      <c r="H33" s="41"/>
      <c r="I33" s="41"/>
      <c r="J33" s="41"/>
      <c r="K33" s="41"/>
      <c r="L33" s="41"/>
      <c r="M33" s="41"/>
    </row>
    <row r="34" spans="1:16" ht="21" x14ac:dyDescent="0.35">
      <c r="A34" s="45"/>
      <c r="B34" s="45" t="s">
        <v>82</v>
      </c>
      <c r="C34" s="41"/>
      <c r="D34" s="41" t="s">
        <v>83</v>
      </c>
      <c r="E34" s="68">
        <f>D31/B31</f>
        <v>314.58645985401461</v>
      </c>
      <c r="F34" s="69" t="s">
        <v>84</v>
      </c>
      <c r="G34" s="41"/>
      <c r="H34" s="41"/>
      <c r="I34" s="41"/>
      <c r="J34" s="41"/>
      <c r="K34" s="41"/>
      <c r="L34" s="41"/>
      <c r="M34" s="41"/>
    </row>
    <row r="35" spans="1:16" x14ac:dyDescent="0.2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</row>
    <row r="36" spans="1:16" x14ac:dyDescent="0.2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</row>
    <row r="37" spans="1:16" ht="26.25" x14ac:dyDescent="0.4">
      <c r="A37" s="70" t="s">
        <v>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</row>
    <row r="38" spans="1:16" x14ac:dyDescent="0.2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</row>
    <row r="39" spans="1:16" ht="18.75" x14ac:dyDescent="0.3">
      <c r="A39" s="47"/>
      <c r="B39" s="31"/>
      <c r="C39" s="31"/>
      <c r="D39" s="9"/>
      <c r="E39" s="9"/>
      <c r="F39" s="9"/>
      <c r="G39" s="31"/>
      <c r="H39" s="31"/>
      <c r="I39" s="31"/>
      <c r="J39" s="41"/>
      <c r="K39" s="41"/>
      <c r="L39" s="41"/>
      <c r="M39" s="41"/>
      <c r="N39" s="41"/>
      <c r="O39" s="41"/>
      <c r="P39" s="41"/>
    </row>
    <row r="40" spans="1:16" x14ac:dyDescent="0.25">
      <c r="A40" s="31"/>
      <c r="B40" s="31"/>
      <c r="C40" s="32"/>
      <c r="D40" s="8"/>
      <c r="E40" s="8"/>
      <c r="F40" s="8"/>
      <c r="G40" s="31"/>
      <c r="H40" s="31"/>
      <c r="I40" s="31"/>
    </row>
    <row r="41" spans="1:16" x14ac:dyDescent="0.25">
      <c r="A41" s="31"/>
      <c r="B41" s="31"/>
      <c r="C41" s="31"/>
      <c r="D41" s="32"/>
      <c r="E41" s="32"/>
      <c r="F41" s="32"/>
      <c r="G41" s="31"/>
      <c r="H41" s="31"/>
      <c r="I41" s="31"/>
    </row>
    <row r="42" spans="1:16" x14ac:dyDescent="0.25">
      <c r="A42" s="31"/>
      <c r="B42" s="31"/>
      <c r="C42" s="31"/>
      <c r="D42" s="32"/>
      <c r="E42" s="32"/>
      <c r="F42" s="32"/>
      <c r="G42" s="31"/>
      <c r="H42" s="31"/>
      <c r="I42" s="31"/>
    </row>
    <row r="43" spans="1:16" x14ac:dyDescent="0.25">
      <c r="A43" s="31"/>
      <c r="B43" s="31"/>
      <c r="C43" s="33"/>
      <c r="D43" s="32"/>
      <c r="E43" s="32"/>
      <c r="F43" s="32"/>
      <c r="G43" s="31"/>
      <c r="H43" s="31"/>
      <c r="I43" s="31"/>
    </row>
    <row r="44" spans="1:16" x14ac:dyDescent="0.25">
      <c r="A44" s="31"/>
      <c r="B44" s="31"/>
      <c r="C44" s="33"/>
      <c r="D44" s="32"/>
      <c r="E44" s="32"/>
      <c r="F44" s="32"/>
      <c r="G44" s="31"/>
      <c r="H44" s="31"/>
      <c r="I44" s="31"/>
    </row>
    <row r="45" spans="1:16" x14ac:dyDescent="0.25">
      <c r="A45" s="31"/>
      <c r="B45" s="41"/>
      <c r="C45" s="31"/>
      <c r="D45" s="32"/>
      <c r="E45" s="32"/>
      <c r="F45" s="31"/>
      <c r="G45" s="31"/>
      <c r="H45" s="31"/>
      <c r="I45" s="31"/>
      <c r="J45" s="41"/>
      <c r="K45" s="41"/>
      <c r="L45" s="41"/>
    </row>
    <row r="46" spans="1:16" ht="21" x14ac:dyDescent="0.35">
      <c r="A46" s="31"/>
      <c r="B46" s="71"/>
      <c r="C46" s="71"/>
      <c r="D46" s="31"/>
      <c r="E46" s="31"/>
      <c r="F46" s="31"/>
      <c r="G46" s="31"/>
      <c r="H46" s="31"/>
      <c r="I46" s="31"/>
      <c r="J46" s="41"/>
      <c r="K46" s="41"/>
      <c r="L46" s="41"/>
    </row>
    <row r="47" spans="1:16" ht="26.25" x14ac:dyDescent="0.4">
      <c r="A47" s="31"/>
      <c r="B47" s="31"/>
      <c r="C47" s="31"/>
      <c r="D47" t="s">
        <v>83</v>
      </c>
      <c r="E47" s="73">
        <f>E31/F31</f>
        <v>1.3563936805082359</v>
      </c>
      <c r="F47" s="74" t="s">
        <v>84</v>
      </c>
      <c r="G47" s="31"/>
      <c r="H47" s="31"/>
      <c r="I47" s="31"/>
      <c r="J47" s="41"/>
      <c r="K47" s="41"/>
      <c r="L47" s="41"/>
    </row>
    <row r="48" spans="1:16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41"/>
      <c r="K48" s="41"/>
      <c r="L48" s="41"/>
    </row>
    <row r="49" spans="1:12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41"/>
      <c r="K49" s="41"/>
      <c r="L49" s="41"/>
    </row>
    <row r="50" spans="1:12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41"/>
      <c r="K50" s="41"/>
      <c r="L50" s="41"/>
    </row>
    <row r="51" spans="1:12" ht="26.25" x14ac:dyDescent="0.4">
      <c r="A51" s="74" t="s">
        <v>18</v>
      </c>
      <c r="B51" s="31"/>
      <c r="C51" s="31"/>
      <c r="D51" s="31"/>
      <c r="E51" s="31"/>
      <c r="F51" s="31"/>
      <c r="G51" s="31"/>
      <c r="H51" s="31"/>
      <c r="I51" s="31"/>
      <c r="J51" s="41"/>
      <c r="K51" s="41"/>
      <c r="L51" s="41"/>
    </row>
    <row r="52" spans="1:12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41"/>
      <c r="K52" s="41"/>
      <c r="L52" s="41"/>
    </row>
    <row r="53" spans="1:12" ht="23.25" x14ac:dyDescent="0.35">
      <c r="A53" s="31"/>
      <c r="B53" s="31"/>
      <c r="C53" s="31"/>
      <c r="D53" s="31"/>
      <c r="E53" s="31"/>
      <c r="F53" s="31"/>
      <c r="G53" s="31" t="s">
        <v>83</v>
      </c>
      <c r="H53" s="76">
        <f>G28/G31</f>
        <v>1.5838997229346376E-2</v>
      </c>
      <c r="I53" s="31"/>
      <c r="J53" s="41"/>
      <c r="K53" s="41"/>
      <c r="L53" s="41"/>
    </row>
    <row r="54" spans="1:12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41"/>
      <c r="K54" s="41"/>
      <c r="L54" s="41"/>
    </row>
    <row r="55" spans="1:12" ht="18.75" x14ac:dyDescent="0.3">
      <c r="A55" s="38" t="s">
        <v>87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</row>
    <row r="56" spans="1:12" ht="18.75" x14ac:dyDescent="0.3">
      <c r="A56" s="38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</row>
    <row r="57" spans="1:12" x14ac:dyDescent="0.25">
      <c r="A57" s="31"/>
      <c r="B57" s="31"/>
      <c r="C57" s="31"/>
      <c r="D57" s="31"/>
      <c r="E57" s="31"/>
      <c r="F57" s="31"/>
      <c r="G57" s="31"/>
      <c r="H57" s="31"/>
      <c r="I57" s="31"/>
    </row>
    <row r="58" spans="1:12" ht="26.25" x14ac:dyDescent="0.4">
      <c r="A58" s="74" t="s">
        <v>1</v>
      </c>
      <c r="B58" s="31" t="s">
        <v>59</v>
      </c>
      <c r="C58" s="31">
        <v>1</v>
      </c>
      <c r="D58" s="31"/>
      <c r="E58" s="31"/>
      <c r="F58" s="31"/>
      <c r="G58" s="31"/>
      <c r="H58" s="31"/>
      <c r="I58" s="31"/>
    </row>
    <row r="59" spans="1:12" x14ac:dyDescent="0.25">
      <c r="A59" s="31"/>
      <c r="B59" s="31" t="s">
        <v>65</v>
      </c>
      <c r="C59" s="34">
        <f>0.035/2</f>
        <v>1.7500000000000002E-2</v>
      </c>
      <c r="D59" s="34" t="s">
        <v>64</v>
      </c>
      <c r="E59" s="34"/>
      <c r="F59" s="31"/>
      <c r="G59" s="31"/>
      <c r="H59" s="31"/>
      <c r="I59" s="31"/>
    </row>
    <row r="60" spans="1:12" x14ac:dyDescent="0.25">
      <c r="A60" s="31"/>
      <c r="B60" s="31" t="s">
        <v>60</v>
      </c>
      <c r="C60" s="31">
        <v>31</v>
      </c>
      <c r="D60" s="31" t="s">
        <v>61</v>
      </c>
      <c r="E60" s="31"/>
      <c r="F60" s="31"/>
      <c r="G60" s="31"/>
      <c r="H60" s="31"/>
      <c r="I60" s="31"/>
    </row>
    <row r="61" spans="1:12" x14ac:dyDescent="0.25">
      <c r="A61" s="31"/>
      <c r="B61" s="31" t="s">
        <v>62</v>
      </c>
      <c r="C61" s="31">
        <f>COS(C60/90*PI()/2)</f>
        <v>0.85716730070211233</v>
      </c>
      <c r="D61" s="34"/>
      <c r="E61" s="34"/>
      <c r="F61" s="31"/>
      <c r="G61" s="31"/>
      <c r="H61" s="31"/>
      <c r="I61" s="31"/>
    </row>
    <row r="62" spans="1:12" x14ac:dyDescent="0.25">
      <c r="A62" s="31"/>
      <c r="B62" s="31" t="s">
        <v>63</v>
      </c>
      <c r="C62" s="34">
        <f>(C61*(C58+C59)-C58)*2</f>
        <v>-0.25566454307120123</v>
      </c>
      <c r="D62" s="34" t="s">
        <v>3</v>
      </c>
      <c r="E62" s="34"/>
      <c r="F62" s="31"/>
      <c r="G62" s="31"/>
      <c r="H62" s="31"/>
      <c r="I62" s="31"/>
    </row>
    <row r="63" spans="1:12" x14ac:dyDescent="0.25">
      <c r="A63" s="31"/>
      <c r="B63" s="31"/>
      <c r="C63" s="39">
        <f>C62*1000</f>
        <v>-255.66454307120122</v>
      </c>
      <c r="D63" s="39" t="s">
        <v>15</v>
      </c>
      <c r="E63" s="39"/>
      <c r="F63" s="31"/>
      <c r="G63" s="31"/>
      <c r="H63" s="31"/>
      <c r="I63" s="31"/>
    </row>
    <row r="64" spans="1:12" ht="18.75" x14ac:dyDescent="0.3">
      <c r="A64" s="31"/>
      <c r="B64" s="31" t="s">
        <v>88</v>
      </c>
      <c r="C64" s="72">
        <f>ABS(C63)</f>
        <v>255.66454307120122</v>
      </c>
      <c r="D64" s="34" t="s">
        <v>15</v>
      </c>
      <c r="E64" s="31"/>
      <c r="F64" s="31"/>
      <c r="G64" s="31"/>
      <c r="H64" s="31"/>
      <c r="I64" s="31"/>
    </row>
    <row r="65" spans="1:9" x14ac:dyDescent="0.25">
      <c r="A65" s="31"/>
      <c r="B65" s="31"/>
      <c r="C65" s="31"/>
      <c r="D65" s="34"/>
      <c r="E65" s="34"/>
      <c r="F65" s="31"/>
      <c r="G65" s="31"/>
      <c r="H65" s="31"/>
      <c r="I65" s="31"/>
    </row>
    <row r="66" spans="1:9" x14ac:dyDescent="0.25">
      <c r="A66" s="31"/>
      <c r="B66" s="31"/>
      <c r="C66" s="31"/>
      <c r="D66" s="31"/>
      <c r="E66" s="31"/>
      <c r="F66" s="31"/>
      <c r="G66" s="31"/>
      <c r="H66" s="31"/>
      <c r="I66" s="31"/>
    </row>
    <row r="67" spans="1:9" x14ac:dyDescent="0.25">
      <c r="A67" s="31"/>
      <c r="B67" s="31"/>
      <c r="C67" s="31"/>
      <c r="D67" s="31"/>
      <c r="E67" s="31"/>
      <c r="F67" s="31"/>
      <c r="G67" s="31"/>
      <c r="H67" s="31"/>
      <c r="I67" s="31"/>
    </row>
    <row r="68" spans="1:9" ht="18.75" x14ac:dyDescent="0.3">
      <c r="A68" s="75" t="s">
        <v>2</v>
      </c>
      <c r="B68" s="31" t="s">
        <v>89</v>
      </c>
      <c r="C68" s="31">
        <v>2</v>
      </c>
      <c r="D68" s="31" t="s">
        <v>90</v>
      </c>
      <c r="E68" s="31"/>
      <c r="F68" s="31"/>
      <c r="G68" s="31"/>
      <c r="H68" s="31"/>
      <c r="I68" s="31"/>
    </row>
    <row r="69" spans="1:9" x14ac:dyDescent="0.25">
      <c r="A69" s="31"/>
      <c r="B69" s="31"/>
      <c r="C69" s="35">
        <f>C68*PI()*C58*2</f>
        <v>12.566370614359172</v>
      </c>
      <c r="D69" s="36" t="s">
        <v>11</v>
      </c>
      <c r="E69" s="36"/>
      <c r="F69" s="35"/>
      <c r="G69" s="31"/>
      <c r="H69" s="31"/>
      <c r="I69" s="31"/>
    </row>
    <row r="70" spans="1:9" x14ac:dyDescent="0.25">
      <c r="A70" s="31"/>
      <c r="B70" s="31" t="s">
        <v>63</v>
      </c>
      <c r="C70" s="31">
        <f>C64/1000</f>
        <v>0.25566454307120123</v>
      </c>
      <c r="D70" s="31" t="s">
        <v>3</v>
      </c>
      <c r="E70" s="31"/>
      <c r="F70" s="31"/>
      <c r="G70" s="31"/>
      <c r="H70" s="31"/>
      <c r="I70" s="31"/>
    </row>
    <row r="71" spans="1:9" x14ac:dyDescent="0.25">
      <c r="A71" s="31"/>
      <c r="B71" s="31" t="s">
        <v>92</v>
      </c>
      <c r="C71" s="31">
        <v>0.8</v>
      </c>
      <c r="D71" s="31" t="s">
        <v>3</v>
      </c>
      <c r="E71" s="31"/>
      <c r="F71" s="31"/>
      <c r="G71" s="31"/>
      <c r="H71" s="31"/>
      <c r="I71" s="31"/>
    </row>
    <row r="72" spans="1:9" x14ac:dyDescent="0.25">
      <c r="A72" s="31"/>
      <c r="B72" s="31" t="s">
        <v>93</v>
      </c>
      <c r="C72" s="31">
        <v>0.09</v>
      </c>
      <c r="D72" s="31"/>
      <c r="E72" s="31"/>
      <c r="F72" s="31"/>
      <c r="G72" s="31"/>
      <c r="H72" s="31"/>
      <c r="I72" s="31"/>
    </row>
    <row r="73" spans="1:9" x14ac:dyDescent="0.25">
      <c r="A73" s="31"/>
      <c r="B73" s="31" t="s">
        <v>26</v>
      </c>
      <c r="C73" s="31">
        <v>7700</v>
      </c>
      <c r="D73" s="31" t="s">
        <v>94</v>
      </c>
      <c r="E73" s="31"/>
      <c r="F73" s="31"/>
      <c r="G73" s="31"/>
      <c r="H73" s="31"/>
      <c r="I73" s="31"/>
    </row>
    <row r="74" spans="1:9" x14ac:dyDescent="0.25">
      <c r="A74" s="31"/>
      <c r="B74" s="31" t="s">
        <v>91</v>
      </c>
      <c r="C74" s="31">
        <f>C72*C69*C70*C71*1870</f>
        <v>432.56808001534762</v>
      </c>
      <c r="D74" s="31" t="s">
        <v>4</v>
      </c>
      <c r="E74" s="31"/>
      <c r="F74" s="31"/>
      <c r="G74" s="31"/>
      <c r="H74" s="31"/>
      <c r="I74" s="31"/>
    </row>
    <row r="75" spans="1:9" x14ac:dyDescent="0.25">
      <c r="A75" s="31"/>
      <c r="B75" s="31" t="s">
        <v>44</v>
      </c>
      <c r="C75" s="77">
        <f>C74*C73/1000</f>
        <v>3330.7742161181764</v>
      </c>
      <c r="D75" s="31" t="s">
        <v>95</v>
      </c>
      <c r="E75" s="31"/>
      <c r="F75" s="31"/>
      <c r="G75" s="31"/>
      <c r="H75" s="31"/>
      <c r="I75" s="31"/>
    </row>
    <row r="76" spans="1:9" x14ac:dyDescent="0.25">
      <c r="A76" s="31"/>
      <c r="B76" s="31"/>
      <c r="C76" s="31"/>
      <c r="D76" s="31"/>
      <c r="E76" s="31"/>
      <c r="F76" s="31"/>
      <c r="G76" s="31"/>
      <c r="H76" s="31"/>
      <c r="I76" s="31"/>
    </row>
    <row r="77" spans="1:9" x14ac:dyDescent="0.25">
      <c r="A77" s="35" t="s">
        <v>5</v>
      </c>
      <c r="B77" s="31" t="s">
        <v>96</v>
      </c>
      <c r="C77" s="31">
        <f>C75*2</f>
        <v>6661.5484322363527</v>
      </c>
      <c r="D77" s="31" t="s">
        <v>45</v>
      </c>
      <c r="E77" s="31"/>
      <c r="F77" s="31"/>
      <c r="G77" s="31"/>
      <c r="H77" s="31"/>
      <c r="I77" s="31"/>
    </row>
    <row r="78" spans="1:9" x14ac:dyDescent="0.25">
      <c r="A78" s="31"/>
      <c r="B78" s="31"/>
      <c r="C78" s="31"/>
      <c r="D78" s="31"/>
      <c r="E78" s="31"/>
      <c r="F78" s="31"/>
      <c r="G78" s="31"/>
      <c r="H78" s="31"/>
      <c r="I78" s="31"/>
    </row>
    <row r="79" spans="1:9" x14ac:dyDescent="0.25">
      <c r="A79" s="31"/>
      <c r="B79" s="31"/>
      <c r="C79" s="31"/>
      <c r="D79" s="31"/>
      <c r="E79" s="31"/>
      <c r="F79" s="31"/>
      <c r="G79" s="31"/>
      <c r="H79" s="31"/>
      <c r="I79" s="31"/>
    </row>
    <row r="80" spans="1:9" x14ac:dyDescent="0.25">
      <c r="A80" s="31"/>
      <c r="B80" s="31"/>
      <c r="C80" s="31"/>
      <c r="D80" s="31"/>
      <c r="E80" s="31"/>
      <c r="F80" s="31"/>
      <c r="G80" s="31"/>
      <c r="H80" s="31"/>
      <c r="I80" s="31"/>
    </row>
    <row r="81" spans="1:9" x14ac:dyDescent="0.25">
      <c r="A81" s="31"/>
      <c r="B81" s="31"/>
      <c r="C81" s="31"/>
      <c r="D81" s="31"/>
      <c r="E81" s="31"/>
      <c r="F81" s="31"/>
      <c r="G81" s="31"/>
      <c r="H81" s="31"/>
      <c r="I81" s="31"/>
    </row>
    <row r="82" spans="1:9" x14ac:dyDescent="0.25">
      <c r="A82" s="31"/>
      <c r="B82" s="31"/>
      <c r="C82" s="31"/>
      <c r="D82" s="31"/>
      <c r="E82" s="31"/>
      <c r="F82" s="31"/>
      <c r="G82" s="31"/>
      <c r="H82" s="31"/>
      <c r="I82" s="31"/>
    </row>
    <row r="83" spans="1:9" x14ac:dyDescent="0.25">
      <c r="A83" s="31"/>
      <c r="B83" s="31"/>
      <c r="C83" s="31"/>
      <c r="D83" s="31"/>
      <c r="E83" s="31"/>
      <c r="F83" s="31"/>
      <c r="G83" s="31"/>
      <c r="H83" s="31"/>
      <c r="I83" s="31"/>
    </row>
    <row r="84" spans="1:9" x14ac:dyDescent="0.25">
      <c r="A84" s="31"/>
      <c r="B84" s="31"/>
      <c r="C84" s="31"/>
      <c r="D84" s="31"/>
      <c r="E84" s="31"/>
      <c r="F84" s="31"/>
      <c r="G84" s="31"/>
      <c r="H84" s="31"/>
      <c r="I84" s="31"/>
    </row>
    <row r="85" spans="1:9" x14ac:dyDescent="0.25">
      <c r="A85" s="31"/>
      <c r="B85" s="31"/>
      <c r="C85" s="31"/>
      <c r="D85" s="31"/>
      <c r="E85" s="31"/>
      <c r="F85" s="31"/>
      <c r="G85" s="31"/>
      <c r="H85" s="31"/>
      <c r="I85" s="31"/>
    </row>
    <row r="86" spans="1:9" x14ac:dyDescent="0.25">
      <c r="A86" s="3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58C3-F373-4F61-AD47-7D365E3A60BA}">
  <dimension ref="A7:K89"/>
  <sheetViews>
    <sheetView topLeftCell="A82" workbookViewId="0">
      <selection activeCell="D89" sqref="D89"/>
    </sheetView>
  </sheetViews>
  <sheetFormatPr defaultRowHeight="15" x14ac:dyDescent="0.25"/>
  <cols>
    <col min="1" max="1" width="18.42578125" customWidth="1"/>
    <col min="2" max="2" width="11" customWidth="1"/>
    <col min="3" max="3" width="13" customWidth="1"/>
    <col min="4" max="4" width="13.28515625" customWidth="1"/>
    <col min="5" max="5" width="9" customWidth="1"/>
    <col min="6" max="6" width="7.5703125" customWidth="1"/>
    <col min="7" max="7" width="12" bestFit="1" customWidth="1"/>
    <col min="8" max="8" width="10" bestFit="1" customWidth="1"/>
  </cols>
  <sheetData>
    <row r="7" spans="1:11" x14ac:dyDescent="0.25">
      <c r="A7" s="4" t="s">
        <v>12</v>
      </c>
    </row>
    <row r="8" spans="1:11" x14ac:dyDescent="0.25">
      <c r="A8" s="4"/>
      <c r="B8" t="s">
        <v>1</v>
      </c>
    </row>
    <row r="9" spans="1:11" x14ac:dyDescent="0.25">
      <c r="A9" s="4"/>
      <c r="B9" s="1" t="s">
        <v>13</v>
      </c>
      <c r="C9" s="14" t="s">
        <v>34</v>
      </c>
      <c r="D9" s="1" t="s">
        <v>28</v>
      </c>
      <c r="E9" s="1" t="s">
        <v>0</v>
      </c>
      <c r="F9" s="1" t="s">
        <v>30</v>
      </c>
      <c r="G9" s="1" t="s">
        <v>0</v>
      </c>
      <c r="H9" s="1" t="s">
        <v>30</v>
      </c>
    </row>
    <row r="10" spans="1:11" x14ac:dyDescent="0.25">
      <c r="A10" s="4"/>
      <c r="B10" s="1" t="s">
        <v>14</v>
      </c>
      <c r="C10" s="1" t="s">
        <v>15</v>
      </c>
      <c r="D10" s="1" t="s">
        <v>29</v>
      </c>
      <c r="E10" s="15"/>
      <c r="F10" s="15"/>
      <c r="G10" s="15"/>
      <c r="H10" s="15"/>
    </row>
    <row r="11" spans="1:11" x14ac:dyDescent="0.25">
      <c r="B11" s="1">
        <v>1</v>
      </c>
      <c r="C11" s="12">
        <v>5</v>
      </c>
      <c r="D11" s="12">
        <f>1000*EXP(((C11-3)^2)/4.5)</f>
        <v>2432.4254542872077</v>
      </c>
      <c r="E11" s="27">
        <f>C11</f>
        <v>5</v>
      </c>
      <c r="F11" s="16">
        <f>D11/$D$17</f>
        <v>0.29087130695289093</v>
      </c>
      <c r="G11" s="16">
        <f>C11</f>
        <v>5</v>
      </c>
      <c r="H11" s="28">
        <f t="shared" ref="H11:H14" si="0">H12+F11</f>
        <v>1.0000000000000002</v>
      </c>
      <c r="I11" s="26"/>
    </row>
    <row r="12" spans="1:11" x14ac:dyDescent="0.25">
      <c r="B12" s="10">
        <v>2</v>
      </c>
      <c r="C12" s="13">
        <v>4</v>
      </c>
      <c r="D12" s="12">
        <f t="shared" ref="D12:D15" si="1">1000*EXP(((C12-3)^2)/4.5)</f>
        <v>1248.848869001682</v>
      </c>
      <c r="E12" s="27">
        <f t="shared" ref="E12:E16" si="2">C12</f>
        <v>4</v>
      </c>
      <c r="F12" s="16">
        <f t="shared" ref="F12:F15" si="3">D12/$D$17</f>
        <v>0.14933830842499801</v>
      </c>
      <c r="G12" s="16">
        <f t="shared" ref="G12:G16" si="4">C12</f>
        <v>4</v>
      </c>
      <c r="H12" s="28">
        <f t="shared" si="0"/>
        <v>0.70912869304710924</v>
      </c>
      <c r="I12" s="26"/>
    </row>
    <row r="13" spans="1:11" x14ac:dyDescent="0.25">
      <c r="B13" s="10">
        <v>3</v>
      </c>
      <c r="C13" s="13">
        <v>3</v>
      </c>
      <c r="D13" s="12">
        <f t="shared" si="1"/>
        <v>1000</v>
      </c>
      <c r="E13" s="27">
        <f t="shared" si="2"/>
        <v>3</v>
      </c>
      <c r="F13" s="16">
        <f t="shared" si="3"/>
        <v>0.11958076924422219</v>
      </c>
      <c r="G13" s="25">
        <f t="shared" si="4"/>
        <v>3</v>
      </c>
      <c r="H13" s="25">
        <f t="shared" si="0"/>
        <v>0.55979038462211117</v>
      </c>
      <c r="I13" s="26">
        <f>H13/$H$13</f>
        <v>1</v>
      </c>
    </row>
    <row r="14" spans="1:11" x14ac:dyDescent="0.25">
      <c r="B14" s="9">
        <v>4</v>
      </c>
      <c r="C14" s="13">
        <v>2</v>
      </c>
      <c r="D14" s="12">
        <f t="shared" si="1"/>
        <v>1248.848869001682</v>
      </c>
      <c r="E14" s="27">
        <f t="shared" si="2"/>
        <v>2</v>
      </c>
      <c r="F14" s="16">
        <f t="shared" si="3"/>
        <v>0.14933830842499801</v>
      </c>
      <c r="G14" s="25">
        <f t="shared" si="4"/>
        <v>2</v>
      </c>
      <c r="H14" s="25">
        <f t="shared" si="0"/>
        <v>0.44020961537788894</v>
      </c>
      <c r="I14" s="26">
        <f t="shared" ref="I14:I16" si="5">H14/$H$13</f>
        <v>0.78638295238860578</v>
      </c>
      <c r="J14" s="6"/>
      <c r="K14" s="6"/>
    </row>
    <row r="15" spans="1:11" x14ac:dyDescent="0.25">
      <c r="B15" s="9">
        <v>5</v>
      </c>
      <c r="C15" s="13">
        <v>1</v>
      </c>
      <c r="D15" s="12">
        <f t="shared" si="1"/>
        <v>2432.4254542872077</v>
      </c>
      <c r="E15" s="27">
        <f t="shared" si="2"/>
        <v>1</v>
      </c>
      <c r="F15" s="16">
        <f t="shared" si="3"/>
        <v>0.29087130695289093</v>
      </c>
      <c r="G15" s="25">
        <f t="shared" si="4"/>
        <v>1</v>
      </c>
      <c r="H15" s="25">
        <f>H16+F15</f>
        <v>0.29087130695289093</v>
      </c>
      <c r="I15" s="26">
        <f t="shared" si="5"/>
        <v>0.51960754407963761</v>
      </c>
      <c r="K15">
        <f>1-52/27</f>
        <v>-0.92592592592592582</v>
      </c>
    </row>
    <row r="16" spans="1:11" x14ac:dyDescent="0.25">
      <c r="B16" s="21">
        <v>6</v>
      </c>
      <c r="C16" s="13">
        <v>0</v>
      </c>
      <c r="D16" s="13">
        <v>0</v>
      </c>
      <c r="E16" s="27">
        <f t="shared" si="2"/>
        <v>0</v>
      </c>
      <c r="F16" s="16">
        <f>D16/$D$17</f>
        <v>0</v>
      </c>
      <c r="G16" s="25">
        <f t="shared" si="4"/>
        <v>0</v>
      </c>
      <c r="H16" s="25">
        <v>0</v>
      </c>
      <c r="I16" s="26">
        <f t="shared" si="5"/>
        <v>0</v>
      </c>
    </row>
    <row r="17" spans="1:9" x14ac:dyDescent="0.25">
      <c r="B17" s="9"/>
      <c r="C17" s="8"/>
      <c r="D17" s="22">
        <f>SUM(D11:D16)</f>
        <v>8362.5486465777794</v>
      </c>
      <c r="E17" s="11"/>
      <c r="F17" s="23">
        <f>SUM(F11:F16)</f>
        <v>1.0000000000000002</v>
      </c>
      <c r="I17" s="26"/>
    </row>
    <row r="18" spans="1:9" x14ac:dyDescent="0.25">
      <c r="B18" s="9"/>
      <c r="C18" s="8"/>
      <c r="D18" s="9"/>
      <c r="E18" s="11"/>
      <c r="F18" s="1"/>
    </row>
    <row r="19" spans="1:9" x14ac:dyDescent="0.25">
      <c r="B19" s="10"/>
      <c r="C19" s="8"/>
      <c r="D19" s="9"/>
      <c r="E19" s="11"/>
      <c r="F19" s="1"/>
    </row>
    <row r="20" spans="1:9" x14ac:dyDescent="0.25">
      <c r="B20" s="1"/>
      <c r="F20" s="7"/>
    </row>
    <row r="21" spans="1:9" x14ac:dyDescent="0.25">
      <c r="B21" s="1"/>
    </row>
    <row r="22" spans="1:9" x14ac:dyDescent="0.25">
      <c r="A22" s="2"/>
      <c r="B22" s="1"/>
      <c r="C22" s="5"/>
    </row>
    <row r="23" spans="1:9" x14ac:dyDescent="0.25">
      <c r="B23" s="1"/>
    </row>
    <row r="24" spans="1:9" x14ac:dyDescent="0.25">
      <c r="A24" s="2"/>
      <c r="B24" s="3"/>
      <c r="D24" s="5"/>
    </row>
    <row r="25" spans="1:9" x14ac:dyDescent="0.25">
      <c r="B25" s="3"/>
      <c r="C25" s="5"/>
    </row>
    <row r="26" spans="1:9" x14ac:dyDescent="0.25">
      <c r="C26" s="6"/>
    </row>
    <row r="30" spans="1:9" x14ac:dyDescent="0.25">
      <c r="A30" s="2"/>
    </row>
    <row r="35" spans="2:8" x14ac:dyDescent="0.25">
      <c r="B35" t="s">
        <v>2</v>
      </c>
      <c r="C35" t="s">
        <v>0</v>
      </c>
      <c r="D35" s="1" t="s">
        <v>31</v>
      </c>
      <c r="E35" s="1" t="s">
        <v>35</v>
      </c>
    </row>
    <row r="36" spans="2:8" x14ac:dyDescent="0.25">
      <c r="C36" s="6">
        <f>E11</f>
        <v>5</v>
      </c>
      <c r="D36" s="18">
        <f>E11^2*F11</f>
        <v>7.2717826738222735</v>
      </c>
      <c r="E36" s="20">
        <f>D36/$D$42</f>
        <v>0.625494875983307</v>
      </c>
    </row>
    <row r="37" spans="2:8" x14ac:dyDescent="0.25">
      <c r="C37" s="6">
        <f t="shared" ref="C37:C40" si="6">E12</f>
        <v>4</v>
      </c>
      <c r="D37" s="18">
        <f t="shared" ref="D37:D41" si="7">E12^2*F12</f>
        <v>2.3894129347999682</v>
      </c>
      <c r="E37" s="20">
        <f t="shared" ref="E37:E41" si="8">D37/$D$42</f>
        <v>0.20552945740607867</v>
      </c>
    </row>
    <row r="38" spans="2:8" x14ac:dyDescent="0.25">
      <c r="C38" s="6">
        <f t="shared" si="6"/>
        <v>3</v>
      </c>
      <c r="D38" s="18">
        <f t="shared" si="7"/>
        <v>1.0762269231979997</v>
      </c>
      <c r="E38" s="20">
        <f t="shared" si="8"/>
        <v>9.2573507219762333E-2</v>
      </c>
    </row>
    <row r="39" spans="2:8" x14ac:dyDescent="0.25">
      <c r="C39" s="6">
        <f t="shared" si="6"/>
        <v>2</v>
      </c>
      <c r="D39" s="18">
        <f t="shared" si="7"/>
        <v>0.59735323369999205</v>
      </c>
      <c r="E39" s="20">
        <f t="shared" si="8"/>
        <v>5.1382364351519667E-2</v>
      </c>
    </row>
    <row r="40" spans="2:8" x14ac:dyDescent="0.25">
      <c r="C40" s="6">
        <f t="shared" si="6"/>
        <v>1</v>
      </c>
      <c r="D40" s="18">
        <f t="shared" si="7"/>
        <v>0.29087130695289093</v>
      </c>
      <c r="E40" s="20">
        <f t="shared" si="8"/>
        <v>2.5019795039332278E-2</v>
      </c>
    </row>
    <row r="41" spans="2:8" x14ac:dyDescent="0.25">
      <c r="C41" s="6">
        <f>E16</f>
        <v>0</v>
      </c>
      <c r="D41" s="18">
        <f t="shared" si="7"/>
        <v>0</v>
      </c>
      <c r="E41" s="20">
        <f t="shared" si="8"/>
        <v>0</v>
      </c>
    </row>
    <row r="42" spans="2:8" x14ac:dyDescent="0.25">
      <c r="C42" t="s">
        <v>16</v>
      </c>
      <c r="D42" s="24">
        <f>SUM(D36:D41)</f>
        <v>11.625647072473125</v>
      </c>
      <c r="E42" s="24">
        <f>SUM(E36:E40)</f>
        <v>0.99999999999999989</v>
      </c>
    </row>
    <row r="44" spans="2:8" x14ac:dyDescent="0.25">
      <c r="C44" t="s">
        <v>17</v>
      </c>
      <c r="D44" t="s">
        <v>36</v>
      </c>
      <c r="E44" s="17">
        <f>E38</f>
        <v>9.2573507219762333E-2</v>
      </c>
    </row>
    <row r="47" spans="2:8" x14ac:dyDescent="0.25">
      <c r="B47" t="s">
        <v>5</v>
      </c>
      <c r="D47" t="s">
        <v>30</v>
      </c>
      <c r="E47" t="s">
        <v>0</v>
      </c>
      <c r="F47" t="s">
        <v>31</v>
      </c>
      <c r="G47" t="s">
        <v>32</v>
      </c>
      <c r="H47" t="s">
        <v>33</v>
      </c>
    </row>
    <row r="48" spans="2:8" x14ac:dyDescent="0.25">
      <c r="D48" s="6">
        <f>F11</f>
        <v>0.29087130695289093</v>
      </c>
      <c r="E48" s="6">
        <f>E11</f>
        <v>5</v>
      </c>
      <c r="F48">
        <f>D48*E48^2</f>
        <v>7.2717826738222735</v>
      </c>
      <c r="G48">
        <f>F48*E48</f>
        <v>36.35891336911137</v>
      </c>
      <c r="H48">
        <f>G48*E48</f>
        <v>181.79456684555686</v>
      </c>
    </row>
    <row r="49" spans="2:8" x14ac:dyDescent="0.25">
      <c r="D49" s="6">
        <f t="shared" ref="D49:D53" si="9">F12</f>
        <v>0.14933830842499801</v>
      </c>
      <c r="E49" s="6">
        <f t="shared" ref="E49:E53" si="10">E12</f>
        <v>4</v>
      </c>
      <c r="F49">
        <f t="shared" ref="F49:F53" si="11">D49*E49^2</f>
        <v>2.3894129347999682</v>
      </c>
      <c r="G49">
        <f t="shared" ref="G49:G53" si="12">F49*E49</f>
        <v>9.5576517391998728</v>
      </c>
      <c r="H49">
        <f t="shared" ref="H49:H53" si="13">G49*E49</f>
        <v>38.230606956799491</v>
      </c>
    </row>
    <row r="50" spans="2:8" x14ac:dyDescent="0.25">
      <c r="D50" s="6">
        <f t="shared" si="9"/>
        <v>0.11958076924422219</v>
      </c>
      <c r="E50" s="6">
        <f t="shared" si="10"/>
        <v>3</v>
      </c>
      <c r="F50">
        <f t="shared" si="11"/>
        <v>1.0762269231979997</v>
      </c>
      <c r="G50">
        <f t="shared" si="12"/>
        <v>3.228680769593999</v>
      </c>
      <c r="H50">
        <f t="shared" si="13"/>
        <v>9.686042308781996</v>
      </c>
    </row>
    <row r="51" spans="2:8" x14ac:dyDescent="0.25">
      <c r="D51" s="6">
        <f t="shared" si="9"/>
        <v>0.14933830842499801</v>
      </c>
      <c r="E51" s="6">
        <f t="shared" si="10"/>
        <v>2</v>
      </c>
      <c r="F51">
        <f t="shared" si="11"/>
        <v>0.59735323369999205</v>
      </c>
      <c r="G51">
        <f t="shared" si="12"/>
        <v>1.1947064673999841</v>
      </c>
      <c r="H51">
        <f t="shared" si="13"/>
        <v>2.3894129347999682</v>
      </c>
    </row>
    <row r="52" spans="2:8" x14ac:dyDescent="0.25">
      <c r="C52" s="19"/>
      <c r="D52" s="6">
        <f t="shared" si="9"/>
        <v>0.29087130695289093</v>
      </c>
      <c r="E52" s="6">
        <f t="shared" si="10"/>
        <v>1</v>
      </c>
      <c r="F52">
        <f t="shared" si="11"/>
        <v>0.29087130695289093</v>
      </c>
      <c r="G52">
        <f t="shared" si="12"/>
        <v>0.29087130695289093</v>
      </c>
      <c r="H52">
        <f t="shared" si="13"/>
        <v>0.29087130695289093</v>
      </c>
    </row>
    <row r="53" spans="2:8" x14ac:dyDescent="0.25">
      <c r="C53" s="19"/>
      <c r="D53" s="6">
        <f t="shared" si="9"/>
        <v>0</v>
      </c>
      <c r="E53" s="6">
        <f t="shared" si="10"/>
        <v>0</v>
      </c>
      <c r="F53">
        <f t="shared" si="11"/>
        <v>0</v>
      </c>
      <c r="G53">
        <f t="shared" si="12"/>
        <v>0</v>
      </c>
      <c r="H53">
        <f t="shared" si="13"/>
        <v>0</v>
      </c>
    </row>
    <row r="54" spans="2:8" x14ac:dyDescent="0.25">
      <c r="C54" t="s">
        <v>16</v>
      </c>
      <c r="D54" s="6">
        <f>SUM(D48:D53)</f>
        <v>1.0000000000000002</v>
      </c>
      <c r="F54">
        <f>SUM(F48:F52)</f>
        <v>11.625647072473125</v>
      </c>
      <c r="G54">
        <f>SUM(G48:G52)</f>
        <v>50.630823652258123</v>
      </c>
      <c r="H54">
        <f>SUM(H48:H52)</f>
        <v>232.39150035289117</v>
      </c>
    </row>
    <row r="57" spans="2:8" x14ac:dyDescent="0.25">
      <c r="C57" t="s">
        <v>37</v>
      </c>
      <c r="F57">
        <f>H54/G54</f>
        <v>4.5899213875918559</v>
      </c>
      <c r="G57" t="s">
        <v>15</v>
      </c>
    </row>
    <row r="59" spans="2:8" x14ac:dyDescent="0.25">
      <c r="B59" t="s">
        <v>18</v>
      </c>
    </row>
    <row r="60" spans="2:8" x14ac:dyDescent="0.25">
      <c r="C60" t="s">
        <v>20</v>
      </c>
      <c r="D60" s="5">
        <f>(69/27-0.93)/1000</f>
        <v>1.6255555555555552E-3</v>
      </c>
      <c r="E60" t="s">
        <v>3</v>
      </c>
      <c r="F60" t="s">
        <v>49</v>
      </c>
    </row>
    <row r="61" spans="2:8" x14ac:dyDescent="0.25">
      <c r="C61" t="s">
        <v>6</v>
      </c>
      <c r="D61">
        <v>2970</v>
      </c>
      <c r="E61" t="s">
        <v>7</v>
      </c>
    </row>
    <row r="62" spans="2:8" x14ac:dyDescent="0.25">
      <c r="C62" t="s">
        <v>8</v>
      </c>
      <c r="D62">
        <v>1000</v>
      </c>
      <c r="E62" t="s">
        <v>7</v>
      </c>
    </row>
    <row r="63" spans="2:8" x14ac:dyDescent="0.25">
      <c r="C63" t="s">
        <v>9</v>
      </c>
      <c r="D63" s="5">
        <v>1E-3</v>
      </c>
      <c r="E63" t="s">
        <v>21</v>
      </c>
    </row>
    <row r="65" spans="2:6" x14ac:dyDescent="0.25">
      <c r="C65" t="s">
        <v>10</v>
      </c>
      <c r="D65" s="5">
        <f>D60^2*(D61-D62)*9.81/18/D63</f>
        <v>2.837045897345678</v>
      </c>
      <c r="E65" t="s">
        <v>11</v>
      </c>
      <c r="F65" t="s">
        <v>23</v>
      </c>
    </row>
    <row r="66" spans="2:6" x14ac:dyDescent="0.25">
      <c r="C66" t="s">
        <v>22</v>
      </c>
      <c r="D66" s="5">
        <f>D62*D65*D60/D63</f>
        <v>4611.7757197963629</v>
      </c>
      <c r="F66" t="s">
        <v>38</v>
      </c>
    </row>
    <row r="69" spans="2:6" x14ac:dyDescent="0.25">
      <c r="C69" t="s">
        <v>39</v>
      </c>
      <c r="D69" s="5">
        <f>2*(D60^3)*(D61-D62)*D62*9.81/3/D63^2</f>
        <v>55341.308637556343</v>
      </c>
    </row>
    <row r="70" spans="2:6" x14ac:dyDescent="0.25">
      <c r="C70" t="s">
        <v>40</v>
      </c>
      <c r="D70">
        <f>LOG10(D69)</f>
        <v>4.7430494245438179</v>
      </c>
    </row>
    <row r="71" spans="2:6" x14ac:dyDescent="0.25">
      <c r="C71" t="s">
        <v>41</v>
      </c>
      <c r="D71">
        <v>2.6080000000000001</v>
      </c>
    </row>
    <row r="72" spans="2:6" x14ac:dyDescent="0.25">
      <c r="C72" t="s">
        <v>22</v>
      </c>
      <c r="D72">
        <f>10^D71</f>
        <v>405.50853544838429</v>
      </c>
    </row>
    <row r="73" spans="2:6" x14ac:dyDescent="0.25">
      <c r="C73" s="2" t="s">
        <v>10</v>
      </c>
      <c r="D73" s="29">
        <f>D72*D63/D62/D60</f>
        <v>0.24945842918902661</v>
      </c>
      <c r="E73" s="2" t="s">
        <v>11</v>
      </c>
    </row>
    <row r="76" spans="2:6" x14ac:dyDescent="0.25">
      <c r="C76" t="s">
        <v>50</v>
      </c>
    </row>
    <row r="79" spans="2:6" x14ac:dyDescent="0.25">
      <c r="B79" t="s">
        <v>19</v>
      </c>
      <c r="C79" t="s">
        <v>42</v>
      </c>
    </row>
    <row r="81" spans="2:6" x14ac:dyDescent="0.25">
      <c r="B81" t="s">
        <v>43</v>
      </c>
      <c r="C81" t="s">
        <v>44</v>
      </c>
      <c r="D81">
        <v>2.1</v>
      </c>
      <c r="E81" t="s">
        <v>45</v>
      </c>
    </row>
    <row r="82" spans="2:6" x14ac:dyDescent="0.25">
      <c r="C82" t="s">
        <v>3</v>
      </c>
      <c r="D82">
        <v>1.8</v>
      </c>
      <c r="E82" t="s">
        <v>4</v>
      </c>
    </row>
    <row r="83" spans="2:6" x14ac:dyDescent="0.25">
      <c r="C83" t="s">
        <v>26</v>
      </c>
      <c r="D83">
        <f>D81/D82</f>
        <v>1.1666666666666667</v>
      </c>
      <c r="E83" t="s">
        <v>27</v>
      </c>
    </row>
    <row r="84" spans="2:6" x14ac:dyDescent="0.25">
      <c r="C84" t="s">
        <v>24</v>
      </c>
      <c r="D84">
        <v>20</v>
      </c>
      <c r="E84" t="s">
        <v>15</v>
      </c>
    </row>
    <row r="85" spans="2:6" x14ac:dyDescent="0.25">
      <c r="C85" t="s">
        <v>25</v>
      </c>
      <c r="D85">
        <v>8</v>
      </c>
      <c r="E85" t="s">
        <v>15</v>
      </c>
    </row>
    <row r="86" spans="2:6" x14ac:dyDescent="0.25">
      <c r="C86" t="s">
        <v>46</v>
      </c>
      <c r="D86">
        <v>25.9</v>
      </c>
      <c r="E86" t="s">
        <v>47</v>
      </c>
    </row>
    <row r="87" spans="2:6" x14ac:dyDescent="0.25">
      <c r="B87" t="s">
        <v>54</v>
      </c>
      <c r="C87" t="s">
        <v>51</v>
      </c>
      <c r="D87">
        <f>D83/D86/(1/(D85)^0.5-1/(D84)^0.5)</f>
        <v>0.34664275576171344</v>
      </c>
      <c r="E87">
        <f>D87*D86</f>
        <v>8.9780473742283782</v>
      </c>
      <c r="F87">
        <f>E87/2</f>
        <v>4.4890236871141891</v>
      </c>
    </row>
    <row r="89" spans="2:6" x14ac:dyDescent="0.25">
      <c r="C89" t="s">
        <v>26</v>
      </c>
      <c r="D89">
        <f>D86*D87*(1/(F57)^0.5-1/(37)^0.5)</f>
        <v>2.7146476339327346</v>
      </c>
      <c r="E89" t="s">
        <v>27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M89"/>
  <sheetViews>
    <sheetView topLeftCell="A66" workbookViewId="0">
      <selection activeCell="G91" sqref="G91"/>
    </sheetView>
  </sheetViews>
  <sheetFormatPr defaultRowHeight="15" x14ac:dyDescent="0.25"/>
  <cols>
    <col min="1" max="1" width="18.42578125" customWidth="1"/>
    <col min="2" max="2" width="11" customWidth="1"/>
    <col min="3" max="3" width="13" customWidth="1"/>
    <col min="4" max="4" width="13.28515625" customWidth="1"/>
    <col min="5" max="5" width="9" hidden="1" customWidth="1"/>
    <col min="6" max="6" width="7.5703125" customWidth="1"/>
    <col min="7" max="7" width="12" bestFit="1" customWidth="1"/>
    <col min="8" max="8" width="10" bestFit="1" customWidth="1"/>
  </cols>
  <sheetData>
    <row r="7" spans="1:13" x14ac:dyDescent="0.25">
      <c r="A7" s="4" t="s">
        <v>12</v>
      </c>
    </row>
    <row r="8" spans="1:13" x14ac:dyDescent="0.25">
      <c r="A8" s="4"/>
      <c r="B8" t="s">
        <v>1</v>
      </c>
    </row>
    <row r="9" spans="1:13" x14ac:dyDescent="0.25">
      <c r="A9" s="4"/>
      <c r="B9" s="1"/>
      <c r="C9" s="14" t="s">
        <v>34</v>
      </c>
      <c r="D9" s="1" t="s">
        <v>28</v>
      </c>
      <c r="E9" s="1" t="s">
        <v>0</v>
      </c>
      <c r="F9" s="1" t="s">
        <v>30</v>
      </c>
      <c r="G9" s="1" t="s">
        <v>0</v>
      </c>
      <c r="H9" s="1" t="s">
        <v>30</v>
      </c>
    </row>
    <row r="10" spans="1:13" x14ac:dyDescent="0.25">
      <c r="A10" s="4"/>
      <c r="B10" s="1"/>
      <c r="C10" s="1" t="s">
        <v>15</v>
      </c>
      <c r="D10" s="1" t="s">
        <v>29</v>
      </c>
      <c r="E10" s="15"/>
      <c r="F10" s="15"/>
      <c r="G10" s="15"/>
      <c r="H10" s="15"/>
    </row>
    <row r="11" spans="1:13" x14ac:dyDescent="0.25">
      <c r="B11" s="1"/>
      <c r="C11" s="12">
        <v>5</v>
      </c>
      <c r="D11" s="12">
        <f>1000*EXP(-((C11-3)^2)/4.5)</f>
        <v>411.11229050718742</v>
      </c>
      <c r="E11" s="27">
        <f>C11</f>
        <v>5</v>
      </c>
      <c r="F11" s="30">
        <f>D11/$D$17</f>
        <v>0.12007838424321346</v>
      </c>
      <c r="G11" s="16">
        <f>C11</f>
        <v>5</v>
      </c>
      <c r="H11" s="28">
        <f t="shared" ref="H11:H14" si="0">H12+F11</f>
        <v>0.99999999999999989</v>
      </c>
      <c r="I11" s="26"/>
    </row>
    <row r="12" spans="1:13" x14ac:dyDescent="0.25">
      <c r="B12" s="10"/>
      <c r="C12" s="13">
        <v>4</v>
      </c>
      <c r="D12" s="12">
        <f t="shared" ref="D12:D15" si="1">1000*EXP(-((C12-3)^2)/4.5)</f>
        <v>800.73740291680804</v>
      </c>
      <c r="E12" s="27">
        <f t="shared" ref="E12:E16" si="2">C12</f>
        <v>4</v>
      </c>
      <c r="F12" s="30">
        <f t="shared" ref="F12:F15" si="3">D12/$D$17</f>
        <v>0.23388075658535026</v>
      </c>
      <c r="G12" s="16">
        <f t="shared" ref="G12:G16" si="4">C12</f>
        <v>4</v>
      </c>
      <c r="H12" s="28">
        <f t="shared" si="0"/>
        <v>0.8799216157567864</v>
      </c>
      <c r="I12" s="26"/>
    </row>
    <row r="13" spans="1:13" x14ac:dyDescent="0.25">
      <c r="B13" s="10"/>
      <c r="C13" s="13">
        <v>3</v>
      </c>
      <c r="D13" s="12">
        <f t="shared" si="1"/>
        <v>1000</v>
      </c>
      <c r="E13" s="27">
        <f t="shared" si="2"/>
        <v>3</v>
      </c>
      <c r="F13" s="30">
        <f t="shared" si="3"/>
        <v>0.29208171834287244</v>
      </c>
      <c r="G13" s="25">
        <f t="shared" si="4"/>
        <v>3</v>
      </c>
      <c r="H13" s="25">
        <f t="shared" si="0"/>
        <v>0.64604085917143617</v>
      </c>
      <c r="J13" s="26">
        <f>H13/$H$13</f>
        <v>1</v>
      </c>
    </row>
    <row r="14" spans="1:13" x14ac:dyDescent="0.25">
      <c r="B14" s="9"/>
      <c r="C14" s="13">
        <v>2</v>
      </c>
      <c r="D14" s="12">
        <f t="shared" si="1"/>
        <v>800.73740291680804</v>
      </c>
      <c r="E14" s="27">
        <f t="shared" si="2"/>
        <v>2</v>
      </c>
      <c r="F14" s="30">
        <f t="shared" si="3"/>
        <v>0.23388075658535026</v>
      </c>
      <c r="G14" s="25">
        <f t="shared" si="4"/>
        <v>2</v>
      </c>
      <c r="H14" s="25">
        <f t="shared" si="0"/>
        <v>0.35395914082856372</v>
      </c>
      <c r="I14">
        <f>F14/0.35</f>
        <v>0.66823073310100078</v>
      </c>
      <c r="J14" s="26">
        <f>H14/$H$13</f>
        <v>0.54788971286200894</v>
      </c>
      <c r="K14" s="6"/>
    </row>
    <row r="15" spans="1:13" x14ac:dyDescent="0.25">
      <c r="B15" s="9"/>
      <c r="C15" s="13">
        <v>1</v>
      </c>
      <c r="D15" s="12">
        <f t="shared" si="1"/>
        <v>411.11229050718742</v>
      </c>
      <c r="E15" s="27">
        <f t="shared" si="2"/>
        <v>1</v>
      </c>
      <c r="F15" s="30">
        <f t="shared" si="3"/>
        <v>0.12007838424321346</v>
      </c>
      <c r="G15" s="25">
        <f t="shared" si="4"/>
        <v>1</v>
      </c>
      <c r="H15" s="25">
        <f>H16+F15</f>
        <v>0.12007838424321346</v>
      </c>
      <c r="I15">
        <f>F15/0.35</f>
        <v>0.34308109783775276</v>
      </c>
      <c r="J15" s="26">
        <f>H15/$H$13</f>
        <v>0.18586809570716167</v>
      </c>
      <c r="M15">
        <f>2-55/45</f>
        <v>0.77777777777777768</v>
      </c>
    </row>
    <row r="16" spans="1:13" x14ac:dyDescent="0.25">
      <c r="B16" s="21"/>
      <c r="C16" s="13">
        <v>0</v>
      </c>
      <c r="D16" s="13">
        <v>0</v>
      </c>
      <c r="E16" s="27">
        <f t="shared" si="2"/>
        <v>0</v>
      </c>
      <c r="F16" s="30">
        <f>D16/$D$17</f>
        <v>0</v>
      </c>
      <c r="G16" s="25">
        <f t="shared" si="4"/>
        <v>0</v>
      </c>
      <c r="H16" s="25">
        <v>0</v>
      </c>
      <c r="I16">
        <f>F16/0.35</f>
        <v>0</v>
      </c>
      <c r="J16" s="26">
        <f>H16/$H$13</f>
        <v>0</v>
      </c>
    </row>
    <row r="17" spans="1:9" x14ac:dyDescent="0.25">
      <c r="B17" s="9"/>
      <c r="C17" s="8"/>
      <c r="D17" s="22">
        <f>SUM(D11:D16)</f>
        <v>3423.6993868479913</v>
      </c>
      <c r="E17" s="11"/>
      <c r="F17" s="23">
        <f>SUM(F11:F16)</f>
        <v>0.99999999999999989</v>
      </c>
      <c r="I17" s="26"/>
    </row>
    <row r="18" spans="1:9" x14ac:dyDescent="0.25">
      <c r="B18" s="9"/>
      <c r="C18" s="8"/>
      <c r="D18" s="9"/>
      <c r="E18" s="11"/>
      <c r="F18" s="1"/>
    </row>
    <row r="19" spans="1:9" x14ac:dyDescent="0.25">
      <c r="B19" s="10"/>
      <c r="C19" s="8"/>
      <c r="D19" s="9"/>
      <c r="E19" s="11"/>
      <c r="F19" s="1"/>
    </row>
    <row r="20" spans="1:9" x14ac:dyDescent="0.25">
      <c r="B20" s="1"/>
      <c r="F20" s="7"/>
    </row>
    <row r="21" spans="1:9" x14ac:dyDescent="0.25">
      <c r="B21" s="1"/>
    </row>
    <row r="22" spans="1:9" x14ac:dyDescent="0.25">
      <c r="A22" s="2"/>
      <c r="B22" s="1"/>
      <c r="C22" s="5"/>
    </row>
    <row r="23" spans="1:9" x14ac:dyDescent="0.25">
      <c r="B23" s="1"/>
    </row>
    <row r="24" spans="1:9" x14ac:dyDescent="0.25">
      <c r="A24" s="2"/>
      <c r="B24" s="3"/>
      <c r="D24" s="5"/>
    </row>
    <row r="25" spans="1:9" x14ac:dyDescent="0.25">
      <c r="B25" s="3"/>
      <c r="C25" s="5"/>
    </row>
    <row r="26" spans="1:9" x14ac:dyDescent="0.25">
      <c r="C26" s="6"/>
    </row>
    <row r="30" spans="1:9" x14ac:dyDescent="0.25">
      <c r="A30" s="2"/>
    </row>
    <row r="35" spans="2:8" x14ac:dyDescent="0.25">
      <c r="B35" t="s">
        <v>2</v>
      </c>
      <c r="C35" t="s">
        <v>0</v>
      </c>
      <c r="D35" s="1" t="s">
        <v>31</v>
      </c>
      <c r="E35" s="1" t="s">
        <v>35</v>
      </c>
    </row>
    <row r="36" spans="2:8" x14ac:dyDescent="0.25">
      <c r="C36" s="6">
        <f>E11</f>
        <v>5</v>
      </c>
      <c r="D36" s="18">
        <f>E11^2*F11</f>
        <v>3.0019596060803364</v>
      </c>
      <c r="E36" s="20">
        <f>D36/$D$42</f>
        <v>0.28786418735767683</v>
      </c>
    </row>
    <row r="37" spans="2:8" x14ac:dyDescent="0.25">
      <c r="C37" s="6">
        <f t="shared" ref="C37:C40" si="5">E12</f>
        <v>4</v>
      </c>
      <c r="D37" s="18">
        <f t="shared" ref="D37:D41" si="6">E12^2*F12</f>
        <v>3.7420921053656042</v>
      </c>
      <c r="E37" s="20">
        <f t="shared" ref="E37:E41" si="7">D37/$D$42</f>
        <v>0.35883704122693649</v>
      </c>
    </row>
    <row r="38" spans="2:8" x14ac:dyDescent="0.25">
      <c r="C38" s="6">
        <f t="shared" si="5"/>
        <v>3</v>
      </c>
      <c r="D38" s="18">
        <f t="shared" si="6"/>
        <v>2.6287354650858519</v>
      </c>
      <c r="E38" s="20">
        <f t="shared" si="7"/>
        <v>0.25207494361434546</v>
      </c>
    </row>
    <row r="39" spans="2:8" x14ac:dyDescent="0.25">
      <c r="C39" s="6">
        <f t="shared" si="5"/>
        <v>2</v>
      </c>
      <c r="D39" s="18">
        <f t="shared" si="6"/>
        <v>0.93552302634140105</v>
      </c>
      <c r="E39" s="20">
        <f t="shared" si="7"/>
        <v>8.9709260306734123E-2</v>
      </c>
    </row>
    <row r="40" spans="2:8" x14ac:dyDescent="0.25">
      <c r="C40" s="6">
        <f t="shared" si="5"/>
        <v>1</v>
      </c>
      <c r="D40" s="18">
        <f t="shared" si="6"/>
        <v>0.12007838424321346</v>
      </c>
      <c r="E40" s="20">
        <f t="shared" si="7"/>
        <v>1.1514567494307074E-2</v>
      </c>
    </row>
    <row r="41" spans="2:8" x14ac:dyDescent="0.25">
      <c r="C41" s="6">
        <f>E16</f>
        <v>0</v>
      </c>
      <c r="D41" s="18">
        <f t="shared" si="6"/>
        <v>0</v>
      </c>
      <c r="E41" s="20">
        <f t="shared" si="7"/>
        <v>0</v>
      </c>
    </row>
    <row r="42" spans="2:8" x14ac:dyDescent="0.25">
      <c r="C42" t="s">
        <v>16</v>
      </c>
      <c r="D42" s="24">
        <f>SUM(D36:D41)</f>
        <v>10.428388587116407</v>
      </c>
      <c r="E42" s="24">
        <f>SUM(E36:E40)</f>
        <v>1</v>
      </c>
    </row>
    <row r="44" spans="2:8" x14ac:dyDescent="0.25">
      <c r="C44" t="s">
        <v>17</v>
      </c>
      <c r="D44" t="s">
        <v>36</v>
      </c>
      <c r="E44" s="17">
        <f>E38</f>
        <v>0.25207494361434546</v>
      </c>
    </row>
    <row r="47" spans="2:8" x14ac:dyDescent="0.25">
      <c r="B47" t="s">
        <v>5</v>
      </c>
      <c r="D47" t="s">
        <v>30</v>
      </c>
      <c r="E47" t="s">
        <v>0</v>
      </c>
      <c r="F47" t="s">
        <v>31</v>
      </c>
      <c r="G47" t="s">
        <v>32</v>
      </c>
      <c r="H47" t="s">
        <v>33</v>
      </c>
    </row>
    <row r="48" spans="2:8" x14ac:dyDescent="0.25">
      <c r="D48" s="6">
        <f>F11</f>
        <v>0.12007838424321346</v>
      </c>
      <c r="E48" s="6">
        <f>E11</f>
        <v>5</v>
      </c>
      <c r="F48">
        <f>D48*E48^2</f>
        <v>3.0019596060803364</v>
      </c>
      <c r="G48">
        <f>F48*E48</f>
        <v>15.009798030401683</v>
      </c>
      <c r="H48">
        <f>G48*E48</f>
        <v>75.048990152008415</v>
      </c>
    </row>
    <row r="49" spans="2:8" x14ac:dyDescent="0.25">
      <c r="D49" s="6">
        <f t="shared" ref="D49:D53" si="8">F12</f>
        <v>0.23388075658535026</v>
      </c>
      <c r="E49" s="6">
        <f t="shared" ref="E49:E53" si="9">E12</f>
        <v>4</v>
      </c>
      <c r="F49">
        <f t="shared" ref="F49:F53" si="10">D49*E49^2</f>
        <v>3.7420921053656042</v>
      </c>
      <c r="G49">
        <f t="shared" ref="G49:G53" si="11">F49*E49</f>
        <v>14.968368421462417</v>
      </c>
      <c r="H49">
        <f t="shared" ref="H49:H53" si="12">G49*E49</f>
        <v>59.873473685849667</v>
      </c>
    </row>
    <row r="50" spans="2:8" x14ac:dyDescent="0.25">
      <c r="D50" s="6">
        <f t="shared" si="8"/>
        <v>0.29208171834287244</v>
      </c>
      <c r="E50" s="6">
        <f t="shared" si="9"/>
        <v>3</v>
      </c>
      <c r="F50">
        <f t="shared" si="10"/>
        <v>2.6287354650858519</v>
      </c>
      <c r="G50">
        <f t="shared" si="11"/>
        <v>7.8862063952575561</v>
      </c>
      <c r="H50">
        <f t="shared" si="12"/>
        <v>23.658619185772668</v>
      </c>
    </row>
    <row r="51" spans="2:8" x14ac:dyDescent="0.25">
      <c r="D51" s="6">
        <f t="shared" si="8"/>
        <v>0.23388075658535026</v>
      </c>
      <c r="E51" s="6">
        <f t="shared" si="9"/>
        <v>2</v>
      </c>
      <c r="F51">
        <f t="shared" si="10"/>
        <v>0.93552302634140105</v>
      </c>
      <c r="G51">
        <f t="shared" si="11"/>
        <v>1.8710460526828021</v>
      </c>
      <c r="H51">
        <f t="shared" si="12"/>
        <v>3.7420921053656042</v>
      </c>
    </row>
    <row r="52" spans="2:8" x14ac:dyDescent="0.25">
      <c r="C52" s="19"/>
      <c r="D52" s="6">
        <f t="shared" si="8"/>
        <v>0.12007838424321346</v>
      </c>
      <c r="E52" s="6">
        <f t="shared" si="9"/>
        <v>1</v>
      </c>
      <c r="F52">
        <f t="shared" si="10"/>
        <v>0.12007838424321346</v>
      </c>
      <c r="G52">
        <f t="shared" si="11"/>
        <v>0.12007838424321346</v>
      </c>
      <c r="H52">
        <f t="shared" si="12"/>
        <v>0.12007838424321346</v>
      </c>
    </row>
    <row r="53" spans="2:8" x14ac:dyDescent="0.25">
      <c r="C53" s="19"/>
      <c r="D53" s="6">
        <f t="shared" si="8"/>
        <v>0</v>
      </c>
      <c r="E53" s="6">
        <f t="shared" si="9"/>
        <v>0</v>
      </c>
      <c r="F53">
        <f t="shared" si="10"/>
        <v>0</v>
      </c>
      <c r="G53">
        <f t="shared" si="11"/>
        <v>0</v>
      </c>
      <c r="H53">
        <f t="shared" si="12"/>
        <v>0</v>
      </c>
    </row>
    <row r="54" spans="2:8" x14ac:dyDescent="0.25">
      <c r="C54" t="s">
        <v>16</v>
      </c>
      <c r="D54" s="6">
        <f>SUM(D48:D53)</f>
        <v>0.99999999999999989</v>
      </c>
      <c r="F54">
        <f>SUM(F48:F52)</f>
        <v>10.428388587116407</v>
      </c>
      <c r="G54">
        <f>SUM(G48:G52)</f>
        <v>39.855497284047672</v>
      </c>
      <c r="H54">
        <f>SUM(H48:H52)</f>
        <v>162.44325351323957</v>
      </c>
    </row>
    <row r="57" spans="2:8" x14ac:dyDescent="0.25">
      <c r="C57" t="s">
        <v>37</v>
      </c>
      <c r="F57">
        <f>H54/G54</f>
        <v>4.07580546180409</v>
      </c>
      <c r="G57" t="s">
        <v>15</v>
      </c>
    </row>
    <row r="59" spans="2:8" x14ac:dyDescent="0.25">
      <c r="B59" t="s">
        <v>18</v>
      </c>
    </row>
    <row r="60" spans="2:8" x14ac:dyDescent="0.25">
      <c r="C60" t="s">
        <v>20</v>
      </c>
      <c r="D60" s="5">
        <f>(69/45+0.78)/1000</f>
        <v>2.3133333333333335E-3</v>
      </c>
      <c r="E60" t="s">
        <v>3</v>
      </c>
    </row>
    <row r="61" spans="2:8" x14ac:dyDescent="0.25">
      <c r="C61" t="s">
        <v>6</v>
      </c>
      <c r="D61">
        <v>2970</v>
      </c>
      <c r="E61" t="s">
        <v>7</v>
      </c>
    </row>
    <row r="62" spans="2:8" x14ac:dyDescent="0.25">
      <c r="C62" t="s">
        <v>8</v>
      </c>
      <c r="D62">
        <v>1000</v>
      </c>
      <c r="E62" t="s">
        <v>7</v>
      </c>
    </row>
    <row r="63" spans="2:8" x14ac:dyDescent="0.25">
      <c r="C63" t="s">
        <v>9</v>
      </c>
      <c r="D63" s="5">
        <v>1E-3</v>
      </c>
      <c r="E63" t="s">
        <v>21</v>
      </c>
    </row>
    <row r="65" spans="2:6" x14ac:dyDescent="0.25">
      <c r="C65" t="s">
        <v>10</v>
      </c>
      <c r="D65" s="5">
        <f>D60^2*(D61-D62)*9.81/18/D63</f>
        <v>5.7456499044444449</v>
      </c>
      <c r="E65" t="s">
        <v>11</v>
      </c>
      <c r="F65" t="s">
        <v>23</v>
      </c>
    </row>
    <row r="66" spans="2:6" x14ac:dyDescent="0.25">
      <c r="C66" t="s">
        <v>22</v>
      </c>
      <c r="D66" s="5">
        <f>D62*D65*D60/D63</f>
        <v>13291.603445614815</v>
      </c>
      <c r="F66" t="s">
        <v>38</v>
      </c>
    </row>
    <row r="69" spans="2:6" x14ac:dyDescent="0.25">
      <c r="C69" t="s">
        <v>39</v>
      </c>
      <c r="D69" s="5">
        <f>2*(D60^3)*(D61-D62)*D62*9.81/3/D63^2</f>
        <v>159499.2413473778</v>
      </c>
    </row>
    <row r="70" spans="2:6" x14ac:dyDescent="0.25">
      <c r="C70" t="s">
        <v>40</v>
      </c>
      <c r="D70">
        <f>LOG10(D69)</f>
        <v>5.2027586216914381</v>
      </c>
    </row>
    <row r="71" spans="2:6" x14ac:dyDescent="0.25">
      <c r="C71" t="s">
        <v>41</v>
      </c>
      <c r="D71">
        <v>2.899</v>
      </c>
    </row>
    <row r="72" spans="2:6" x14ac:dyDescent="0.25">
      <c r="C72" t="s">
        <v>22</v>
      </c>
      <c r="D72">
        <f>10^D71</f>
        <v>792.50133048047246</v>
      </c>
    </row>
    <row r="73" spans="2:6" x14ac:dyDescent="0.25">
      <c r="C73" s="2" t="s">
        <v>10</v>
      </c>
      <c r="D73" s="29">
        <f>D72*D63/D62/D60</f>
        <v>0.34257982585611196</v>
      </c>
      <c r="E73" s="2" t="s">
        <v>11</v>
      </c>
    </row>
    <row r="76" spans="2:6" x14ac:dyDescent="0.25">
      <c r="C76" t="s">
        <v>48</v>
      </c>
    </row>
    <row r="79" spans="2:6" x14ac:dyDescent="0.25">
      <c r="B79" t="s">
        <v>19</v>
      </c>
      <c r="C79" t="s">
        <v>42</v>
      </c>
    </row>
    <row r="81" spans="2:7" x14ac:dyDescent="0.25">
      <c r="B81" t="s">
        <v>43</v>
      </c>
      <c r="C81" t="s">
        <v>44</v>
      </c>
      <c r="D81">
        <v>2.1</v>
      </c>
      <c r="E81" t="s">
        <v>45</v>
      </c>
      <c r="F81" t="s">
        <v>45</v>
      </c>
    </row>
    <row r="82" spans="2:7" x14ac:dyDescent="0.25">
      <c r="C82" t="s">
        <v>3</v>
      </c>
      <c r="D82">
        <v>1.8</v>
      </c>
      <c r="E82" t="s">
        <v>4</v>
      </c>
      <c r="F82" t="s">
        <v>4</v>
      </c>
    </row>
    <row r="83" spans="2:7" x14ac:dyDescent="0.25">
      <c r="C83" t="s">
        <v>26</v>
      </c>
      <c r="D83">
        <f>D81/D82</f>
        <v>1.1666666666666667</v>
      </c>
      <c r="E83" t="s">
        <v>27</v>
      </c>
      <c r="F83" t="s">
        <v>53</v>
      </c>
    </row>
    <row r="84" spans="2:7" x14ac:dyDescent="0.25">
      <c r="C84" t="s">
        <v>24</v>
      </c>
      <c r="D84">
        <v>20</v>
      </c>
      <c r="E84" t="s">
        <v>15</v>
      </c>
      <c r="F84" t="s">
        <v>15</v>
      </c>
    </row>
    <row r="85" spans="2:7" x14ac:dyDescent="0.25">
      <c r="C85" t="s">
        <v>25</v>
      </c>
      <c r="D85">
        <v>8</v>
      </c>
      <c r="E85" t="s">
        <v>15</v>
      </c>
      <c r="F85" t="s">
        <v>15</v>
      </c>
    </row>
    <row r="86" spans="2:7" x14ac:dyDescent="0.25">
      <c r="C86" t="s">
        <v>46</v>
      </c>
      <c r="D86">
        <v>25.9</v>
      </c>
      <c r="E86" t="s">
        <v>47</v>
      </c>
      <c r="F86" t="s">
        <v>47</v>
      </c>
    </row>
    <row r="87" spans="2:7" x14ac:dyDescent="0.25">
      <c r="B87" t="s">
        <v>52</v>
      </c>
      <c r="C87" t="s">
        <v>51</v>
      </c>
      <c r="D87">
        <f>D83/D86/(1/(D85)^0.5-1/(D84)^0.5)</f>
        <v>0.34664275576171344</v>
      </c>
      <c r="F87">
        <f>D87*D86</f>
        <v>8.9780473742283782</v>
      </c>
      <c r="G87">
        <f>F87/2</f>
        <v>4.4890236871141891</v>
      </c>
    </row>
    <row r="89" spans="2:7" x14ac:dyDescent="0.25">
      <c r="C89" t="s">
        <v>26</v>
      </c>
      <c r="D89">
        <f>D86*D87*(1/(F57)^0.5-1/(37)^0.5)</f>
        <v>2.971100428521392</v>
      </c>
      <c r="E89" t="s">
        <v>27</v>
      </c>
      <c r="F89" t="s">
        <v>53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sara amorim</vt:lpstr>
      <vt:lpstr>sem sinal menos</vt:lpstr>
      <vt:lpstr>com sinal menos</vt:lpstr>
      <vt:lpstr>Folha2</vt:lpstr>
      <vt:lpstr>Folha3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2021-12-02T17:37:25Z</dcterms:modified>
</cp:coreProperties>
</file>