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612" documentId="8_{5F796A8F-D896-4F09-B3C9-9A12C65848EF}" xr6:coauthVersionLast="47" xr6:coauthVersionMax="47" xr10:uidLastSave="{7EE4617F-3042-4D44-AA97-A60EBF518CD2}"/>
  <bookViews>
    <workbookView xWindow="3054" yWindow="3054" windowWidth="17172" windowHeight="8856" xr2:uid="{00000000-000D-0000-FFFF-FFFF00000000}"/>
  </bookViews>
  <sheets>
    <sheet name="Problema 1" sheetId="5" r:id="rId1"/>
    <sheet name="Problema 2" sheetId="4" r:id="rId2"/>
    <sheet name="Problema 3" sheetId="6" r:id="rId3"/>
  </sheets>
  <definedNames>
    <definedName name="solver_adj" localSheetId="1" hidden="1">'Problema 2'!$B$32</definedName>
    <definedName name="solver_cvg" localSheetId="1" hidden="1">"""""""""""""""0,0001"""""""""""""""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"""""""""""""""0,075"""""""""""""""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'Problema 2'!$B$31</definedName>
    <definedName name="solver_pre" localSheetId="1" hidden="1">"""""""""""""""0,000001"""""""""""""""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4" l="1"/>
  <c r="B13" i="4" s="1"/>
  <c r="B14" i="4"/>
  <c r="C22" i="6"/>
  <c r="C23" i="6" s="1"/>
  <c r="C16" i="6"/>
  <c r="C18" i="6" s="1"/>
  <c r="C20" i="6" s="1"/>
  <c r="B27" i="4"/>
  <c r="B20" i="4"/>
  <c r="B17" i="4"/>
  <c r="C16" i="5"/>
  <c r="C14" i="5"/>
  <c r="C13" i="5"/>
  <c r="C11" i="5"/>
  <c r="C21" i="5" s="1"/>
  <c r="B36" i="4" l="1"/>
  <c r="B28" i="4"/>
  <c r="B31" i="4" s="1"/>
  <c r="B33" i="4"/>
  <c r="B34" i="4" s="1"/>
  <c r="C26" i="5"/>
  <c r="C22" i="5"/>
  <c r="C27" i="5"/>
  <c r="C28" i="5" s="1"/>
  <c r="B18" i="4"/>
  <c r="B23" i="4" s="1"/>
  <c r="B21" i="4" l="1"/>
  <c r="B22" i="4" s="1"/>
  <c r="B35" i="4"/>
  <c r="C29" i="5"/>
</calcChain>
</file>

<file path=xl/sharedStrings.xml><?xml version="1.0" encoding="utf-8"?>
<sst xmlns="http://schemas.openxmlformats.org/spreadsheetml/2006/main" count="97" uniqueCount="64">
  <si>
    <t>a)</t>
  </si>
  <si>
    <t>b)</t>
  </si>
  <si>
    <t>m</t>
  </si>
  <si>
    <t>c)</t>
  </si>
  <si>
    <t>m/s</t>
  </si>
  <si>
    <t>Pa</t>
  </si>
  <si>
    <t>min</t>
  </si>
  <si>
    <t>Fluidização</t>
  </si>
  <si>
    <t>l =</t>
  </si>
  <si>
    <t>e =</t>
  </si>
  <si>
    <t>S =</t>
  </si>
  <si>
    <r>
      <t>m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</si>
  <si>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S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=</t>
    </r>
  </si>
  <si>
    <r>
      <t>A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=</t>
    </r>
  </si>
  <si>
    <t>do gráfico no ponto B</t>
  </si>
  <si>
    <t>Resolução 2º Teste 2023</t>
  </si>
  <si>
    <r>
      <t>u</t>
    </r>
    <r>
      <rPr>
        <vertAlign val="subscript"/>
        <sz val="11"/>
        <color theme="1"/>
        <rFont val="Calibri"/>
        <family val="2"/>
        <scheme val="minor"/>
      </rPr>
      <t>c_B</t>
    </r>
    <r>
      <rPr>
        <sz val="11"/>
        <color theme="1"/>
        <rFont val="Calibri"/>
        <family val="2"/>
        <scheme val="minor"/>
      </rPr>
      <t xml:space="preserve"> =</t>
    </r>
  </si>
  <si>
    <r>
      <t>(-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P) =</t>
    </r>
  </si>
  <si>
    <t>bar</t>
  </si>
  <si>
    <r>
      <t>Re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</t>
    </r>
  </si>
  <si>
    <t>leito fixo</t>
  </si>
  <si>
    <t>leito fluidizado</t>
  </si>
  <si>
    <t>do gráfico no ponto C</t>
  </si>
  <si>
    <r>
      <t>u</t>
    </r>
    <r>
      <rPr>
        <vertAlign val="subscript"/>
        <sz val="11"/>
        <color theme="1"/>
        <rFont val="Calibri"/>
        <family val="2"/>
        <scheme val="minor"/>
      </rPr>
      <t>c_C</t>
    </r>
    <r>
      <rPr>
        <sz val="11"/>
        <color theme="1"/>
        <rFont val="Calibri"/>
        <family val="2"/>
        <scheme val="minor"/>
      </rPr>
      <t xml:space="preserve"> =</t>
    </r>
  </si>
  <si>
    <r>
      <t>e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/(1-e) =</t>
    </r>
  </si>
  <si>
    <t>&lt; 2, regime laminar</t>
  </si>
  <si>
    <t>Filtração</t>
  </si>
  <si>
    <t>Fase 1</t>
  </si>
  <si>
    <t>dV/dt = 0</t>
  </si>
  <si>
    <t>t1 =</t>
  </si>
  <si>
    <t>Fase 2</t>
  </si>
  <si>
    <t>P cte</t>
  </si>
  <si>
    <t>t-t1 =</t>
  </si>
  <si>
    <t>t filtração =</t>
  </si>
  <si>
    <t>tciclo =</t>
  </si>
  <si>
    <t>SIGMA</t>
  </si>
  <si>
    <t>m2</t>
  </si>
  <si>
    <t>Q</t>
  </si>
  <si>
    <t>L/min</t>
  </si>
  <si>
    <t>m3/s</t>
  </si>
  <si>
    <t>H</t>
  </si>
  <si>
    <t>R</t>
  </si>
  <si>
    <t>ri</t>
  </si>
  <si>
    <t>w</t>
  </si>
  <si>
    <t>rpm</t>
  </si>
  <si>
    <t>rad/s</t>
  </si>
  <si>
    <t>u0</t>
  </si>
  <si>
    <t>u(r=R)</t>
  </si>
  <si>
    <t>t</t>
  </si>
  <si>
    <t>s</t>
  </si>
  <si>
    <t>uaxial</t>
  </si>
  <si>
    <t>A</t>
  </si>
  <si>
    <t>h</t>
  </si>
  <si>
    <t>Problema 2</t>
  </si>
  <si>
    <r>
      <t>V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=</t>
    </r>
  </si>
  <si>
    <t>m3</t>
  </si>
  <si>
    <t>kg/m3</t>
  </si>
  <si>
    <t>kg</t>
  </si>
  <si>
    <r>
      <t>e</t>
    </r>
    <r>
      <rPr>
        <vertAlign val="super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+ 0.665358e - 0.665358 =0</t>
    </r>
  </si>
  <si>
    <t>Problema 3</t>
  </si>
  <si>
    <t>Problema 1</t>
  </si>
  <si>
    <r>
      <t>m</t>
    </r>
    <r>
      <rPr>
        <vertAlign val="subscript"/>
        <sz val="11"/>
        <color theme="1"/>
        <rFont val="Calibri"/>
        <family val="2"/>
        <scheme val="minor"/>
      </rPr>
      <t>ench</t>
    </r>
    <r>
      <rPr>
        <sz val="11"/>
        <color theme="1"/>
        <rFont val="Calibri"/>
        <family val="2"/>
        <scheme val="minor"/>
      </rPr>
      <t>=</t>
    </r>
  </si>
  <si>
    <r>
      <t>d</t>
    </r>
    <r>
      <rPr>
        <vertAlign val="subscript"/>
        <sz val="11"/>
        <color theme="1"/>
        <rFont val="Calibri"/>
        <family val="2"/>
        <scheme val="minor"/>
      </rPr>
      <t>col</t>
    </r>
    <r>
      <rPr>
        <sz val="11"/>
        <color theme="1"/>
        <rFont val="Calibri"/>
        <family val="2"/>
        <scheme val="minor"/>
      </rPr>
      <t>=</t>
    </r>
  </si>
  <si>
    <r>
      <rPr>
        <sz val="11"/>
        <color theme="1"/>
        <rFont val="Symbol"/>
        <family val="1"/>
        <charset val="2"/>
      </rPr>
      <t>r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</si>
</sst>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342901</xdr:colOff>
      <xdr:row>18</xdr:row>
      <xdr:rowOff>33186</xdr:rowOff>
    </xdr:from>
    <xdr:to>
      <xdr:col>8</xdr:col>
      <xdr:colOff>144781</xdr:colOff>
      <xdr:row>23</xdr:row>
      <xdr:rowOff>45849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D88B42-6865-AE60-8711-E3F62BF5A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04261" y="4422306"/>
          <a:ext cx="1630680" cy="927063"/>
        </a:xfrm>
        <a:prstGeom prst="rect">
          <a:avLst/>
        </a:prstGeom>
      </xdr:spPr>
    </xdr:pic>
    <xdr:clientData/>
  </xdr:twoCellAnchor>
  <xdr:twoCellAnchor editAs="oneCell">
    <xdr:from>
      <xdr:col>5</xdr:col>
      <xdr:colOff>426720</xdr:colOff>
      <xdr:row>24</xdr:row>
      <xdr:rowOff>26962</xdr:rowOff>
    </xdr:from>
    <xdr:to>
      <xdr:col>8</xdr:col>
      <xdr:colOff>152400</xdr:colOff>
      <xdr:row>28</xdr:row>
      <xdr:rowOff>99179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904A8F0-05CA-FE0E-A861-95DEB0E2FD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8080" y="5513362"/>
          <a:ext cx="1554480" cy="8037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390525</xdr:colOff>
      <xdr:row>3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A4D95E-2F7F-47E1-8852-487CE0C238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30605" cy="662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</xdr:col>
      <xdr:colOff>57150</xdr:colOff>
      <xdr:row>0</xdr:row>
      <xdr:rowOff>152400</xdr:rowOff>
    </xdr:from>
    <xdr:ext cx="3825727" cy="436786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3C707D06-7899-465B-9FC5-467AB3C9450E}"/>
            </a:ext>
          </a:extLst>
        </xdr:cNvPr>
        <xdr:cNvSpPr txBox="1"/>
      </xdr:nvSpPr>
      <xdr:spPr>
        <a:xfrm>
          <a:off x="1337310" y="152400"/>
          <a:ext cx="382572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MIEQB</a:t>
          </a:r>
          <a:r>
            <a:rPr lang="pt-PT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– Mestrado Integrado Engenharia Química e Bioquímica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pt-PT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Unidade Curricular: OPERAÇÕES SÓLIDO-FLUIDO</a:t>
          </a:r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390525</xdr:colOff>
      <xdr:row>3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6E82ED-93C7-4742-9CA4-FCFBB56E7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24025" cy="662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</xdr:col>
      <xdr:colOff>57150</xdr:colOff>
      <xdr:row>0</xdr:row>
      <xdr:rowOff>152400</xdr:rowOff>
    </xdr:from>
    <xdr:ext cx="3825727" cy="436786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2A16DB9-1AFE-4439-8329-637AD4AE58A1}"/>
            </a:ext>
          </a:extLst>
        </xdr:cNvPr>
        <xdr:cNvSpPr txBox="1"/>
      </xdr:nvSpPr>
      <xdr:spPr>
        <a:xfrm>
          <a:off x="3086100" y="152400"/>
          <a:ext cx="382572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MIEQB</a:t>
          </a:r>
          <a:r>
            <a:rPr lang="pt-PT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– Mestrado Integrado Engenharia Química e Bioquímica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pt-PT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Unidade Curricular: OPERAÇÕES SÓLIDO-FLUIDO</a:t>
          </a:r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390525</xdr:colOff>
      <xdr:row>3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474E2D-354F-4A6B-96E3-9B310230B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30605" cy="662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</xdr:col>
      <xdr:colOff>57150</xdr:colOff>
      <xdr:row>0</xdr:row>
      <xdr:rowOff>152400</xdr:rowOff>
    </xdr:from>
    <xdr:ext cx="3825727" cy="436786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44D40662-8F3B-4C86-A3A8-2B8B646B2E66}"/>
            </a:ext>
          </a:extLst>
        </xdr:cNvPr>
        <xdr:cNvSpPr txBox="1"/>
      </xdr:nvSpPr>
      <xdr:spPr>
        <a:xfrm>
          <a:off x="1337310" y="152400"/>
          <a:ext cx="382572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MIEQB</a:t>
          </a:r>
          <a:r>
            <a:rPr lang="pt-PT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– Mestrado Integrado Engenharia Química e Bioquímica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pt-PT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Unidade Curricular: OPERAÇÕES SÓLIDO-FLUIDO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6D2FB-C5C4-4F45-AB1B-C07329767427}">
  <dimension ref="A6:D29"/>
  <sheetViews>
    <sheetView tabSelected="1" workbookViewId="0">
      <selection activeCell="B10" sqref="B10"/>
    </sheetView>
  </sheetViews>
  <sheetFormatPr defaultRowHeight="14.4"/>
  <cols>
    <col min="3" max="3" width="12" bestFit="1" customWidth="1"/>
  </cols>
  <sheetData>
    <row r="6" spans="1:4">
      <c r="A6" s="2" t="s">
        <v>15</v>
      </c>
      <c r="B6" s="2"/>
    </row>
    <row r="7" spans="1:4">
      <c r="A7" s="2"/>
      <c r="B7" s="2"/>
    </row>
    <row r="8" spans="1:4">
      <c r="A8" s="2" t="s">
        <v>60</v>
      </c>
      <c r="B8" s="2"/>
    </row>
    <row r="9" spans="1:4">
      <c r="B9" t="s">
        <v>35</v>
      </c>
      <c r="C9">
        <v>600</v>
      </c>
      <c r="D9" t="s">
        <v>36</v>
      </c>
    </row>
    <row r="10" spans="1:4">
      <c r="B10" t="s">
        <v>37</v>
      </c>
      <c r="C10">
        <v>12.5</v>
      </c>
      <c r="D10" t="s">
        <v>38</v>
      </c>
    </row>
    <row r="11" spans="1:4">
      <c r="C11">
        <f>C10/1000/60</f>
        <v>2.0833333333333335E-4</v>
      </c>
      <c r="D11" t="s">
        <v>39</v>
      </c>
    </row>
    <row r="12" spans="1:4">
      <c r="B12" t="s">
        <v>40</v>
      </c>
      <c r="C12">
        <v>1</v>
      </c>
      <c r="D12" t="s">
        <v>2</v>
      </c>
    </row>
    <row r="13" spans="1:4">
      <c r="B13" t="s">
        <v>41</v>
      </c>
      <c r="C13">
        <f>0.25/2</f>
        <v>0.125</v>
      </c>
      <c r="D13" t="s">
        <v>2</v>
      </c>
    </row>
    <row r="14" spans="1:4">
      <c r="B14" t="s">
        <v>42</v>
      </c>
      <c r="C14">
        <f>0.15/2</f>
        <v>7.4999999999999997E-2</v>
      </c>
      <c r="D14" t="s">
        <v>2</v>
      </c>
    </row>
    <row r="15" spans="1:4">
      <c r="B15" t="s">
        <v>43</v>
      </c>
      <c r="C15">
        <v>12000</v>
      </c>
      <c r="D15" t="s">
        <v>44</v>
      </c>
    </row>
    <row r="16" spans="1:4">
      <c r="C16">
        <f>C15/60*2*PI()</f>
        <v>1256.6370614359173</v>
      </c>
      <c r="D16" t="s">
        <v>45</v>
      </c>
    </row>
    <row r="21" spans="2:4">
      <c r="B21" t="s">
        <v>46</v>
      </c>
      <c r="C21">
        <f>C11/C9</f>
        <v>3.4722222222222224E-7</v>
      </c>
      <c r="D21" t="s">
        <v>4</v>
      </c>
    </row>
    <row r="22" spans="2:4">
      <c r="B22" t="s">
        <v>47</v>
      </c>
      <c r="C22">
        <f>C21*C13*C16^2/9.81</f>
        <v>6.98663806850249E-3</v>
      </c>
      <c r="D22" t="s">
        <v>4</v>
      </c>
    </row>
    <row r="26" spans="2:4">
      <c r="B26" t="s">
        <v>48</v>
      </c>
      <c r="C26">
        <f>9.81/C21/C16/C16*LN(C13/C14)</f>
        <v>9.1393317278899886</v>
      </c>
      <c r="D26" t="s">
        <v>49</v>
      </c>
    </row>
    <row r="27" spans="2:4">
      <c r="B27" t="s">
        <v>51</v>
      </c>
      <c r="C27">
        <f>PI()*(C13^2-C14^2)*C12</f>
        <v>3.1415926535897934E-2</v>
      </c>
      <c r="D27" t="s">
        <v>36</v>
      </c>
    </row>
    <row r="28" spans="2:4">
      <c r="B28" t="s">
        <v>50</v>
      </c>
      <c r="C28">
        <f>C11/C27</f>
        <v>6.6314559621623061E-3</v>
      </c>
      <c r="D28" t="s">
        <v>4</v>
      </c>
    </row>
    <row r="29" spans="2:4">
      <c r="B29" t="s">
        <v>52</v>
      </c>
      <c r="C29">
        <f>C28*C26</f>
        <v>6.0607075877095198E-2</v>
      </c>
      <c r="D29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9B126-D69E-4AC5-9C77-AF7E2F6E2A34}">
  <dimension ref="A6:I36"/>
  <sheetViews>
    <sheetView topLeftCell="A12" workbookViewId="0">
      <selection activeCell="B35" sqref="B35"/>
    </sheetView>
  </sheetViews>
  <sheetFormatPr defaultRowHeight="14.4"/>
  <cols>
    <col min="9" max="9" width="9.68359375" bestFit="1" customWidth="1"/>
  </cols>
  <sheetData>
    <row r="6" spans="1:9">
      <c r="A6" s="2" t="s">
        <v>15</v>
      </c>
      <c r="B6" s="2"/>
    </row>
    <row r="8" spans="1:9">
      <c r="A8" s="2" t="s">
        <v>53</v>
      </c>
      <c r="H8" s="2"/>
    </row>
    <row r="9" spans="1:9">
      <c r="A9" s="2" t="s">
        <v>7</v>
      </c>
      <c r="H9" s="2"/>
    </row>
    <row r="10" spans="1:9">
      <c r="A10" s="2" t="s">
        <v>0</v>
      </c>
      <c r="B10" s="2" t="s">
        <v>20</v>
      </c>
      <c r="H10" s="2"/>
    </row>
    <row r="11" spans="1:9" ht="16.8">
      <c r="A11" s="3" t="s">
        <v>54</v>
      </c>
      <c r="B11">
        <v>5.5E-2</v>
      </c>
      <c r="C11" t="s">
        <v>55</v>
      </c>
      <c r="D11" s="5" t="s">
        <v>63</v>
      </c>
      <c r="E11">
        <v>2500</v>
      </c>
      <c r="F11" t="s">
        <v>56</v>
      </c>
    </row>
    <row r="12" spans="1:9" ht="16.8">
      <c r="A12" s="3" t="s">
        <v>13</v>
      </c>
      <c r="B12">
        <f>+PI()*(E13/2)^2</f>
        <v>8.0424771931898703E-2</v>
      </c>
      <c r="C12" t="s">
        <v>36</v>
      </c>
      <c r="D12" s="3" t="s">
        <v>61</v>
      </c>
      <c r="E12">
        <v>70.94</v>
      </c>
      <c r="F12" t="s">
        <v>57</v>
      </c>
      <c r="I12" s="3"/>
    </row>
    <row r="13" spans="1:9" ht="16.8">
      <c r="A13" s="3" t="s">
        <v>8</v>
      </c>
      <c r="B13">
        <f>B11/B12</f>
        <v>0.68386889609798784</v>
      </c>
      <c r="C13" t="s">
        <v>2</v>
      </c>
      <c r="D13" s="3" t="s">
        <v>62</v>
      </c>
      <c r="E13">
        <v>0.32</v>
      </c>
      <c r="F13" t="s">
        <v>2</v>
      </c>
    </row>
    <row r="14" spans="1:9">
      <c r="A14" s="3" t="s">
        <v>9</v>
      </c>
      <c r="B14">
        <f>1-E12/E11/B11</f>
        <v>0.48407272727272732</v>
      </c>
    </row>
    <row r="16" spans="1:9">
      <c r="A16" s="2" t="s">
        <v>1</v>
      </c>
      <c r="B16" s="2" t="s">
        <v>20</v>
      </c>
      <c r="I16" s="3"/>
    </row>
    <row r="17" spans="1:9" ht="16.5">
      <c r="A17" s="3" t="s">
        <v>10</v>
      </c>
      <c r="B17">
        <f>6/0.00012</f>
        <v>50000</v>
      </c>
      <c r="C17" t="s">
        <v>11</v>
      </c>
    </row>
    <row r="18" spans="1:9" ht="17.7">
      <c r="A18" s="3" t="s">
        <v>12</v>
      </c>
      <c r="B18">
        <f>+(1-B14)*B17</f>
        <v>25796.363636363632</v>
      </c>
      <c r="C18" t="s">
        <v>11</v>
      </c>
      <c r="I18" s="3"/>
    </row>
    <row r="19" spans="1:9">
      <c r="A19" s="4" t="s">
        <v>14</v>
      </c>
    </row>
    <row r="20" spans="1:9" ht="16.8">
      <c r="A20" s="1" t="s">
        <v>16</v>
      </c>
      <c r="B20">
        <f>10^(-1.65)</f>
        <v>2.2387211385683389E-2</v>
      </c>
      <c r="C20" t="s">
        <v>4</v>
      </c>
      <c r="H20" s="2"/>
      <c r="I20" s="3"/>
    </row>
    <row r="21" spans="1:9" ht="14.7">
      <c r="A21" s="3" t="s">
        <v>17</v>
      </c>
      <c r="B21">
        <f>+B20*5*B18^2*0.0000172*B13/B14^3</f>
        <v>7724.2520712723981</v>
      </c>
      <c r="C21" t="s">
        <v>5</v>
      </c>
    </row>
    <row r="22" spans="1:9">
      <c r="B22">
        <f>+B21/100000</f>
        <v>7.7242520712723986E-2</v>
      </c>
      <c r="C22" t="s">
        <v>18</v>
      </c>
      <c r="H22" s="2"/>
      <c r="I22" s="3"/>
    </row>
    <row r="23" spans="1:9" ht="16.8">
      <c r="A23" s="3" t="s">
        <v>19</v>
      </c>
      <c r="B23">
        <f>+B20*1.3/B18/0.0000172</f>
        <v>6.5592836973120183E-2</v>
      </c>
      <c r="C23" t="s">
        <v>25</v>
      </c>
      <c r="I23" s="3"/>
    </row>
    <row r="25" spans="1:9">
      <c r="A25" s="2" t="s">
        <v>3</v>
      </c>
      <c r="B25" s="2" t="s">
        <v>21</v>
      </c>
    </row>
    <row r="26" spans="1:9">
      <c r="A26" s="4" t="s">
        <v>22</v>
      </c>
    </row>
    <row r="27" spans="1:9" ht="16.8">
      <c r="A27" s="1" t="s">
        <v>23</v>
      </c>
      <c r="B27">
        <f>10^(-1.12)</f>
        <v>7.5857757502918358E-2</v>
      </c>
      <c r="C27" t="s">
        <v>4</v>
      </c>
    </row>
    <row r="28" spans="1:9" ht="16.5">
      <c r="A28" s="3" t="s">
        <v>24</v>
      </c>
      <c r="B28">
        <f>5*B27*B17^2*0.0000172/9.81/(E11-1.3)</f>
        <v>0.66535792753424228</v>
      </c>
    </row>
    <row r="30" spans="1:9" ht="16.5">
      <c r="A30" s="4" t="s">
        <v>58</v>
      </c>
    </row>
    <row r="31" spans="1:9">
      <c r="B31">
        <f>+B32^3+B28*B32-B32</f>
        <v>1.6441059624838772E-10</v>
      </c>
    </row>
    <row r="32" spans="1:9">
      <c r="A32" s="3" t="s">
        <v>9</v>
      </c>
      <c r="B32">
        <v>0.5784825604544771</v>
      </c>
    </row>
    <row r="33" spans="1:3">
      <c r="A33" s="3" t="s">
        <v>8</v>
      </c>
      <c r="B33">
        <f>+B13*(1-B14)/(1-B32)</f>
        <v>0.83703918596407456</v>
      </c>
      <c r="C33" t="s">
        <v>2</v>
      </c>
    </row>
    <row r="34" spans="1:3" ht="14.7">
      <c r="A34" s="3" t="s">
        <v>17</v>
      </c>
      <c r="B34">
        <f>+B33*(1-B32)*(E11-1.3)*9.81</f>
        <v>8648.5731219850895</v>
      </c>
      <c r="C34" t="s">
        <v>5</v>
      </c>
    </row>
    <row r="35" spans="1:3">
      <c r="B35" s="6">
        <f>+B34/100000</f>
        <v>8.6485731219850898E-2</v>
      </c>
      <c r="C35" t="s">
        <v>18</v>
      </c>
    </row>
    <row r="36" spans="1:3" ht="16.8">
      <c r="A36" s="3" t="s">
        <v>19</v>
      </c>
      <c r="B36">
        <f>+B27*1.3/B17/(1-B32)/0.0000172</f>
        <v>0.27203786236156885</v>
      </c>
      <c r="C36" t="s">
        <v>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4857C-9810-4DE5-B9C4-6B630FE4C487}">
  <dimension ref="A6:D23"/>
  <sheetViews>
    <sheetView workbookViewId="0">
      <selection activeCell="F22" sqref="F22"/>
    </sheetView>
  </sheetViews>
  <sheetFormatPr defaultRowHeight="14.4"/>
  <cols>
    <col min="2" max="2" width="12.05078125" customWidth="1"/>
  </cols>
  <sheetData>
    <row r="6" spans="1:4">
      <c r="A6" s="2" t="s">
        <v>15</v>
      </c>
      <c r="B6" s="2"/>
    </row>
    <row r="8" spans="1:4">
      <c r="A8" s="2" t="s">
        <v>59</v>
      </c>
    </row>
    <row r="9" spans="1:4">
      <c r="A9" s="2" t="s">
        <v>26</v>
      </c>
    </row>
    <row r="10" spans="1:4">
      <c r="A10" s="2" t="s">
        <v>0</v>
      </c>
      <c r="B10" t="s">
        <v>27</v>
      </c>
    </row>
    <row r="11" spans="1:4">
      <c r="B11" t="s">
        <v>28</v>
      </c>
    </row>
    <row r="12" spans="1:4">
      <c r="B12" s="3" t="s">
        <v>29</v>
      </c>
      <c r="C12">
        <v>15</v>
      </c>
      <c r="D12" t="s">
        <v>6</v>
      </c>
    </row>
    <row r="14" spans="1:4">
      <c r="B14" t="s">
        <v>30</v>
      </c>
    </row>
    <row r="15" spans="1:4">
      <c r="B15" t="s">
        <v>31</v>
      </c>
    </row>
    <row r="16" spans="1:4">
      <c r="B16" s="3" t="s">
        <v>32</v>
      </c>
      <c r="C16">
        <f>4*C12</f>
        <v>60</v>
      </c>
      <c r="D16" t="s">
        <v>6</v>
      </c>
    </row>
    <row r="18" spans="1:4">
      <c r="B18" s="3" t="s">
        <v>33</v>
      </c>
      <c r="C18">
        <f>+C16+C12</f>
        <v>75</v>
      </c>
      <c r="D18" t="s">
        <v>6</v>
      </c>
    </row>
    <row r="20" spans="1:4">
      <c r="A20" s="2" t="s">
        <v>1</v>
      </c>
      <c r="B20" s="3" t="s">
        <v>34</v>
      </c>
      <c r="C20">
        <f>+C18+10</f>
        <v>85</v>
      </c>
      <c r="D20" t="s">
        <v>6</v>
      </c>
    </row>
    <row r="22" spans="1:4">
      <c r="A22" s="2" t="s">
        <v>3</v>
      </c>
      <c r="B22" s="3" t="s">
        <v>33</v>
      </c>
      <c r="C22">
        <f>10+15</f>
        <v>25</v>
      </c>
      <c r="D22" t="s">
        <v>6</v>
      </c>
    </row>
    <row r="23" spans="1:4">
      <c r="B23" s="3" t="s">
        <v>34</v>
      </c>
      <c r="C23">
        <f>10+C22</f>
        <v>35</v>
      </c>
      <c r="D23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Problema 1</vt:lpstr>
      <vt:lpstr>Problema 2</vt:lpstr>
      <vt:lpstr>Problema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2024-01-08T10:22:07Z</dcterms:modified>
</cp:coreProperties>
</file>