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PROJETOS\Human-conflict\Dissertação\"/>
    </mc:Choice>
  </mc:AlternateContent>
  <bookViews>
    <workbookView xWindow="0" yWindow="0" windowWidth="28800" windowHeight="11700" activeTab="1"/>
  </bookViews>
  <sheets>
    <sheet name="Planilha1" sheetId="1" r:id="rId1"/>
    <sheet name="Planilha4" sheetId="4" r:id="rId2"/>
    <sheet name="Planilha2" sheetId="2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0" i="2" l="1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G87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</calcChain>
</file>

<file path=xl/sharedStrings.xml><?xml version="1.0" encoding="utf-8"?>
<sst xmlns="http://schemas.openxmlformats.org/spreadsheetml/2006/main" count="1123" uniqueCount="191">
  <si>
    <t>p&lt;0,05</t>
  </si>
  <si>
    <t>ARC</t>
  </si>
  <si>
    <t>North_Chile</t>
  </si>
  <si>
    <t>FF</t>
  </si>
  <si>
    <t>Northern_Peru</t>
  </si>
  <si>
    <t>Central_coast</t>
  </si>
  <si>
    <t>Titicaca_Basin</t>
  </si>
  <si>
    <t>EIP</t>
  </si>
  <si>
    <t xml:space="preserve">MH </t>
  </si>
  <si>
    <t>MH</t>
  </si>
  <si>
    <t>northeast_highlands</t>
  </si>
  <si>
    <t>South_Peru</t>
  </si>
  <si>
    <t>Central_Peru</t>
  </si>
  <si>
    <t>LIP</t>
  </si>
  <si>
    <t>South_highlands</t>
  </si>
  <si>
    <t>Northeast_highlands</t>
  </si>
  <si>
    <t>Cusco_Peru</t>
  </si>
  <si>
    <t>Kuelap_Chachapoya</t>
  </si>
  <si>
    <t>Northwest_Argentina</t>
  </si>
  <si>
    <t>Highland_Nasca_Peru</t>
  </si>
  <si>
    <t>North_Peru</t>
  </si>
  <si>
    <t>LH</t>
  </si>
  <si>
    <t>North_Highlands</t>
  </si>
  <si>
    <t>Masc</t>
  </si>
  <si>
    <t>Fem</t>
  </si>
  <si>
    <t>Regiãon</t>
  </si>
  <si>
    <t>Tempo</t>
  </si>
  <si>
    <t>Central_coast_Peru</t>
  </si>
  <si>
    <t>North_coast</t>
  </si>
  <si>
    <t>St_Elena_Peninsula_Ecuador</t>
  </si>
  <si>
    <t>Masc_Observado</t>
  </si>
  <si>
    <t>Masc_Afetado</t>
  </si>
  <si>
    <t>Masc_sem trauma</t>
  </si>
  <si>
    <t>fr</t>
  </si>
  <si>
    <t>Fem_Observado</t>
  </si>
  <si>
    <t>Fem_afetado</t>
  </si>
  <si>
    <t>Fem_sem trauma</t>
  </si>
  <si>
    <t>0.0711856644</t>
  </si>
  <si>
    <t>0.0520187604</t>
  </si>
  <si>
    <t>0.5710924370</t>
  </si>
  <si>
    <t>0.3146853147</t>
  </si>
  <si>
    <t>0.0033752965</t>
  </si>
  <si>
    <t>0.3005519248</t>
  </si>
  <si>
    <t>0.4500000000</t>
  </si>
  <si>
    <t>0.0770494233</t>
  </si>
  <si>
    <t>0.1361234705</t>
  </si>
  <si>
    <t>0.5454545455</t>
  </si>
  <si>
    <t>0.2063492063</t>
  </si>
  <si>
    <t>0.6741078787</t>
  </si>
  <si>
    <t>0.0678896041</t>
  </si>
  <si>
    <t>0.6554765989</t>
  </si>
  <si>
    <t>0.3167701863</t>
  </si>
  <si>
    <t>0.2861157337</t>
  </si>
  <si>
    <t>0.4172836183</t>
  </si>
  <si>
    <t>0.1036327250</t>
  </si>
  <si>
    <t>0.6460206240</t>
  </si>
  <si>
    <t>0.5692307692</t>
  </si>
  <si>
    <t>0.6699214099</t>
  </si>
  <si>
    <t>0.7347566270</t>
  </si>
  <si>
    <t>0.0984307052</t>
  </si>
  <si>
    <t>0.3908150708</t>
  </si>
  <si>
    <t>0.5114134702</t>
  </si>
  <si>
    <t>0.1935510714</t>
  </si>
  <si>
    <t>0.5511528905</t>
  </si>
  <si>
    <t>0.2122221611</t>
  </si>
  <si>
    <t>0.4642857143</t>
  </si>
  <si>
    <t>0.4065217391</t>
  </si>
  <si>
    <t>0.7131399213</t>
  </si>
  <si>
    <t>0.0005840679</t>
  </si>
  <si>
    <t>0.2112049833</t>
  </si>
  <si>
    <t>0.5179410275</t>
  </si>
  <si>
    <t>0.5984025975</t>
  </si>
  <si>
    <t>0.5304437564</t>
  </si>
  <si>
    <t>0.7418679907</t>
  </si>
  <si>
    <t>0.0833333333</t>
  </si>
  <si>
    <t>0.2075077105</t>
  </si>
  <si>
    <t>0.7064552359</t>
  </si>
  <si>
    <t>0.5804195804</t>
  </si>
  <si>
    <t>0.6728770543</t>
  </si>
  <si>
    <t>0.3462532300</t>
  </si>
  <si>
    <t>0.0209386133</t>
  </si>
  <si>
    <t>0.3318834371</t>
  </si>
  <si>
    <t>0.0653740043</t>
  </si>
  <si>
    <t>0.6083916084</t>
  </si>
  <si>
    <t>0.3805044562</t>
  </si>
  <si>
    <t>0.5059943533</t>
  </si>
  <si>
    <t>0.5642110304</t>
  </si>
  <si>
    <t>0.0011143072</t>
  </si>
  <si>
    <t>0.1403508772</t>
  </si>
  <si>
    <t>0.4752469557</t>
  </si>
  <si>
    <t>0.0170132143</t>
  </si>
  <si>
    <t>0.1325153602</t>
  </si>
  <si>
    <t>0.3378052976</t>
  </si>
  <si>
    <t>0.0005589465</t>
  </si>
  <si>
    <t>Fisher.Test</t>
  </si>
  <si>
    <t>Sim</t>
  </si>
  <si>
    <t>Não</t>
  </si>
  <si>
    <t>Maior Fr</t>
  </si>
  <si>
    <t>Ind_Maior Fr</t>
  </si>
  <si>
    <t>Odds ratio</t>
  </si>
  <si>
    <t>Inf</t>
  </si>
  <si>
    <t>IC-95%</t>
  </si>
  <si>
    <t>0.9067071-16.4716523</t>
  </si>
  <si>
    <t>0.1103096-104.7360788</t>
  </si>
  <si>
    <t>0.01044359-78.35527446</t>
  </si>
  <si>
    <t>1.825697-814.294259</t>
  </si>
  <si>
    <t>0.07444791-23.22790093</t>
  </si>
  <si>
    <t>0.07518301-28.59975237</t>
  </si>
  <si>
    <t>0.03510228-312.38892497</t>
  </si>
  <si>
    <t>0.002968043-1.605879980</t>
  </si>
  <si>
    <t>0.2341317-4.8960238</t>
  </si>
  <si>
    <t>0.3071304-776.3482393</t>
  </si>
  <si>
    <t>0.662732-344.017413</t>
  </si>
  <si>
    <t>0.2310802-118.0713755</t>
  </si>
  <si>
    <t>0.5258919-18.0150933</t>
  </si>
  <si>
    <t>0.2142847-25.8434627</t>
  </si>
  <si>
    <t>0.0714251-4.4405747</t>
  </si>
  <si>
    <t>0.7146072-336.3556601</t>
  </si>
  <si>
    <t>0.3733301-33.6072926</t>
  </si>
  <si>
    <t>0.3993117-1.6251750</t>
  </si>
  <si>
    <t>0.2713947-5.0972867</t>
  </si>
  <si>
    <t>0.8043496-2.6943102</t>
  </si>
  <si>
    <t>0.002143066-31.283279293</t>
  </si>
  <si>
    <t>0.2809591-19.9022543</t>
  </si>
  <si>
    <t>0.3102573-9.0764605</t>
  </si>
  <si>
    <t>1.701774-11.852027</t>
  </si>
  <si>
    <t>0.1372196-2.5105261</t>
  </si>
  <si>
    <t>0.01277144-109.58633095</t>
  </si>
  <si>
    <t>0.4431474-------Inf</t>
  </si>
  <si>
    <t>0.00680901-14.52240295</t>
  </si>
  <si>
    <t>0.2647779-11.4700534</t>
  </si>
  <si>
    <t>0.154331-188.179320</t>
  </si>
  <si>
    <t>0.08133208-6.17951927</t>
  </si>
  <si>
    <t>0.3990861-237.9259230</t>
  </si>
  <si>
    <t>1.079123-3.680318</t>
  </si>
  <si>
    <t>0.1989474-39.4980687</t>
  </si>
  <si>
    <t>0.379802-19.479796</t>
  </si>
  <si>
    <t>0.1466343-181.2265674</t>
  </si>
  <si>
    <t>1.431229-5.167083</t>
  </si>
  <si>
    <t>0.7959975-9.6448894</t>
  </si>
  <si>
    <t>0.04224561-23.67109868</t>
  </si>
  <si>
    <t>0.2131443-3.5430524</t>
  </si>
  <si>
    <t>0.1749015-11.9046500</t>
  </si>
  <si>
    <t>0.271195-224.265605</t>
  </si>
  <si>
    <t>1.416005-4.062078</t>
  </si>
  <si>
    <t>0.1342317-170.7871838</t>
  </si>
  <si>
    <t>0.408659-75.900478</t>
  </si>
  <si>
    <t>0.4347918-15.7615857</t>
  </si>
  <si>
    <t>0.08073418-98.09696479</t>
  </si>
  <si>
    <t>0.4127567-348.6898273</t>
  </si>
  <si>
    <t>0.2222013-313.0419931</t>
  </si>
  <si>
    <t>0.4934869-3.2452106</t>
  </si>
  <si>
    <t>0.09269681-18.87552527</t>
  </si>
  <si>
    <t>0.364167-269.868425</t>
  </si>
  <si>
    <t>0.3022986-17.2056400</t>
  </si>
  <si>
    <t>0.817904-11.844968</t>
  </si>
  <si>
    <t>0.2272195-250.8760421</t>
  </si>
  <si>
    <t>0.2098189-6.8784075</t>
  </si>
  <si>
    <t>0.008520413-78.274138145</t>
  </si>
  <si>
    <t>0.1065786-3.5008057</t>
  </si>
  <si>
    <t>0.274573-4.623746</t>
  </si>
  <si>
    <t>0.5046639-34.6748950</t>
  </si>
  <si>
    <t>0.4322187-1.5187076</t>
  </si>
  <si>
    <t>0.008676444-7.469107912</t>
  </si>
  <si>
    <t>0.1179215-13.4451382</t>
  </si>
  <si>
    <t>0.2879295-1.3187415</t>
  </si>
  <si>
    <t>0.3788257-1.6903408</t>
  </si>
  <si>
    <t>0.000000-7.182812</t>
  </si>
  <si>
    <t>0.1565299-3.5024700</t>
  </si>
  <si>
    <t>0.02513062-18.19585684</t>
  </si>
  <si>
    <t>0.6809003-6.1740262</t>
  </si>
  <si>
    <t>0.008503093-15.542990444</t>
  </si>
  <si>
    <t>0.007857154-58.777583600</t>
  </si>
  <si>
    <t>0.4715043-24.3579718</t>
  </si>
  <si>
    <t>0.9091514-6.8922436</t>
  </si>
  <si>
    <t>0.362952-186.862871</t>
  </si>
  <si>
    <t>0.3233278-585.4374357</t>
  </si>
  <si>
    <t>0.3002302-9.5973848</t>
  </si>
  <si>
    <t>1.252934-61.079190</t>
  </si>
  <si>
    <t>0,9067071-16,4716523</t>
  </si>
  <si>
    <t>0,000000-7,182812</t>
  </si>
  <si>
    <t>0,4431474-------Inf</t>
  </si>
  <si>
    <t>relação</t>
  </si>
  <si>
    <t>s</t>
  </si>
  <si>
    <t>n</t>
  </si>
  <si>
    <t>moderada</t>
  </si>
  <si>
    <t>inprecisa</t>
  </si>
  <si>
    <t>precisa</t>
  </si>
  <si>
    <t xml:space="preserve">n </t>
  </si>
  <si>
    <t>amplitude IC</t>
  </si>
  <si>
    <t>precisão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</si>
</sst>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9" fontId="2" fillId="0" borderId="0" xfId="1" applyFont="1" applyFill="1"/>
    <xf numFmtId="0" fontId="0" fillId="0" borderId="0" xfId="0" applyFill="1"/>
    <xf numFmtId="9" fontId="0" fillId="0" borderId="0" xfId="1" applyFont="1" applyFill="1"/>
    <xf numFmtId="3" fontId="0" fillId="0" borderId="0" xfId="0" applyNumberFormat="1"/>
    <xf numFmtId="3" fontId="0" fillId="0" borderId="0" xfId="0" applyNumberFormat="1" applyFill="1"/>
    <xf numFmtId="0" fontId="3" fillId="0" borderId="0" xfId="0" applyFont="1" applyAlignment="1">
      <alignment vertical="center"/>
    </xf>
    <xf numFmtId="9" fontId="2" fillId="0" borderId="0" xfId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4368.061058217594" createdVersion="6" refreshedVersion="6" minRefreshableVersion="3" recordCount="79">
  <cacheSource type="worksheet">
    <worksheetSource ref="A1:S80" sheet="Planilha2"/>
  </cacheSource>
  <cacheFields count="19">
    <cacheField name="Tempo" numFmtId="0">
      <sharedItems/>
    </cacheField>
    <cacheField name="Regiãon" numFmtId="0">
      <sharedItems count="17">
        <s v="North_Chile"/>
        <s v="St_Elena_Peninsula_Ecuador"/>
        <s v="Northern_Peru"/>
        <s v="Central_coast_Peru"/>
        <s v="Titicaca_Basin"/>
        <s v="northeast_highlands"/>
        <s v="South_Peru"/>
        <s v="Central_Peru"/>
        <s v="South_highlands"/>
        <s v="Central_coast"/>
        <s v="Cusco_Peru"/>
        <s v="Kuelap_Chachapoya"/>
        <s v="Northwest_Argentina"/>
        <s v="Highland_Nasca_Peru"/>
        <s v="North_Peru"/>
        <s v="North_coast"/>
        <s v="North_Highlands"/>
      </sharedItems>
    </cacheField>
    <cacheField name="Maior Fr" numFmtId="9">
      <sharedItems count="2">
        <s v="Masc"/>
        <s v="Fem"/>
      </sharedItems>
    </cacheField>
    <cacheField name="Ind_Maior Fr" numFmtId="0">
      <sharedItems containsSemiMixedTypes="0" containsString="0" containsNumber="1" containsInteger="1" minValue="0" maxValue="1"/>
    </cacheField>
    <cacheField name="Masc_Observado" numFmtId="0">
      <sharedItems containsSemiMixedTypes="0" containsString="0" containsNumber="1" containsInteger="1" minValue="2" maxValue="201"/>
    </cacheField>
    <cacheField name="Masc_Afetado" numFmtId="0">
      <sharedItems containsSemiMixedTypes="0" containsString="0" containsNumber="1" containsInteger="1" minValue="1" maxValue="58"/>
    </cacheField>
    <cacheField name="Masc_sem trauma" numFmtId="0">
      <sharedItems containsSemiMixedTypes="0" containsString="0" containsNumber="1" containsInteger="1" minValue="1" maxValue="154"/>
    </cacheField>
    <cacheField name="fr" numFmtId="0">
      <sharedItems containsSemiMixedTypes="0" containsString="0" containsNumber="1" minValue="1.6666666666666666E-2" maxValue="0.83333333333333337"/>
    </cacheField>
    <cacheField name="Fem_Observado" numFmtId="0">
      <sharedItems containsSemiMixedTypes="0" containsString="0" containsNumber="1" containsInteger="1" minValue="3" maxValue="196"/>
    </cacheField>
    <cacheField name="Fem_afetado" numFmtId="0">
      <sharedItems containsSemiMixedTypes="0" containsString="0" containsNumber="1" containsInteger="1" minValue="1" maxValue="59"/>
    </cacheField>
    <cacheField name="Fem_sem trauma" numFmtId="0">
      <sharedItems containsSemiMixedTypes="0" containsString="0" containsNumber="1" containsInteger="1" minValue="1" maxValue="164"/>
    </cacheField>
    <cacheField name="fr2" numFmtId="0">
      <sharedItems containsSemiMixedTypes="0" containsString="0" containsNumber="1" minValue="8.4033613445378148E-3" maxValue="0.90909090909090906"/>
    </cacheField>
    <cacheField name="Fisher.Test" numFmtId="0">
      <sharedItems containsMixedTypes="1" containsNumber="1" containsInteger="1" minValue="1" maxValue="1"/>
    </cacheField>
    <cacheField name="Odds ratio" numFmtId="0">
      <sharedItems containsSemiMixedTypes="0" containsString="0" containsNumber="1" minValue="0.151" maxValue="8.3550000000000004"/>
    </cacheField>
    <cacheField name="relação" numFmtId="0">
      <sharedItems count="3">
        <s v="s"/>
        <s v="n"/>
        <s v="n "/>
      </sharedItems>
    </cacheField>
    <cacheField name="IC-95%" numFmtId="0">
      <sharedItems/>
    </cacheField>
    <cacheField name="amplitude IC" numFmtId="0">
      <sharedItems containsSemiMixedTypes="0" containsString="0" containsNumber="1" minValue="-812.46856200000002" maxValue="-1.0308120000000001" count="75">
        <n v="-15.564945199999999"/>
        <n v="-104.62576920000001"/>
        <n v="-170.65295210000002"/>
        <n v="-75.491819000000007"/>
        <n v="-78.34483087000001"/>
        <n v="-812.46856200000002"/>
        <n v="-23.153453020000001"/>
        <n v="-28.524569360000001"/>
        <n v="-15.3267939"/>
        <n v="-312.35382269000002"/>
        <n v="-1.602911937"/>
        <n v="-98.016230610000008"/>
        <n v="-348.2770706"/>
        <n v="-312.81979180000002"/>
        <n v="-4.6618921000000002"/>
        <n v="-776.04110890000004"/>
        <n v="-2.7517236999999999"/>
        <n v="-343.35468099999997"/>
        <n v="-117.84029530000001"/>
        <n v="-18.782828460000001"/>
        <n v="-269.50425799999999"/>
        <n v="-17.489201399999999"/>
        <n v="-16.903341399999999"/>
        <n v="-11.027063999999999"/>
        <n v="-25.629178"/>
        <n v="-250.64882260000002"/>
        <n v="-6.6685885999999996"/>
        <n v="-4.3691496000000001"/>
        <n v="-78.265617731999995"/>
        <n v="-3.3942270999999997"/>
        <n v="-335.64105290000003"/>
        <n v="-4.3491729999999995"/>
        <n v="-33.233962500000004"/>
        <n v="-1.2258633000000001"/>
        <n v="-4.8258919999999996"/>
        <n v="-34.170231100000002"/>
        <n v="-1.0864889"/>
        <n v="-7.4604314680000003"/>
        <n v="-1.8899605999999998"/>
        <n v="-13.327216700000001"/>
        <n v="-31.281136227000001"/>
        <n v="-19.621295199999999"/>
        <n v="-8.7662031999999996"/>
        <n v="-10.150252999999999"/>
        <n v="-1.0308120000000001"/>
        <n v="-2.3733065"/>
        <n v="-1.3115151"/>
        <n v="-3.3459401"/>
        <n v="-109.57355951000001"/>
        <n v="-18.170726220000002"/>
        <n v="-5.4931258999999999"/>
        <n v="-15.534487351000001"/>
        <n v="-14.51559394"/>
        <n v="-11.205275499999999"/>
        <n v="-188.02498899999998"/>
        <n v="-6.09818719"/>
        <n v="-237.52683690000001"/>
        <n v="-58.769726446"/>
        <n v="-2.6011950000000001"/>
        <n v="-23.886467500000002"/>
        <n v="-5.9830921999999997"/>
        <n v="-39.299121299999996"/>
        <n v="-186.49991900000001"/>
        <n v="-11.729748499999999"/>
        <n v="-19.099993999999999"/>
        <n v="-181.07993310000001"/>
        <n v="-3.7358539999999998"/>
        <n v="-585.11410790000002"/>
        <n v="-9.2971546000000007"/>
        <n v="-59.826255999999994"/>
        <n v="-8.8488918999999999"/>
        <n v="-23.628853070000002"/>
        <n v="-3.3299080999999999"/>
        <n v="-223.99440999999999"/>
        <n v="-2.6460729999999995"/>
      </sharedItems>
    </cacheField>
    <cacheField name="precisão" numFmtId="0">
      <sharedItems count="3">
        <s v="moderada"/>
        <s v="inprecisa"/>
        <s v="precisa"/>
      </sharedItems>
    </cacheField>
    <cacheField name="p&lt;0,0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ARC"/>
    <x v="0"/>
    <x v="0"/>
    <n v="1"/>
    <n v="41"/>
    <n v="12"/>
    <n v="29"/>
    <n v="0.29268292682926828"/>
    <n v="53"/>
    <n v="7"/>
    <n v="46"/>
    <n v="0.13207547169811321"/>
    <s v="0.0711856644"/>
    <n v="2.6890000000000001"/>
    <x v="0"/>
    <s v="0,9067071-16,4716523"/>
    <x v="0"/>
    <x v="0"/>
    <s v="Não"/>
  </r>
  <r>
    <s v="ARC"/>
    <x v="0"/>
    <x v="0"/>
    <n v="1"/>
    <n v="38"/>
    <n v="13"/>
    <n v="25"/>
    <n v="0.34210526315789475"/>
    <n v="31"/>
    <n v="4"/>
    <n v="27"/>
    <n v="0.12903225806451613"/>
    <s v="0.0520187604"/>
    <n v="3.448"/>
    <x v="0"/>
    <s v="0.9067071-16.4716523"/>
    <x v="0"/>
    <x v="0"/>
    <s v="Não"/>
  </r>
  <r>
    <s v="ARC"/>
    <x v="1"/>
    <x v="0"/>
    <n v="1"/>
    <n v="15"/>
    <n v="3"/>
    <n v="12"/>
    <n v="0.2"/>
    <n v="8"/>
    <n v="1"/>
    <n v="7"/>
    <n v="0.125"/>
    <n v="1"/>
    <n v="1.71"/>
    <x v="1"/>
    <s v="0.1103096-104.7360788"/>
    <x v="1"/>
    <x v="1"/>
    <s v="Não"/>
  </r>
  <r>
    <s v="FF"/>
    <x v="2"/>
    <x v="0"/>
    <n v="1"/>
    <n v="22"/>
    <n v="2"/>
    <n v="20"/>
    <n v="9.0909090909090912E-2"/>
    <n v="29"/>
    <n v="1"/>
    <n v="28"/>
    <n v="3.4482758620689655E-2"/>
    <s v="0.5710924370"/>
    <n v="2.7429999999999999"/>
    <x v="0"/>
    <s v="0.1342317-170.7871838"/>
    <x v="2"/>
    <x v="1"/>
    <s v="Não"/>
  </r>
  <r>
    <s v="FF"/>
    <x v="3"/>
    <x v="0"/>
    <n v="1"/>
    <n v="8"/>
    <n v="5"/>
    <n v="3"/>
    <n v="0.625"/>
    <n v="8"/>
    <n v="2"/>
    <n v="6"/>
    <n v="0.25"/>
    <s v="0.3146853147"/>
    <n v="4.4729999999999999"/>
    <x v="0"/>
    <s v="0.408659-75.900478"/>
    <x v="3"/>
    <x v="1"/>
    <s v="Não"/>
  </r>
  <r>
    <s v="FF"/>
    <x v="3"/>
    <x v="1"/>
    <n v="0"/>
    <n v="11"/>
    <n v="1"/>
    <n v="10"/>
    <n v="9.0909090909090912E-2"/>
    <n v="10"/>
    <n v="1"/>
    <n v="9"/>
    <n v="0.1"/>
    <n v="1"/>
    <n v="0.90400000000000003"/>
    <x v="1"/>
    <s v="0.01044359-78.35527446"/>
    <x v="4"/>
    <x v="1"/>
    <s v="Não"/>
  </r>
  <r>
    <s v="FF"/>
    <x v="3"/>
    <x v="0"/>
    <n v="1"/>
    <n v="19"/>
    <n v="10"/>
    <n v="9"/>
    <n v="0.52631578947368418"/>
    <n v="17"/>
    <n v="1"/>
    <n v="16"/>
    <n v="5.8823529411764705E-2"/>
    <s v="0.0033752965"/>
    <n v="1.639"/>
    <x v="1"/>
    <s v="1.825697-814.294259"/>
    <x v="5"/>
    <x v="1"/>
    <s v="Sim"/>
  </r>
  <r>
    <s v="FF"/>
    <x v="4"/>
    <x v="0"/>
    <n v="1"/>
    <n v="8"/>
    <n v="2"/>
    <n v="6"/>
    <n v="0.25"/>
    <n v="10"/>
    <n v="2"/>
    <n v="8"/>
    <n v="0.2"/>
    <n v="1"/>
    <n v="1.3109999999999999"/>
    <x v="1"/>
    <s v="0.07444791-23.22790093"/>
    <x v="6"/>
    <x v="1"/>
    <s v="Não"/>
  </r>
  <r>
    <s v="EIP"/>
    <x v="3"/>
    <x v="0"/>
    <n v="1"/>
    <n v="4"/>
    <n v="2"/>
    <n v="2"/>
    <n v="0.5"/>
    <n v="10"/>
    <n v="4"/>
    <n v="6"/>
    <n v="0.4"/>
    <n v="1"/>
    <n v="1.456"/>
    <x v="1"/>
    <s v="0.07518301-28.59975237"/>
    <x v="7"/>
    <x v="1"/>
    <s v="Não"/>
  </r>
  <r>
    <s v="EIP"/>
    <x v="3"/>
    <x v="0"/>
    <n v="1"/>
    <n v="30"/>
    <n v="6"/>
    <n v="24"/>
    <n v="0.2"/>
    <n v="31"/>
    <n v="3"/>
    <n v="28"/>
    <n v="9.6774193548387094E-2"/>
    <s v="0.3005519248"/>
    <n v="2.3010000000000002"/>
    <x v="0"/>
    <s v="0.4347918-15.7615857"/>
    <x v="8"/>
    <x v="0"/>
    <s v="Não"/>
  </r>
  <r>
    <s v="EIP"/>
    <x v="0"/>
    <x v="0"/>
    <n v="1"/>
    <n v="4"/>
    <n v="1"/>
    <n v="3"/>
    <n v="0.25"/>
    <n v="12"/>
    <n v="1"/>
    <n v="11"/>
    <n v="8.3333333333333329E-2"/>
    <s v="0.4500000000"/>
    <n v="3.3159999999999998"/>
    <x v="0"/>
    <s v="0.03510228-312.38892497"/>
    <x v="9"/>
    <x v="1"/>
    <s v="Não"/>
  </r>
  <r>
    <s v="EIP"/>
    <x v="0"/>
    <x v="1"/>
    <n v="0"/>
    <n v="60"/>
    <n v="1"/>
    <n v="59"/>
    <n v="1.6666666666666666E-2"/>
    <n v="39"/>
    <n v="4"/>
    <n v="35"/>
    <n v="0.10256410256410256"/>
    <s v="0.0770494233"/>
    <n v="0.151"/>
    <x v="1"/>
    <s v="0.002968043-1.605879980"/>
    <x v="10"/>
    <x v="2"/>
    <s v="Não"/>
  </r>
  <r>
    <s v="MH "/>
    <x v="3"/>
    <x v="0"/>
    <n v="1"/>
    <n v="11"/>
    <n v="3"/>
    <n v="8"/>
    <n v="0.27272727272727271"/>
    <n v="5"/>
    <n v="1"/>
    <n v="4"/>
    <n v="0.2"/>
    <n v="1"/>
    <n v="1.4630000000000001"/>
    <x v="1"/>
    <s v="0.08073418-98.09696479"/>
    <x v="11"/>
    <x v="1"/>
    <s v="Não"/>
  </r>
  <r>
    <s v="MH "/>
    <x v="3"/>
    <x v="0"/>
    <n v="1"/>
    <n v="12"/>
    <n v="3"/>
    <n v="9"/>
    <n v="0.25"/>
    <n v="20"/>
    <n v="1"/>
    <n v="19"/>
    <n v="0.05"/>
    <s v="0.1361234705"/>
    <n v="5.9530000000000003"/>
    <x v="0"/>
    <s v="0.4127567-348.6898273"/>
    <x v="12"/>
    <x v="1"/>
    <s v="Não"/>
  </r>
  <r>
    <s v="MH "/>
    <x v="3"/>
    <x v="0"/>
    <n v="1"/>
    <n v="6"/>
    <n v="3"/>
    <n v="3"/>
    <n v="0.5"/>
    <n v="6"/>
    <n v="1"/>
    <n v="5"/>
    <n v="0.16666666666666666"/>
    <s v="0.5454545455"/>
    <n v="4.3410000000000002"/>
    <x v="0"/>
    <s v="0.2222013-313.0419931"/>
    <x v="13"/>
    <x v="1"/>
    <s v="Não"/>
  </r>
  <r>
    <s v="MH "/>
    <x v="3"/>
    <x v="0"/>
    <n v="1"/>
    <n v="30"/>
    <n v="7"/>
    <n v="23"/>
    <n v="0.23333333333333334"/>
    <n v="22"/>
    <n v="5"/>
    <n v="17"/>
    <n v="0.22727272727272727"/>
    <n v="1"/>
    <n v="1.034"/>
    <x v="1"/>
    <s v="0.2341317-4.8960238"/>
    <x v="14"/>
    <x v="2"/>
    <s v="Não"/>
  </r>
  <r>
    <s v="MH"/>
    <x v="3"/>
    <x v="0"/>
    <n v="1"/>
    <n v="5"/>
    <n v="4"/>
    <n v="1"/>
    <n v="0.8"/>
    <n v="4"/>
    <n v="1"/>
    <n v="3"/>
    <n v="0.25"/>
    <s v="0.2063492063"/>
    <n v="8.3550000000000004"/>
    <x v="0"/>
    <s v="0.3071304-776.3482393"/>
    <x v="15"/>
    <x v="1"/>
    <s v="Não"/>
  </r>
  <r>
    <s v="MH"/>
    <x v="0"/>
    <x v="0"/>
    <n v="1"/>
    <n v="125"/>
    <n v="15"/>
    <n v="110"/>
    <n v="0.12"/>
    <n v="101"/>
    <n v="10"/>
    <n v="91"/>
    <n v="9.9009900990099015E-2"/>
    <s v="0.6741078787"/>
    <n v="1.2390000000000001"/>
    <x v="1"/>
    <s v="0.4934869-3.2452106"/>
    <x v="16"/>
    <x v="2"/>
    <s v="Não"/>
  </r>
  <r>
    <s v="MH"/>
    <x v="4"/>
    <x v="0"/>
    <n v="1"/>
    <n v="72"/>
    <n v="4"/>
    <n v="68"/>
    <n v="5.5555555555555552E-2"/>
    <n v="119"/>
    <n v="1"/>
    <n v="118"/>
    <n v="8.4033613445378148E-3"/>
    <s v="0.0678896041"/>
    <n v="6.8730000000000002"/>
    <x v="0"/>
    <s v="0.662732-344.017413"/>
    <x v="17"/>
    <x v="1"/>
    <s v="Não"/>
  </r>
  <r>
    <s v="MH"/>
    <x v="5"/>
    <x v="0"/>
    <n v="1"/>
    <n v="39"/>
    <n v="5"/>
    <n v="34"/>
    <n v="0.12820512820512819"/>
    <n v="17"/>
    <n v="1"/>
    <n v="16"/>
    <n v="5.8823529411764705E-2"/>
    <s v="0.6554765989"/>
    <n v="2.3220000000000001"/>
    <x v="0"/>
    <s v="0.2310802-118.0713755"/>
    <x v="18"/>
    <x v="1"/>
    <s v="Não"/>
  </r>
  <r>
    <s v="MH"/>
    <x v="3"/>
    <x v="0"/>
    <n v="1"/>
    <n v="48"/>
    <n v="2"/>
    <n v="46"/>
    <n v="4.1666666666666664E-2"/>
    <n v="63"/>
    <n v="2"/>
    <n v="61"/>
    <n v="3.1746031746031744E-2"/>
    <n v="1"/>
    <n v="1.3220000000000001"/>
    <x v="1"/>
    <s v="0.09269681-18.87552527"/>
    <x v="19"/>
    <x v="0"/>
    <s v="Não"/>
  </r>
  <r>
    <s v="MH"/>
    <x v="6"/>
    <x v="0"/>
    <n v="1"/>
    <n v="12"/>
    <n v="4"/>
    <n v="8"/>
    <n v="0.33333333333333331"/>
    <n v="11"/>
    <n v="1"/>
    <n v="10"/>
    <n v="9.0909090909090912E-2"/>
    <s v="0.3167701863"/>
    <n v="4.6760000000000002"/>
    <x v="0"/>
    <s v="0.364167-269.868425"/>
    <x v="20"/>
    <x v="1"/>
    <s v="Não"/>
  </r>
  <r>
    <s v="MH"/>
    <x v="6"/>
    <x v="0"/>
    <n v="1"/>
    <n v="36"/>
    <n v="6"/>
    <n v="30"/>
    <n v="0.16666666666666666"/>
    <n v="44"/>
    <n v="3"/>
    <n v="41"/>
    <n v="6.8181818181818177E-2"/>
    <s v="0.2861157337"/>
    <n v="2.6989999999999998"/>
    <x v="0"/>
    <s v="0.5258919-18.0150933"/>
    <x v="21"/>
    <x v="0"/>
    <s v="Não"/>
  </r>
  <r>
    <s v="MH"/>
    <x v="6"/>
    <x v="0"/>
    <n v="1"/>
    <n v="10"/>
    <n v="5"/>
    <n v="5"/>
    <n v="0.5"/>
    <n v="13"/>
    <n v="4"/>
    <n v="9"/>
    <n v="0.30769230769230771"/>
    <s v="0.4172836183"/>
    <n v="2.169"/>
    <x v="0"/>
    <s v="0.3022986-17.2056400"/>
    <x v="22"/>
    <x v="0"/>
    <s v="Não"/>
  </r>
  <r>
    <s v="MH"/>
    <x v="6"/>
    <x v="0"/>
    <n v="1"/>
    <n v="39"/>
    <n v="16"/>
    <n v="23"/>
    <n v="0.41025641025641024"/>
    <n v="26"/>
    <n v="5"/>
    <n v="21"/>
    <n v="0.19230769230769232"/>
    <s v="0.1036327250"/>
    <n v="2.8740000000000001"/>
    <x v="0"/>
    <s v="0.817904-11.844968"/>
    <x v="23"/>
    <x v="0"/>
    <s v="Não"/>
  </r>
  <r>
    <s v="MH"/>
    <x v="6"/>
    <x v="0"/>
    <n v="1"/>
    <n v="28"/>
    <n v="3"/>
    <n v="25"/>
    <n v="0.10714285714285714"/>
    <n v="36"/>
    <n v="2"/>
    <n v="34"/>
    <n v="5.5555555555555552E-2"/>
    <s v="0.6460206240"/>
    <n v="2.0169999999999999"/>
    <x v="0"/>
    <s v="0.2142847-25.8434627"/>
    <x v="24"/>
    <x v="1"/>
    <s v="Não"/>
  </r>
  <r>
    <s v="MH"/>
    <x v="6"/>
    <x v="0"/>
    <n v="1"/>
    <n v="8"/>
    <n v="3"/>
    <n v="5"/>
    <n v="0.375"/>
    <n v="8"/>
    <n v="1"/>
    <n v="7"/>
    <n v="0.125"/>
    <s v="0.5692307692"/>
    <n v="3.8380000000000001"/>
    <x v="0"/>
    <s v="0.2272195-250.8760421"/>
    <x v="25"/>
    <x v="1"/>
    <s v="Não"/>
  </r>
  <r>
    <s v="MH"/>
    <x v="7"/>
    <x v="0"/>
    <n v="1"/>
    <n v="14"/>
    <n v="4"/>
    <n v="10"/>
    <n v="0.2857142857142857"/>
    <n v="25"/>
    <n v="6"/>
    <n v="19"/>
    <n v="0.24"/>
    <n v="1"/>
    <n v="1.258"/>
    <x v="1"/>
    <s v="0.2098189-6.8784075"/>
    <x v="26"/>
    <x v="2"/>
    <s v="Não"/>
  </r>
  <r>
    <s v="MH"/>
    <x v="7"/>
    <x v="1"/>
    <n v="0"/>
    <n v="10"/>
    <n v="5"/>
    <n v="5"/>
    <n v="0.5"/>
    <n v="11"/>
    <n v="7"/>
    <n v="4"/>
    <n v="0.63636363636363635"/>
    <s v="0.6699214099"/>
    <n v="0.58699999999999997"/>
    <x v="1"/>
    <s v="0.0714251-4.4405747"/>
    <x v="27"/>
    <x v="2"/>
    <s v="Não"/>
  </r>
  <r>
    <s v="MH"/>
    <x v="7"/>
    <x v="1"/>
    <n v="0"/>
    <n v="5"/>
    <n v="4"/>
    <n v="1"/>
    <n v="0.8"/>
    <n v="6"/>
    <n v="5"/>
    <n v="1"/>
    <n v="0.83333333333333337"/>
    <n v="1"/>
    <n v="0.81599999999999995"/>
    <x v="2"/>
    <s v="0.008520413-78.274138145"/>
    <x v="28"/>
    <x v="1"/>
    <s v="Não"/>
  </r>
  <r>
    <s v="MH"/>
    <x v="0"/>
    <x v="1"/>
    <n v="0"/>
    <n v="25"/>
    <n v="3"/>
    <n v="22"/>
    <n v="0.12"/>
    <n v="43"/>
    <n v="7"/>
    <n v="36"/>
    <n v="0.16279069767441862"/>
    <s v="0.7347566270"/>
    <n v="0.70399999999999996"/>
    <x v="1"/>
    <s v="0.1065786-3.5008057"/>
    <x v="29"/>
    <x v="2"/>
    <s v="Não"/>
  </r>
  <r>
    <s v="MH"/>
    <x v="0"/>
    <x v="0"/>
    <n v="1"/>
    <n v="24"/>
    <n v="6"/>
    <n v="18"/>
    <n v="0.25"/>
    <n v="22"/>
    <n v="1"/>
    <n v="21"/>
    <n v="4.5454545454545456E-2"/>
    <s v="0.0984307052"/>
    <n v="6.7460000000000004"/>
    <x v="0"/>
    <s v="0.7146072-336.3556601"/>
    <x v="30"/>
    <x v="1"/>
    <s v="Não"/>
  </r>
  <r>
    <s v="MH"/>
    <x v="0"/>
    <x v="0"/>
    <n v="1"/>
    <n v="24"/>
    <n v="9"/>
    <n v="15"/>
    <n v="0.375"/>
    <n v="20"/>
    <n v="7"/>
    <n v="13"/>
    <n v="0.35"/>
    <n v="1"/>
    <n v="1.111"/>
    <x v="1"/>
    <s v="0.274573-4.623746"/>
    <x v="31"/>
    <x v="2"/>
    <s v="Não"/>
  </r>
  <r>
    <s v="MH"/>
    <x v="0"/>
    <x v="0"/>
    <n v="1"/>
    <n v="29"/>
    <n v="4"/>
    <n v="25"/>
    <n v="0.13793103448275862"/>
    <n v="38"/>
    <n v="2"/>
    <n v="36"/>
    <n v="5.2631578947368418E-2"/>
    <s v="0.3908150708"/>
    <n v="2.8340000000000001"/>
    <x v="0"/>
    <s v="0.3733301-33.6072926"/>
    <x v="32"/>
    <x v="1"/>
    <s v="Não"/>
  </r>
  <r>
    <s v="LIP"/>
    <x v="0"/>
    <x v="1"/>
    <n v="0"/>
    <n v="104"/>
    <n v="27"/>
    <n v="77"/>
    <n v="0.25961538461538464"/>
    <n v="79"/>
    <n v="24"/>
    <n v="55"/>
    <n v="0.30379746835443039"/>
    <s v="0.5114134702"/>
    <n v="0.80400000000000005"/>
    <x v="1"/>
    <s v="0.3993117-1.6251750"/>
    <x v="33"/>
    <x v="2"/>
    <s v="Não"/>
  </r>
  <r>
    <s v="LIP"/>
    <x v="0"/>
    <x v="0"/>
    <n v="1"/>
    <n v="105"/>
    <n v="8"/>
    <n v="97"/>
    <n v="7.6190476190476197E-2"/>
    <n v="56"/>
    <n v="4"/>
    <n v="52"/>
    <n v="7.1428571428571425E-2"/>
    <n v="1"/>
    <n v="1.071"/>
    <x v="1"/>
    <s v="0.2713947-5.0972867"/>
    <x v="34"/>
    <x v="2"/>
    <s v="Não"/>
  </r>
  <r>
    <s v="LIP"/>
    <x v="8"/>
    <x v="0"/>
    <n v="1"/>
    <n v="15"/>
    <n v="12"/>
    <n v="3"/>
    <n v="0.8"/>
    <n v="10"/>
    <n v="5"/>
    <n v="5"/>
    <n v="0.5"/>
    <s v="0.1935510714"/>
    <n v="3.762"/>
    <x v="0"/>
    <s v="0.5046639-34.6748950"/>
    <x v="35"/>
    <x v="1"/>
    <s v="Não"/>
  </r>
  <r>
    <s v="LIP"/>
    <x v="8"/>
    <x v="1"/>
    <n v="0"/>
    <n v="98"/>
    <n v="58"/>
    <n v="40"/>
    <n v="0.59183673469387754"/>
    <n v="92"/>
    <n v="59"/>
    <n v="33"/>
    <n v="0.64130434782608692"/>
    <s v="0.5511528905"/>
    <n v="0.81100000000000005"/>
    <x v="1"/>
    <s v="0.4322187-1.5187076"/>
    <x v="36"/>
    <x v="2"/>
    <s v="Não"/>
  </r>
  <r>
    <s v="LIP"/>
    <x v="8"/>
    <x v="1"/>
    <n v="0"/>
    <n v="18"/>
    <n v="15"/>
    <n v="3"/>
    <n v="0.83333333333333337"/>
    <n v="11"/>
    <n v="10"/>
    <n v="1"/>
    <n v="0.90909090909090906"/>
    <n v="1"/>
    <n v="0.51100000000000001"/>
    <x v="1"/>
    <s v="0.008676444-7.469107912"/>
    <x v="37"/>
    <x v="2"/>
    <s v="Não"/>
  </r>
  <r>
    <s v="LIP"/>
    <x v="5"/>
    <x v="0"/>
    <n v="1"/>
    <n v="201"/>
    <n v="47"/>
    <n v="154"/>
    <n v="0.23383084577114427"/>
    <n v="127"/>
    <n v="22"/>
    <n v="105"/>
    <n v="0.17322834645669291"/>
    <s v="0.2122221611"/>
    <n v="1.454"/>
    <x v="1"/>
    <s v="0.8043496-2.6943102"/>
    <x v="38"/>
    <x v="2"/>
    <s v="Não"/>
  </r>
  <r>
    <s v="LIP"/>
    <x v="6"/>
    <x v="0"/>
    <n v="1"/>
    <n v="60"/>
    <n v="3"/>
    <n v="57"/>
    <n v="0.05"/>
    <n v="43"/>
    <n v="2"/>
    <n v="41"/>
    <n v="4.6511627906976744E-2"/>
    <n v="1"/>
    <n v="1.0780000000000001"/>
    <x v="1"/>
    <s v="0.1179215-13.4451382"/>
    <x v="39"/>
    <x v="0"/>
    <s v="Não"/>
  </r>
  <r>
    <s v="LIP"/>
    <x v="9"/>
    <x v="1"/>
    <n v="0"/>
    <n v="2"/>
    <n v="1"/>
    <n v="1"/>
    <n v="0.5"/>
    <n v="6"/>
    <n v="5"/>
    <n v="1"/>
    <n v="0.83333333333333337"/>
    <s v="0.4642857143"/>
    <n v="0.25800000000000001"/>
    <x v="1"/>
    <s v="0.002143066-31.283279293"/>
    <x v="40"/>
    <x v="1"/>
    <s v="Não"/>
  </r>
  <r>
    <s v="LIP"/>
    <x v="9"/>
    <x v="0"/>
    <n v="1"/>
    <n v="11"/>
    <n v="4"/>
    <n v="7"/>
    <n v="0.36363636363636365"/>
    <n v="15"/>
    <n v="3"/>
    <n v="12"/>
    <n v="0.2"/>
    <s v="0.4065217391"/>
    <n v="2.2109999999999999"/>
    <x v="0"/>
    <s v="0.2809591-19.9022543"/>
    <x v="41"/>
    <x v="0"/>
    <s v="Não"/>
  </r>
  <r>
    <s v="LIP"/>
    <x v="9"/>
    <x v="0"/>
    <n v="1"/>
    <n v="14"/>
    <n v="7"/>
    <n v="7"/>
    <n v="0.5"/>
    <n v="16"/>
    <n v="6"/>
    <n v="10"/>
    <n v="0.375"/>
    <s v="0.7131399213"/>
    <n v="1.6379999999999999"/>
    <x v="1"/>
    <s v="0.3102573-9.0764605"/>
    <x v="42"/>
    <x v="2"/>
    <s v="Não"/>
  </r>
  <r>
    <s v="LIP"/>
    <x v="10"/>
    <x v="0"/>
    <n v="1"/>
    <n v="77"/>
    <n v="30"/>
    <n v="47"/>
    <n v="0.38961038961038963"/>
    <n v="62"/>
    <n v="8"/>
    <n v="54"/>
    <n v="0.12903225806451613"/>
    <s v="0.0005840679"/>
    <n v="4.2640000000000002"/>
    <x v="0"/>
    <s v="1.701774-11.852027"/>
    <x v="43"/>
    <x v="2"/>
    <s v="Sim"/>
  </r>
  <r>
    <s v="LIP"/>
    <x v="0"/>
    <x v="1"/>
    <n v="0"/>
    <n v="83"/>
    <n v="22"/>
    <n v="61"/>
    <n v="0.26506024096385544"/>
    <n v="65"/>
    <n v="24"/>
    <n v="41"/>
    <n v="0.36923076923076925"/>
    <s v="0.2112049833"/>
    <n v="0.61799999999999999"/>
    <x v="1"/>
    <s v="0.2879295-1.3187415"/>
    <x v="44"/>
    <x v="2"/>
    <s v="Não"/>
  </r>
  <r>
    <s v="LIP"/>
    <x v="11"/>
    <x v="1"/>
    <n v="0"/>
    <n v="42"/>
    <n v="6"/>
    <n v="36"/>
    <n v="0.14285714285714285"/>
    <n v="27"/>
    <n v="6"/>
    <n v="21"/>
    <n v="0.22222222222222221"/>
    <s v="0.5179410275"/>
    <n v="0.58799999999999997"/>
    <x v="1"/>
    <s v="0.1372196-2.5105261"/>
    <x v="45"/>
    <x v="2"/>
    <s v="Não"/>
  </r>
  <r>
    <s v="LIP"/>
    <x v="6"/>
    <x v="1"/>
    <n v="0"/>
    <n v="63"/>
    <n v="36"/>
    <n v="27"/>
    <n v="0.5714285714285714"/>
    <n v="72"/>
    <n v="45"/>
    <n v="27"/>
    <n v="0.625"/>
    <s v="0.5984025975"/>
    <n v="0.80100000000000005"/>
    <x v="1"/>
    <s v="0.3788257-1.6903408"/>
    <x v="46"/>
    <x v="2"/>
    <s v="Não"/>
  </r>
  <r>
    <s v="LIP"/>
    <x v="6"/>
    <x v="1"/>
    <n v="0"/>
    <n v="19"/>
    <n v="11"/>
    <n v="8"/>
    <n v="0.57894736842105265"/>
    <n v="17"/>
    <n v="11"/>
    <n v="6"/>
    <n v="0.6470588235294118"/>
    <s v="0.7418679907"/>
    <n v="0.75600000000000001"/>
    <x v="1"/>
    <s v="0.1565299-3.5024700"/>
    <x v="47"/>
    <x v="2"/>
    <s v="Não"/>
  </r>
  <r>
    <s v="LIP"/>
    <x v="6"/>
    <x v="0"/>
    <n v="1"/>
    <n v="15"/>
    <n v="12"/>
    <n v="3"/>
    <n v="0.8"/>
    <n v="10"/>
    <n v="5"/>
    <n v="5"/>
    <n v="0.5"/>
    <s v="0.1935510714"/>
    <n v="3.762"/>
    <x v="0"/>
    <s v="0.5046639-34.6748950"/>
    <x v="35"/>
    <x v="1"/>
    <s v="Não"/>
  </r>
  <r>
    <s v="LIP"/>
    <x v="0"/>
    <x v="0"/>
    <n v="1"/>
    <n v="6"/>
    <n v="1"/>
    <n v="5"/>
    <n v="0.16666666666666666"/>
    <n v="7"/>
    <n v="1"/>
    <n v="6"/>
    <n v="0.14285714285714285"/>
    <n v="1"/>
    <n v="1.1830000000000001"/>
    <x v="1"/>
    <s v="0.01277144-109.58633095"/>
    <x v="48"/>
    <x v="1"/>
    <s v="Não"/>
  </r>
  <r>
    <s v="LIP"/>
    <x v="4"/>
    <x v="1"/>
    <n v="0"/>
    <n v="5"/>
    <n v="2"/>
    <n v="3"/>
    <n v="0.4"/>
    <n v="4"/>
    <n v="2"/>
    <n v="2"/>
    <n v="0.5"/>
    <n v="1"/>
    <n v="0.69699999999999995"/>
    <x v="1"/>
    <s v="0.02513062-18.19585684"/>
    <x v="49"/>
    <x v="0"/>
    <s v="Não"/>
  </r>
  <r>
    <s v="LIP"/>
    <x v="12"/>
    <x v="0"/>
    <n v="1"/>
    <n v="44"/>
    <n v="11"/>
    <n v="33"/>
    <n v="0.25"/>
    <n v="64"/>
    <n v="9"/>
    <n v="55"/>
    <n v="0.140625"/>
    <s v="0.2075077105"/>
    <n v="2.0230000000000001"/>
    <x v="0"/>
    <s v="0.6809003-6.1740262"/>
    <x v="50"/>
    <x v="2"/>
    <s v="Não"/>
  </r>
  <r>
    <s v="LIP"/>
    <x v="12"/>
    <x v="1"/>
    <n v="0"/>
    <n v="6"/>
    <n v="1"/>
    <n v="5"/>
    <n v="0.16666666666666666"/>
    <n v="8"/>
    <n v="2"/>
    <n v="6"/>
    <n v="0.25"/>
    <n v="1"/>
    <n v="0.621"/>
    <x v="1"/>
    <s v="0.008503093-15.542990444"/>
    <x v="51"/>
    <x v="0"/>
    <s v="Não"/>
  </r>
  <r>
    <s v="LIP"/>
    <x v="12"/>
    <x v="1"/>
    <n v="0"/>
    <n v="5"/>
    <n v="1"/>
    <n v="4"/>
    <n v="0.2"/>
    <n v="6"/>
    <n v="2"/>
    <n v="4"/>
    <n v="0.33333333333333331"/>
    <n v="1"/>
    <n v="0.53200000000000003"/>
    <x v="1"/>
    <s v="0.00680901-14.52240295"/>
    <x v="52"/>
    <x v="0"/>
    <s v="Não"/>
  </r>
  <r>
    <s v="LIP"/>
    <x v="12"/>
    <x v="0"/>
    <n v="1"/>
    <n v="26"/>
    <n v="5"/>
    <n v="21"/>
    <n v="0.19230769230769232"/>
    <n v="23"/>
    <n v="3"/>
    <n v="20"/>
    <n v="0.13043478260869565"/>
    <s v="0.7064552359"/>
    <n v="1.5720000000000001"/>
    <x v="1"/>
    <s v="0.2647779-11.4700534"/>
    <x v="53"/>
    <x v="0"/>
    <s v="Não"/>
  </r>
  <r>
    <s v="LIP"/>
    <x v="12"/>
    <x v="0"/>
    <n v="1"/>
    <n v="8"/>
    <n v="3"/>
    <n v="5"/>
    <n v="0.375"/>
    <n v="6"/>
    <n v="1"/>
    <n v="5"/>
    <n v="0.16666666666666666"/>
    <s v="0.5804195804"/>
    <n v="2.7789999999999999"/>
    <x v="0"/>
    <s v="0.154331-188.179320"/>
    <x v="54"/>
    <x v="1"/>
    <s v="Não"/>
  </r>
  <r>
    <s v="LIP"/>
    <x v="12"/>
    <x v="1"/>
    <n v="0"/>
    <n v="18"/>
    <n v="6"/>
    <n v="12"/>
    <n v="0.33333333333333331"/>
    <n v="7"/>
    <n v="3"/>
    <n v="4"/>
    <n v="0.42857142857142855"/>
    <s v="0.6728770543"/>
    <n v="0.67700000000000005"/>
    <x v="1"/>
    <s v="0.08133208-6.17951927"/>
    <x v="55"/>
    <x v="2"/>
    <s v="Não"/>
  </r>
  <r>
    <s v="LIP"/>
    <x v="12"/>
    <x v="0"/>
    <n v="1"/>
    <n v="23"/>
    <n v="4"/>
    <n v="19"/>
    <n v="0.17391304347826086"/>
    <n v="23"/>
    <n v="1"/>
    <n v="22"/>
    <n v="4.3478260869565216E-2"/>
    <s v="0.3462532300"/>
    <n v="4.492"/>
    <x v="0"/>
    <s v="0.3990861-237.9259230"/>
    <x v="56"/>
    <x v="1"/>
    <s v="Não"/>
  </r>
  <r>
    <s v="LIP"/>
    <x v="13"/>
    <x v="1"/>
    <n v="0"/>
    <n v="13"/>
    <n v="1"/>
    <n v="12"/>
    <n v="7.6923076923076927E-2"/>
    <n v="9"/>
    <n v="1"/>
    <n v="8"/>
    <n v="0.1111111111111111"/>
    <n v="1"/>
    <n v="0.67900000000000005"/>
    <x v="1"/>
    <s v="0.007857154-58.777583600"/>
    <x v="57"/>
    <x v="1"/>
    <s v="Não"/>
  </r>
  <r>
    <s v="LIP"/>
    <x v="14"/>
    <x v="0"/>
    <n v="1"/>
    <n v="97"/>
    <n v="43"/>
    <n v="54"/>
    <n v="0.44329896907216493"/>
    <n v="112"/>
    <n v="32"/>
    <n v="80"/>
    <n v="0.2857142857142857"/>
    <s v="0.0209386133"/>
    <n v="1.984"/>
    <x v="1"/>
    <s v="1.079123-3.680318"/>
    <x v="58"/>
    <x v="2"/>
    <s v="Sim"/>
  </r>
  <r>
    <s v="LIP"/>
    <x v="7"/>
    <x v="0"/>
    <n v="1"/>
    <n v="67"/>
    <n v="10"/>
    <n v="57"/>
    <n v="0.14925373134328357"/>
    <n v="30"/>
    <n v="2"/>
    <n v="28"/>
    <n v="6.6666666666666666E-2"/>
    <s v="0.3318834371"/>
    <n v="2.4359999999999999"/>
    <x v="0"/>
    <s v="0.4715043-24.3579718"/>
    <x v="59"/>
    <x v="1"/>
    <s v="Não"/>
  </r>
  <r>
    <s v="LIP"/>
    <x v="6"/>
    <x v="0"/>
    <n v="1"/>
    <n v="125"/>
    <n v="21"/>
    <n v="104"/>
    <n v="0.16800000000000001"/>
    <n v="89"/>
    <n v="7"/>
    <n v="82"/>
    <n v="7.8651685393258425E-2"/>
    <s v="0.0653740043"/>
    <n v="2.3559999999999999"/>
    <x v="0"/>
    <s v="0.9091514-6.8922436"/>
    <x v="60"/>
    <x v="2"/>
    <s v="Não"/>
  </r>
  <r>
    <s v="LH"/>
    <x v="0"/>
    <x v="0"/>
    <n v="1"/>
    <n v="7"/>
    <n v="5"/>
    <n v="2"/>
    <n v="0.7142857142857143"/>
    <n v="8"/>
    <n v="4"/>
    <n v="4"/>
    <n v="0.5"/>
    <s v="0.6083916084"/>
    <n v="2.3479999999999999"/>
    <x v="0"/>
    <s v="0.1989474-39.4980687"/>
    <x v="61"/>
    <x v="1"/>
    <s v="Não"/>
  </r>
  <r>
    <s v="LH"/>
    <x v="0"/>
    <x v="0"/>
    <n v="1"/>
    <n v="29"/>
    <n v="5"/>
    <n v="24"/>
    <n v="0.17241379310344829"/>
    <n v="19"/>
    <n v="1"/>
    <n v="18"/>
    <n v="5.2631578947368418E-2"/>
    <s v="0.3805044562"/>
    <n v="3.6629999999999998"/>
    <x v="0"/>
    <s v="0.362952-186.862871"/>
    <x v="62"/>
    <x v="1"/>
    <s v="Não"/>
  </r>
  <r>
    <s v="LH"/>
    <x v="0"/>
    <x v="0"/>
    <n v="1"/>
    <n v="143"/>
    <n v="5"/>
    <n v="138"/>
    <n v="3.4965034965034968E-2"/>
    <n v="63"/>
    <n v="2"/>
    <n v="61"/>
    <n v="3.1746031746031744E-2"/>
    <n v="1"/>
    <n v="1.1040000000000001"/>
    <x v="1"/>
    <s v="0.1749015-11.9046500"/>
    <x v="63"/>
    <x v="0"/>
    <s v="Não"/>
  </r>
  <r>
    <s v="LH"/>
    <x v="6"/>
    <x v="0"/>
    <n v="1"/>
    <n v="160"/>
    <n v="8"/>
    <n v="152"/>
    <n v="0.05"/>
    <n v="77"/>
    <n v="2"/>
    <n v="75"/>
    <n v="2.5974025974025976E-2"/>
    <s v="0.5059943533"/>
    <n v="1.968"/>
    <x v="1"/>
    <s v="0.379802-19.479796"/>
    <x v="64"/>
    <x v="0"/>
    <s v="Não"/>
  </r>
  <r>
    <s v="LH"/>
    <x v="7"/>
    <x v="0"/>
    <n v="1"/>
    <n v="28"/>
    <n v="2"/>
    <n v="26"/>
    <n v="7.1428571428571425E-2"/>
    <n v="40"/>
    <n v="1"/>
    <n v="39"/>
    <n v="2.5000000000000001E-2"/>
    <s v="0.5642110304"/>
    <n v="2.9510000000000001"/>
    <x v="0"/>
    <s v="0.1466343-181.2265674"/>
    <x v="65"/>
    <x v="1"/>
    <s v="Não"/>
  </r>
  <r>
    <s v="LH"/>
    <x v="7"/>
    <x v="0"/>
    <n v="1"/>
    <n v="88"/>
    <n v="49"/>
    <n v="39"/>
    <n v="0.55681818181818177"/>
    <n v="98"/>
    <n v="31"/>
    <n v="67"/>
    <n v="0.31632653061224492"/>
    <s v="0.0011143072"/>
    <n v="2.7"/>
    <x v="0"/>
    <s v="1.431229-5.167083"/>
    <x v="66"/>
    <x v="2"/>
    <s v="Sim"/>
  </r>
  <r>
    <s v="LH"/>
    <x v="15"/>
    <x v="1"/>
    <n v="0"/>
    <n v="11"/>
    <n v="6"/>
    <n v="5"/>
    <n v="0.54545454545454541"/>
    <n v="3"/>
    <n v="2"/>
    <n v="1"/>
    <n v="0.66666666666666663"/>
    <n v="1"/>
    <n v="0.621"/>
    <x v="1"/>
    <s v="0.008503093-15.542990444"/>
    <x v="51"/>
    <x v="0"/>
    <s v="Não"/>
  </r>
  <r>
    <s v="LH"/>
    <x v="7"/>
    <x v="0"/>
    <n v="1"/>
    <n v="3"/>
    <n v="2"/>
    <n v="1"/>
    <n v="0.66666666666666663"/>
    <n v="17"/>
    <n v="3"/>
    <n v="14"/>
    <n v="0.17647058823529413"/>
    <s v="0.1403508772"/>
    <n v="7.992"/>
    <x v="0"/>
    <s v="0.3233278-585.4374357"/>
    <x v="67"/>
    <x v="1"/>
    <s v="Não"/>
  </r>
  <r>
    <s v="LH"/>
    <x v="16"/>
    <x v="0"/>
    <n v="1"/>
    <n v="48"/>
    <n v="4"/>
    <n v="44"/>
    <n v="8.3333333333333329E-2"/>
    <n v="79"/>
    <n v="4"/>
    <n v="75"/>
    <n v="5.0632911392405063E-2"/>
    <s v="0.4752469557"/>
    <n v="1.6970000000000001"/>
    <x v="1"/>
    <s v="0.3002302-9.5973848"/>
    <x v="68"/>
    <x v="2"/>
    <s v="Não"/>
  </r>
  <r>
    <s v="LH"/>
    <x v="7"/>
    <x v="0"/>
    <n v="1"/>
    <n v="48"/>
    <n v="12"/>
    <n v="36"/>
    <n v="0.25"/>
    <n v="40"/>
    <n v="2"/>
    <n v="38"/>
    <n v="0.05"/>
    <s v="0.0170132143"/>
    <n v="6.2190000000000003"/>
    <x v="0"/>
    <s v="1.252934-61.079190"/>
    <x v="69"/>
    <x v="1"/>
    <s v="Sim"/>
  </r>
  <r>
    <s v="LH"/>
    <x v="7"/>
    <x v="0"/>
    <n v="1"/>
    <n v="72"/>
    <n v="14"/>
    <n v="58"/>
    <n v="0.19444444444444445"/>
    <n v="58"/>
    <n v="5"/>
    <n v="53"/>
    <n v="8.6206896551724144E-2"/>
    <s v="0.1325153602"/>
    <n v="2.5409999999999999"/>
    <x v="0"/>
    <s v="0.7959975-9.6448894"/>
    <x v="70"/>
    <x v="2"/>
    <s v="Não"/>
  </r>
  <r>
    <s v="LH"/>
    <x v="7"/>
    <x v="0"/>
    <n v="1"/>
    <n v="5"/>
    <n v="2"/>
    <n v="3"/>
    <n v="0.4"/>
    <n v="5"/>
    <n v="2"/>
    <n v="3"/>
    <n v="0.4"/>
    <n v="1"/>
    <n v="1"/>
    <x v="1"/>
    <s v="0.04224561-23.67109868"/>
    <x v="71"/>
    <x v="1"/>
    <s v="Não"/>
  </r>
  <r>
    <s v="LH"/>
    <x v="0"/>
    <x v="1"/>
    <n v="0"/>
    <n v="23"/>
    <n v="7"/>
    <n v="16"/>
    <n v="0.30434782608695654"/>
    <n v="24"/>
    <n v="8"/>
    <n v="16"/>
    <n v="0.33333333333333331"/>
    <n v="1"/>
    <n v="0.877"/>
    <x v="1"/>
    <s v="0.2131443-3.5430524"/>
    <x v="72"/>
    <x v="2"/>
    <s v="Não"/>
  </r>
  <r>
    <s v="LH"/>
    <x v="2"/>
    <x v="0"/>
    <n v="1"/>
    <n v="143"/>
    <n v="5"/>
    <n v="138"/>
    <n v="3.4965034965034968E-2"/>
    <n v="63"/>
    <n v="2"/>
    <n v="61"/>
    <n v="3.1746031746031744E-2"/>
    <n v="1"/>
    <n v="1.1040000000000001"/>
    <x v="1"/>
    <s v="0.1749015-11.9046500"/>
    <x v="63"/>
    <x v="0"/>
    <s v="Não"/>
  </r>
  <r>
    <s v="LH"/>
    <x v="7"/>
    <x v="0"/>
    <n v="1"/>
    <n v="11"/>
    <n v="4"/>
    <n v="7"/>
    <n v="0.36363636363636365"/>
    <n v="8"/>
    <n v="1"/>
    <n v="7"/>
    <n v="0.125"/>
    <s v="0.3378052976"/>
    <n v="3.7330000000000001"/>
    <x v="0"/>
    <s v="0.271195-224.265605"/>
    <x v="73"/>
    <x v="1"/>
    <s v="Não"/>
  </r>
  <r>
    <s v="LH"/>
    <x v="7"/>
    <x v="0"/>
    <n v="1"/>
    <n v="173"/>
    <n v="55"/>
    <n v="118"/>
    <n v="0.31791907514450868"/>
    <n v="196"/>
    <n v="32"/>
    <n v="164"/>
    <n v="0.16326530612244897"/>
    <s v="0.0005589465"/>
    <n v="2.383"/>
    <x v="0"/>
    <s v="1.416005-4.062078"/>
    <x v="74"/>
    <x v="2"/>
    <s v="S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19">
    <pivotField showAll="0"/>
    <pivotField showAll="0">
      <items count="18">
        <item x="9"/>
        <item x="3"/>
        <item x="7"/>
        <item x="10"/>
        <item x="13"/>
        <item x="11"/>
        <item x="0"/>
        <item x="15"/>
        <item x="16"/>
        <item x="14"/>
        <item x="5"/>
        <item x="2"/>
        <item x="12"/>
        <item x="8"/>
        <item x="6"/>
        <item x="1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76">
        <item x="5"/>
        <item x="15"/>
        <item x="67"/>
        <item x="12"/>
        <item x="17"/>
        <item x="30"/>
        <item x="13"/>
        <item x="9"/>
        <item x="20"/>
        <item x="25"/>
        <item x="56"/>
        <item x="73"/>
        <item x="54"/>
        <item x="62"/>
        <item x="65"/>
        <item x="2"/>
        <item x="18"/>
        <item x="48"/>
        <item x="1"/>
        <item x="11"/>
        <item x="4"/>
        <item x="28"/>
        <item x="3"/>
        <item x="69"/>
        <item x="57"/>
        <item x="61"/>
        <item x="35"/>
        <item x="32"/>
        <item x="40"/>
        <item x="7"/>
        <item x="24"/>
        <item x="59"/>
        <item x="71"/>
        <item x="6"/>
        <item x="41"/>
        <item x="64"/>
        <item x="19"/>
        <item x="49"/>
        <item x="21"/>
        <item x="22"/>
        <item x="0"/>
        <item x="51"/>
        <item x="8"/>
        <item x="52"/>
        <item x="39"/>
        <item x="63"/>
        <item x="53"/>
        <item x="23"/>
        <item x="43"/>
        <item x="68"/>
        <item x="70"/>
        <item x="42"/>
        <item x="37"/>
        <item x="26"/>
        <item x="55"/>
        <item x="60"/>
        <item x="50"/>
        <item x="34"/>
        <item x="14"/>
        <item x="27"/>
        <item x="31"/>
        <item x="66"/>
        <item x="29"/>
        <item x="47"/>
        <item x="72"/>
        <item x="16"/>
        <item x="74"/>
        <item x="58"/>
        <item x="45"/>
        <item x="38"/>
        <item x="10"/>
        <item x="46"/>
        <item x="33"/>
        <item x="36"/>
        <item x="44"/>
        <item t="default"/>
      </items>
    </pivotField>
    <pivotField showAll="0">
      <items count="4">
        <item x="1"/>
        <item x="0"/>
        <item x="2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C1" workbookViewId="0">
      <selection activeCell="Q2" sqref="Q2:Q64"/>
    </sheetView>
  </sheetViews>
  <sheetFormatPr defaultRowHeight="15" x14ac:dyDescent="0.25"/>
  <cols>
    <col min="1" max="1" width="8.85546875" bestFit="1" customWidth="1"/>
    <col min="2" max="2" width="35.42578125" bestFit="1" customWidth="1"/>
    <col min="3" max="4" width="35.42578125" customWidth="1"/>
    <col min="13" max="13" width="13.85546875" bestFit="1" customWidth="1"/>
    <col min="14" max="15" width="13.85546875" style="11" customWidth="1"/>
    <col min="16" max="17" width="27.85546875" bestFit="1" customWidth="1"/>
  </cols>
  <sheetData>
    <row r="1" spans="1:18" x14ac:dyDescent="0.25">
      <c r="A1" s="1" t="s">
        <v>26</v>
      </c>
      <c r="B1" s="1" t="s">
        <v>25</v>
      </c>
      <c r="C1" s="2" t="s">
        <v>97</v>
      </c>
      <c r="D1" t="s">
        <v>98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33</v>
      </c>
      <c r="M1" s="2" t="s">
        <v>94</v>
      </c>
      <c r="N1" s="8" t="s">
        <v>99</v>
      </c>
      <c r="O1" s="8" t="s">
        <v>182</v>
      </c>
      <c r="P1" s="2" t="s">
        <v>101</v>
      </c>
      <c r="Q1" s="2">
        <f ca="1">ABS(Q1:Q2)</f>
        <v>0</v>
      </c>
      <c r="R1" s="2" t="s">
        <v>0</v>
      </c>
    </row>
    <row r="2" spans="1:18" x14ac:dyDescent="0.25">
      <c r="A2" s="3" t="s">
        <v>1</v>
      </c>
      <c r="B2" s="3" t="s">
        <v>2</v>
      </c>
      <c r="C2" s="4" t="s">
        <v>23</v>
      </c>
      <c r="D2">
        <v>1</v>
      </c>
      <c r="E2">
        <v>41</v>
      </c>
      <c r="F2">
        <v>12</v>
      </c>
      <c r="G2">
        <v>29</v>
      </c>
      <c r="H2">
        <v>0.29268292682926828</v>
      </c>
      <c r="I2">
        <v>53</v>
      </c>
      <c r="J2">
        <v>7</v>
      </c>
      <c r="K2">
        <v>46</v>
      </c>
      <c r="L2">
        <v>0.13207547169811321</v>
      </c>
      <c r="M2" t="s">
        <v>37</v>
      </c>
      <c r="N2" s="12">
        <v>2.6890000000000001</v>
      </c>
      <c r="O2" s="12" t="s">
        <v>183</v>
      </c>
      <c r="P2" s="7" t="s">
        <v>179</v>
      </c>
      <c r="Q2" s="7">
        <f>0.9067071-16.4716523</f>
        <v>-15.564945199999999</v>
      </c>
      <c r="R2" s="3" t="s">
        <v>96</v>
      </c>
    </row>
    <row r="3" spans="1:18" x14ac:dyDescent="0.25">
      <c r="A3" s="3" t="s">
        <v>1</v>
      </c>
      <c r="B3" s="3" t="s">
        <v>2</v>
      </c>
      <c r="C3" s="4" t="s">
        <v>23</v>
      </c>
      <c r="D3">
        <v>1</v>
      </c>
      <c r="E3">
        <v>38</v>
      </c>
      <c r="F3">
        <v>13</v>
      </c>
      <c r="G3">
        <v>25</v>
      </c>
      <c r="H3">
        <v>0.34210526315789475</v>
      </c>
      <c r="I3">
        <v>31</v>
      </c>
      <c r="J3">
        <v>4</v>
      </c>
      <c r="K3">
        <v>27</v>
      </c>
      <c r="L3">
        <v>0.12903225806451613</v>
      </c>
      <c r="M3" s="3" t="s">
        <v>38</v>
      </c>
      <c r="N3" s="12">
        <v>3.448</v>
      </c>
      <c r="O3" s="12" t="s">
        <v>183</v>
      </c>
      <c r="P3" s="7" t="s">
        <v>102</v>
      </c>
      <c r="Q3" s="7">
        <f>0.9067071-16.4716523</f>
        <v>-15.564945199999999</v>
      </c>
      <c r="R3" s="3" t="s">
        <v>96</v>
      </c>
    </row>
    <row r="4" spans="1:18" x14ac:dyDescent="0.25">
      <c r="A4" s="3" t="s">
        <v>1</v>
      </c>
      <c r="B4" s="3" t="s">
        <v>29</v>
      </c>
      <c r="C4" s="4" t="s">
        <v>23</v>
      </c>
      <c r="D4">
        <v>1</v>
      </c>
      <c r="E4">
        <v>15</v>
      </c>
      <c r="F4">
        <v>3</v>
      </c>
      <c r="G4">
        <v>12</v>
      </c>
      <c r="H4">
        <v>0.2</v>
      </c>
      <c r="I4">
        <v>8</v>
      </c>
      <c r="J4">
        <v>1</v>
      </c>
      <c r="K4">
        <v>7</v>
      </c>
      <c r="L4">
        <v>0.125</v>
      </c>
      <c r="M4" s="5">
        <v>1</v>
      </c>
      <c r="N4" s="12">
        <v>1.71</v>
      </c>
      <c r="O4" s="12" t="s">
        <v>184</v>
      </c>
      <c r="P4" s="7" t="s">
        <v>103</v>
      </c>
      <c r="Q4" s="7">
        <f>0.1103096-104.7360788</f>
        <v>-104.62576920000001</v>
      </c>
      <c r="R4" t="s">
        <v>96</v>
      </c>
    </row>
    <row r="5" spans="1:18" x14ac:dyDescent="0.25">
      <c r="A5" s="3" t="s">
        <v>3</v>
      </c>
      <c r="B5" s="3" t="s">
        <v>4</v>
      </c>
      <c r="C5" s="4" t="s">
        <v>23</v>
      </c>
      <c r="D5">
        <v>1</v>
      </c>
      <c r="E5">
        <v>22</v>
      </c>
      <c r="F5">
        <v>2</v>
      </c>
      <c r="G5">
        <v>20</v>
      </c>
      <c r="H5">
        <v>9.0909090909090912E-2</v>
      </c>
      <c r="I5">
        <v>29</v>
      </c>
      <c r="J5">
        <v>1</v>
      </c>
      <c r="K5">
        <v>28</v>
      </c>
      <c r="L5">
        <v>3.4482758620689655E-2</v>
      </c>
      <c r="M5" s="3" t="s">
        <v>39</v>
      </c>
      <c r="N5" s="12">
        <v>2.7429999999999999</v>
      </c>
      <c r="O5" s="12" t="s">
        <v>183</v>
      </c>
      <c r="P5" s="7" t="s">
        <v>145</v>
      </c>
      <c r="Q5" s="7">
        <f>0.1342317-170.7871838</f>
        <v>-170.65295210000002</v>
      </c>
      <c r="R5" s="3" t="s">
        <v>96</v>
      </c>
    </row>
    <row r="6" spans="1:18" x14ac:dyDescent="0.25">
      <c r="A6" s="3" t="s">
        <v>3</v>
      </c>
      <c r="B6" s="3" t="s">
        <v>27</v>
      </c>
      <c r="C6" s="4" t="s">
        <v>23</v>
      </c>
      <c r="D6">
        <v>1</v>
      </c>
      <c r="E6">
        <v>8</v>
      </c>
      <c r="F6">
        <v>5</v>
      </c>
      <c r="G6">
        <v>3</v>
      </c>
      <c r="H6">
        <v>0.625</v>
      </c>
      <c r="I6">
        <v>8</v>
      </c>
      <c r="J6">
        <v>2</v>
      </c>
      <c r="K6">
        <v>6</v>
      </c>
      <c r="L6">
        <v>0.25</v>
      </c>
      <c r="M6" s="3" t="s">
        <v>40</v>
      </c>
      <c r="N6" s="12">
        <v>4.4729999999999999</v>
      </c>
      <c r="O6" s="12" t="s">
        <v>183</v>
      </c>
      <c r="P6" s="7" t="s">
        <v>146</v>
      </c>
      <c r="Q6" s="7">
        <f>0.408659-75.900478</f>
        <v>-75.491819000000007</v>
      </c>
      <c r="R6" s="3" t="s">
        <v>96</v>
      </c>
    </row>
    <row r="7" spans="1:18" x14ac:dyDescent="0.25">
      <c r="A7" s="3" t="s">
        <v>3</v>
      </c>
      <c r="B7" s="3" t="s">
        <v>27</v>
      </c>
      <c r="C7" s="4" t="s">
        <v>24</v>
      </c>
      <c r="D7">
        <v>0</v>
      </c>
      <c r="E7">
        <v>11</v>
      </c>
      <c r="F7">
        <v>1</v>
      </c>
      <c r="G7">
        <v>10</v>
      </c>
      <c r="H7">
        <v>9.0909090909090912E-2</v>
      </c>
      <c r="I7">
        <v>10</v>
      </c>
      <c r="J7">
        <v>1</v>
      </c>
      <c r="K7">
        <v>9</v>
      </c>
      <c r="L7">
        <v>0.1</v>
      </c>
      <c r="M7" s="6">
        <v>1</v>
      </c>
      <c r="N7" s="9">
        <v>0.90400000000000003</v>
      </c>
      <c r="O7" s="9" t="s">
        <v>184</v>
      </c>
      <c r="P7" s="7" t="s">
        <v>104</v>
      </c>
      <c r="Q7" s="7">
        <f>0.01044359-78.35527446</f>
        <v>-78.34483087000001</v>
      </c>
      <c r="R7" s="3" t="s">
        <v>96</v>
      </c>
    </row>
    <row r="8" spans="1:18" x14ac:dyDescent="0.25">
      <c r="A8" s="3" t="s">
        <v>3</v>
      </c>
      <c r="B8" s="3" t="s">
        <v>27</v>
      </c>
      <c r="C8" s="4" t="s">
        <v>23</v>
      </c>
      <c r="D8">
        <v>1</v>
      </c>
      <c r="E8">
        <v>19</v>
      </c>
      <c r="F8">
        <v>10</v>
      </c>
      <c r="G8">
        <v>9</v>
      </c>
      <c r="H8">
        <v>0.52631578947368418</v>
      </c>
      <c r="I8">
        <v>17</v>
      </c>
      <c r="J8">
        <v>1</v>
      </c>
      <c r="K8">
        <v>16</v>
      </c>
      <c r="L8">
        <v>5.8823529411764705E-2</v>
      </c>
      <c r="M8" s="3" t="s">
        <v>41</v>
      </c>
      <c r="N8" s="12">
        <v>1.639</v>
      </c>
      <c r="O8" s="9" t="s">
        <v>184</v>
      </c>
      <c r="P8" s="7" t="s">
        <v>105</v>
      </c>
      <c r="Q8" s="7">
        <f>1.825697-814.294259</f>
        <v>-812.46856200000002</v>
      </c>
      <c r="R8" s="3" t="s">
        <v>95</v>
      </c>
    </row>
    <row r="9" spans="1:18" x14ac:dyDescent="0.25">
      <c r="A9" s="3" t="s">
        <v>3</v>
      </c>
      <c r="B9" s="3" t="s">
        <v>6</v>
      </c>
      <c r="C9" s="4" t="s">
        <v>23</v>
      </c>
      <c r="D9">
        <v>1</v>
      </c>
      <c r="E9">
        <v>8</v>
      </c>
      <c r="F9">
        <v>2</v>
      </c>
      <c r="G9">
        <v>6</v>
      </c>
      <c r="H9">
        <v>0.25</v>
      </c>
      <c r="I9">
        <v>10</v>
      </c>
      <c r="J9">
        <v>2</v>
      </c>
      <c r="K9">
        <v>8</v>
      </c>
      <c r="L9">
        <v>0.2</v>
      </c>
      <c r="M9" s="6">
        <v>1</v>
      </c>
      <c r="N9" s="12">
        <v>1.3109999999999999</v>
      </c>
      <c r="O9" s="9" t="s">
        <v>184</v>
      </c>
      <c r="P9" s="7" t="s">
        <v>106</v>
      </c>
      <c r="Q9" s="7">
        <f>0.07444791-23.22790093</f>
        <v>-23.153453020000001</v>
      </c>
      <c r="R9" s="3" t="s">
        <v>96</v>
      </c>
    </row>
    <row r="10" spans="1:18" x14ac:dyDescent="0.25">
      <c r="A10" s="3" t="s">
        <v>7</v>
      </c>
      <c r="B10" s="3" t="s">
        <v>27</v>
      </c>
      <c r="C10" s="4" t="s">
        <v>23</v>
      </c>
      <c r="D10">
        <v>1</v>
      </c>
      <c r="E10">
        <v>4</v>
      </c>
      <c r="F10">
        <v>2</v>
      </c>
      <c r="G10">
        <v>2</v>
      </c>
      <c r="H10">
        <v>0.5</v>
      </c>
      <c r="I10">
        <v>10</v>
      </c>
      <c r="J10">
        <v>4</v>
      </c>
      <c r="K10">
        <v>6</v>
      </c>
      <c r="L10">
        <v>0.4</v>
      </c>
      <c r="M10" s="6">
        <v>1</v>
      </c>
      <c r="N10" s="12">
        <v>1.456</v>
      </c>
      <c r="O10" s="12" t="s">
        <v>184</v>
      </c>
      <c r="P10" s="7" t="s">
        <v>107</v>
      </c>
      <c r="Q10" s="7">
        <f>0.07518301-28.59975237</f>
        <v>-28.524569360000001</v>
      </c>
      <c r="R10" s="3" t="s">
        <v>96</v>
      </c>
    </row>
    <row r="11" spans="1:18" x14ac:dyDescent="0.25">
      <c r="A11" s="3" t="s">
        <v>7</v>
      </c>
      <c r="B11" s="3" t="s">
        <v>27</v>
      </c>
      <c r="C11" s="4" t="s">
        <v>23</v>
      </c>
      <c r="D11">
        <v>1</v>
      </c>
      <c r="E11">
        <v>30</v>
      </c>
      <c r="F11">
        <v>6</v>
      </c>
      <c r="G11">
        <v>24</v>
      </c>
      <c r="H11">
        <v>0.2</v>
      </c>
      <c r="I11">
        <v>31</v>
      </c>
      <c r="J11">
        <v>3</v>
      </c>
      <c r="K11">
        <v>28</v>
      </c>
      <c r="L11">
        <v>9.6774193548387094E-2</v>
      </c>
      <c r="M11" s="3" t="s">
        <v>42</v>
      </c>
      <c r="N11" s="12">
        <v>2.3010000000000002</v>
      </c>
      <c r="O11" s="12" t="s">
        <v>183</v>
      </c>
      <c r="P11" s="7" t="s">
        <v>147</v>
      </c>
      <c r="Q11" s="7">
        <f>0.4347918-15.7615857</f>
        <v>-15.3267939</v>
      </c>
      <c r="R11" s="3" t="s">
        <v>96</v>
      </c>
    </row>
    <row r="12" spans="1:18" x14ac:dyDescent="0.25">
      <c r="A12" s="3" t="s">
        <v>7</v>
      </c>
      <c r="B12" s="3" t="s">
        <v>2</v>
      </c>
      <c r="C12" s="4" t="s">
        <v>23</v>
      </c>
      <c r="D12">
        <v>1</v>
      </c>
      <c r="E12">
        <v>4</v>
      </c>
      <c r="F12">
        <v>1</v>
      </c>
      <c r="G12">
        <v>3</v>
      </c>
      <c r="H12">
        <v>0.25</v>
      </c>
      <c r="I12">
        <v>12</v>
      </c>
      <c r="J12">
        <v>1</v>
      </c>
      <c r="K12">
        <v>11</v>
      </c>
      <c r="L12">
        <v>8.3333333333333329E-2</v>
      </c>
      <c r="M12" s="3" t="s">
        <v>43</v>
      </c>
      <c r="N12" s="12">
        <v>3.3159999999999998</v>
      </c>
      <c r="O12" s="12" t="s">
        <v>183</v>
      </c>
      <c r="P12" s="7" t="s">
        <v>108</v>
      </c>
      <c r="Q12" s="7">
        <f>0.03510228-312.38892497</f>
        <v>-312.35382269000002</v>
      </c>
      <c r="R12" s="3" t="s">
        <v>96</v>
      </c>
    </row>
    <row r="13" spans="1:18" x14ac:dyDescent="0.25">
      <c r="A13" s="3" t="s">
        <v>7</v>
      </c>
      <c r="B13" s="3" t="s">
        <v>2</v>
      </c>
      <c r="C13" s="4" t="s">
        <v>24</v>
      </c>
      <c r="D13">
        <v>0</v>
      </c>
      <c r="E13">
        <v>60</v>
      </c>
      <c r="F13">
        <v>1</v>
      </c>
      <c r="G13">
        <v>59</v>
      </c>
      <c r="H13">
        <v>1.6666666666666666E-2</v>
      </c>
      <c r="I13">
        <v>39</v>
      </c>
      <c r="J13">
        <v>4</v>
      </c>
      <c r="K13">
        <v>35</v>
      </c>
      <c r="L13">
        <v>0.10256410256410256</v>
      </c>
      <c r="M13" s="3" t="s">
        <v>44</v>
      </c>
      <c r="N13" s="9">
        <v>0.151</v>
      </c>
      <c r="O13" s="9" t="s">
        <v>183</v>
      </c>
      <c r="P13" s="7" t="s">
        <v>109</v>
      </c>
      <c r="Q13" s="7">
        <f>0.002968043-1.60587998</f>
        <v>-1.602911937</v>
      </c>
      <c r="R13" s="3" t="s">
        <v>96</v>
      </c>
    </row>
    <row r="14" spans="1:18" x14ac:dyDescent="0.25">
      <c r="A14" s="3" t="s">
        <v>8</v>
      </c>
      <c r="B14" s="3" t="s">
        <v>27</v>
      </c>
      <c r="C14" s="4" t="s">
        <v>23</v>
      </c>
      <c r="D14">
        <v>1</v>
      </c>
      <c r="E14">
        <v>11</v>
      </c>
      <c r="F14">
        <v>3</v>
      </c>
      <c r="G14">
        <v>8</v>
      </c>
      <c r="H14">
        <v>0.27272727272727271</v>
      </c>
      <c r="I14">
        <v>5</v>
      </c>
      <c r="J14">
        <v>1</v>
      </c>
      <c r="K14">
        <v>4</v>
      </c>
      <c r="L14">
        <v>0.2</v>
      </c>
      <c r="M14" s="6">
        <v>1</v>
      </c>
      <c r="N14" s="12">
        <v>1.4630000000000001</v>
      </c>
      <c r="O14" s="12"/>
      <c r="P14" s="7" t="s">
        <v>148</v>
      </c>
      <c r="Q14" s="7">
        <f>0.08073418-98.09696479</f>
        <v>-98.016230610000008</v>
      </c>
      <c r="R14" s="3" t="s">
        <v>96</v>
      </c>
    </row>
    <row r="15" spans="1:18" x14ac:dyDescent="0.25">
      <c r="A15" s="3" t="s">
        <v>8</v>
      </c>
      <c r="B15" s="3" t="s">
        <v>27</v>
      </c>
      <c r="C15" s="4" t="s">
        <v>23</v>
      </c>
      <c r="D15">
        <v>1</v>
      </c>
      <c r="E15">
        <v>12</v>
      </c>
      <c r="F15">
        <v>3</v>
      </c>
      <c r="G15">
        <v>9</v>
      </c>
      <c r="H15">
        <v>0.25</v>
      </c>
      <c r="I15">
        <v>20</v>
      </c>
      <c r="J15">
        <v>1</v>
      </c>
      <c r="K15">
        <v>19</v>
      </c>
      <c r="L15">
        <v>0.05</v>
      </c>
      <c r="M15" s="3" t="s">
        <v>45</v>
      </c>
      <c r="N15" s="12">
        <v>5.9530000000000003</v>
      </c>
      <c r="O15" s="12"/>
      <c r="P15" s="7" t="s">
        <v>149</v>
      </c>
      <c r="Q15" s="7">
        <f>0.4127567-348.6898273</f>
        <v>-348.2770706</v>
      </c>
      <c r="R15" s="3" t="s">
        <v>96</v>
      </c>
    </row>
    <row r="16" spans="1:18" x14ac:dyDescent="0.25">
      <c r="A16" s="3" t="s">
        <v>8</v>
      </c>
      <c r="B16" s="3" t="s">
        <v>27</v>
      </c>
      <c r="C16" s="4" t="s">
        <v>23</v>
      </c>
      <c r="D16">
        <v>1</v>
      </c>
      <c r="E16">
        <v>6</v>
      </c>
      <c r="F16">
        <v>3</v>
      </c>
      <c r="G16">
        <v>3</v>
      </c>
      <c r="H16">
        <v>0.5</v>
      </c>
      <c r="I16">
        <v>6</v>
      </c>
      <c r="J16">
        <v>1</v>
      </c>
      <c r="K16">
        <v>5</v>
      </c>
      <c r="L16">
        <v>0.16666666666666666</v>
      </c>
      <c r="M16" s="3" t="s">
        <v>46</v>
      </c>
      <c r="N16" s="12">
        <v>4.3410000000000002</v>
      </c>
      <c r="O16" s="12"/>
      <c r="P16" s="7" t="s">
        <v>150</v>
      </c>
      <c r="Q16" s="7">
        <f>0.2222013-313.0419931</f>
        <v>-312.81979180000002</v>
      </c>
      <c r="R16" s="3" t="s">
        <v>96</v>
      </c>
    </row>
    <row r="17" spans="1:18" x14ac:dyDescent="0.25">
      <c r="A17" s="3" t="s">
        <v>8</v>
      </c>
      <c r="B17" s="3" t="s">
        <v>27</v>
      </c>
      <c r="C17" s="4" t="s">
        <v>23</v>
      </c>
      <c r="D17">
        <v>1</v>
      </c>
      <c r="E17">
        <v>30</v>
      </c>
      <c r="F17">
        <v>7</v>
      </c>
      <c r="G17">
        <v>23</v>
      </c>
      <c r="H17">
        <v>0.23333333333333334</v>
      </c>
      <c r="I17">
        <v>22</v>
      </c>
      <c r="J17">
        <v>5</v>
      </c>
      <c r="K17">
        <v>17</v>
      </c>
      <c r="L17">
        <v>0.22727272727272727</v>
      </c>
      <c r="M17" s="6">
        <v>1</v>
      </c>
      <c r="N17" s="12">
        <v>1.034</v>
      </c>
      <c r="O17" s="12"/>
      <c r="P17" s="7" t="s">
        <v>110</v>
      </c>
      <c r="Q17" s="7">
        <f>0.2341317-4.8960238</f>
        <v>-4.6618921000000002</v>
      </c>
      <c r="R17" s="3" t="s">
        <v>96</v>
      </c>
    </row>
    <row r="18" spans="1:18" x14ac:dyDescent="0.25">
      <c r="A18" s="3" t="s">
        <v>9</v>
      </c>
      <c r="B18" s="3" t="s">
        <v>27</v>
      </c>
      <c r="C18" s="4" t="s">
        <v>23</v>
      </c>
      <c r="D18">
        <v>1</v>
      </c>
      <c r="E18">
        <v>5</v>
      </c>
      <c r="F18">
        <v>4</v>
      </c>
      <c r="G18">
        <v>1</v>
      </c>
      <c r="H18">
        <v>0.8</v>
      </c>
      <c r="I18">
        <v>4</v>
      </c>
      <c r="J18">
        <v>1</v>
      </c>
      <c r="K18">
        <v>3</v>
      </c>
      <c r="L18">
        <v>0.25</v>
      </c>
      <c r="M18" s="3" t="s">
        <v>47</v>
      </c>
      <c r="N18" s="12">
        <v>8.3550000000000004</v>
      </c>
      <c r="O18" s="12"/>
      <c r="P18" s="7" t="s">
        <v>111</v>
      </c>
      <c r="Q18" s="7">
        <f>0.3071304-776.3482393</f>
        <v>-776.04110890000004</v>
      </c>
      <c r="R18" s="3" t="s">
        <v>96</v>
      </c>
    </row>
    <row r="19" spans="1:18" x14ac:dyDescent="0.25">
      <c r="A19" s="3" t="s">
        <v>9</v>
      </c>
      <c r="B19" s="3" t="s">
        <v>2</v>
      </c>
      <c r="C19" s="4" t="s">
        <v>23</v>
      </c>
      <c r="D19">
        <v>1</v>
      </c>
      <c r="E19">
        <v>125</v>
      </c>
      <c r="F19">
        <v>15</v>
      </c>
      <c r="G19">
        <v>110</v>
      </c>
      <c r="H19">
        <v>0.12</v>
      </c>
      <c r="I19">
        <v>101</v>
      </c>
      <c r="J19">
        <v>10</v>
      </c>
      <c r="K19">
        <v>91</v>
      </c>
      <c r="L19">
        <v>9.9009900990099015E-2</v>
      </c>
      <c r="M19" s="3" t="s">
        <v>48</v>
      </c>
      <c r="N19" s="12">
        <v>1.2390000000000001</v>
      </c>
      <c r="O19" s="12"/>
      <c r="P19" s="7" t="s">
        <v>151</v>
      </c>
      <c r="Q19" s="7">
        <f>0.4934869-3.2452106</f>
        <v>-2.7517236999999999</v>
      </c>
      <c r="R19" s="3" t="s">
        <v>96</v>
      </c>
    </row>
    <row r="20" spans="1:18" x14ac:dyDescent="0.25">
      <c r="A20" s="3" t="s">
        <v>9</v>
      </c>
      <c r="B20" s="3" t="s">
        <v>6</v>
      </c>
      <c r="C20" s="4" t="s">
        <v>23</v>
      </c>
      <c r="D20">
        <v>1</v>
      </c>
      <c r="E20">
        <v>72</v>
      </c>
      <c r="F20">
        <v>4</v>
      </c>
      <c r="G20">
        <v>68</v>
      </c>
      <c r="H20">
        <v>5.5555555555555552E-2</v>
      </c>
      <c r="I20">
        <v>119</v>
      </c>
      <c r="J20">
        <v>1</v>
      </c>
      <c r="K20">
        <v>118</v>
      </c>
      <c r="L20">
        <v>8.4033613445378148E-3</v>
      </c>
      <c r="M20" s="3" t="s">
        <v>49</v>
      </c>
      <c r="N20" s="12">
        <v>6.8730000000000002</v>
      </c>
      <c r="O20" s="12"/>
      <c r="P20" s="7" t="s">
        <v>112</v>
      </c>
      <c r="Q20" s="7">
        <f>0.662732-344.017413</f>
        <v>-343.35468099999997</v>
      </c>
      <c r="R20" s="3" t="s">
        <v>96</v>
      </c>
    </row>
    <row r="21" spans="1:18" x14ac:dyDescent="0.25">
      <c r="A21" s="3" t="s">
        <v>9</v>
      </c>
      <c r="B21" s="3" t="s">
        <v>10</v>
      </c>
      <c r="C21" s="4" t="s">
        <v>23</v>
      </c>
      <c r="D21">
        <v>1</v>
      </c>
      <c r="E21">
        <v>39</v>
      </c>
      <c r="F21">
        <v>5</v>
      </c>
      <c r="G21">
        <v>34</v>
      </c>
      <c r="H21">
        <v>0.12820512820512819</v>
      </c>
      <c r="I21">
        <v>17</v>
      </c>
      <c r="J21">
        <v>1</v>
      </c>
      <c r="K21">
        <v>16</v>
      </c>
      <c r="L21">
        <v>5.8823529411764705E-2</v>
      </c>
      <c r="M21" s="3" t="s">
        <v>50</v>
      </c>
      <c r="N21" s="12">
        <v>2.3220000000000001</v>
      </c>
      <c r="O21" s="12"/>
      <c r="P21" s="7" t="s">
        <v>113</v>
      </c>
      <c r="Q21" s="7">
        <f>0.2310802-118.0713755</f>
        <v>-117.84029530000001</v>
      </c>
      <c r="R21" s="3" t="s">
        <v>96</v>
      </c>
    </row>
    <row r="22" spans="1:18" x14ac:dyDescent="0.25">
      <c r="A22" s="3" t="s">
        <v>9</v>
      </c>
      <c r="B22" s="3" t="s">
        <v>27</v>
      </c>
      <c r="C22" s="4" t="s">
        <v>23</v>
      </c>
      <c r="D22">
        <v>1</v>
      </c>
      <c r="E22">
        <v>48</v>
      </c>
      <c r="F22">
        <v>2</v>
      </c>
      <c r="G22">
        <v>46</v>
      </c>
      <c r="H22">
        <v>4.1666666666666664E-2</v>
      </c>
      <c r="I22">
        <v>63</v>
      </c>
      <c r="J22">
        <v>2</v>
      </c>
      <c r="K22">
        <v>61</v>
      </c>
      <c r="L22">
        <v>3.1746031746031744E-2</v>
      </c>
      <c r="M22" s="6">
        <v>1</v>
      </c>
      <c r="N22" s="12">
        <v>1.3220000000000001</v>
      </c>
      <c r="O22" s="12"/>
      <c r="P22" s="7" t="s">
        <v>152</v>
      </c>
      <c r="Q22" s="7">
        <f>0.09269681-18.87552527</f>
        <v>-18.782828460000001</v>
      </c>
      <c r="R22" s="3" t="s">
        <v>96</v>
      </c>
    </row>
    <row r="23" spans="1:18" x14ac:dyDescent="0.25">
      <c r="A23" s="3" t="s">
        <v>9</v>
      </c>
      <c r="B23" s="3" t="s">
        <v>11</v>
      </c>
      <c r="C23" s="4" t="s">
        <v>23</v>
      </c>
      <c r="D23">
        <v>1</v>
      </c>
      <c r="E23">
        <v>12</v>
      </c>
      <c r="F23">
        <v>4</v>
      </c>
      <c r="G23">
        <v>8</v>
      </c>
      <c r="H23">
        <v>0.33333333333333331</v>
      </c>
      <c r="I23">
        <v>11</v>
      </c>
      <c r="J23">
        <v>1</v>
      </c>
      <c r="K23">
        <v>10</v>
      </c>
      <c r="L23">
        <v>9.0909090909090912E-2</v>
      </c>
      <c r="M23" s="3" t="s">
        <v>51</v>
      </c>
      <c r="N23" s="12">
        <v>4.6760000000000002</v>
      </c>
      <c r="O23" s="12"/>
      <c r="P23" s="7" t="s">
        <v>153</v>
      </c>
      <c r="Q23" s="7">
        <f>0.364167-269.868425</f>
        <v>-269.50425799999999</v>
      </c>
      <c r="R23" s="3" t="s">
        <v>96</v>
      </c>
    </row>
    <row r="24" spans="1:18" x14ac:dyDescent="0.25">
      <c r="A24" s="3" t="s">
        <v>9</v>
      </c>
      <c r="B24" s="3" t="s">
        <v>11</v>
      </c>
      <c r="C24" s="4" t="s">
        <v>23</v>
      </c>
      <c r="D24">
        <v>1</v>
      </c>
      <c r="E24">
        <v>36</v>
      </c>
      <c r="F24">
        <v>6</v>
      </c>
      <c r="G24">
        <v>30</v>
      </c>
      <c r="H24">
        <v>0.16666666666666666</v>
      </c>
      <c r="I24">
        <v>44</v>
      </c>
      <c r="J24">
        <v>3</v>
      </c>
      <c r="K24">
        <v>41</v>
      </c>
      <c r="L24">
        <v>6.8181818181818177E-2</v>
      </c>
      <c r="M24" s="3" t="s">
        <v>52</v>
      </c>
      <c r="N24" s="12">
        <v>2.6989999999999998</v>
      </c>
      <c r="O24" s="12"/>
      <c r="P24" s="7" t="s">
        <v>114</v>
      </c>
      <c r="Q24" s="7">
        <f>0.5258919-18.0150933</f>
        <v>-17.489201399999999</v>
      </c>
      <c r="R24" s="3" t="s">
        <v>96</v>
      </c>
    </row>
    <row r="25" spans="1:18" x14ac:dyDescent="0.25">
      <c r="A25" s="3" t="s">
        <v>9</v>
      </c>
      <c r="B25" s="3" t="s">
        <v>11</v>
      </c>
      <c r="C25" s="4" t="s">
        <v>23</v>
      </c>
      <c r="D25">
        <v>1</v>
      </c>
      <c r="E25">
        <v>10</v>
      </c>
      <c r="F25">
        <v>5</v>
      </c>
      <c r="G25">
        <v>5</v>
      </c>
      <c r="H25">
        <v>0.5</v>
      </c>
      <c r="I25">
        <v>13</v>
      </c>
      <c r="J25">
        <v>4</v>
      </c>
      <c r="K25">
        <v>9</v>
      </c>
      <c r="L25">
        <v>0.30769230769230771</v>
      </c>
      <c r="M25" s="3" t="s">
        <v>53</v>
      </c>
      <c r="N25" s="12">
        <v>2.169</v>
      </c>
      <c r="O25" s="12"/>
      <c r="P25" s="7" t="s">
        <v>154</v>
      </c>
      <c r="Q25" s="7">
        <f>0.3022986-17.20564</f>
        <v>-16.903341399999999</v>
      </c>
      <c r="R25" s="3" t="s">
        <v>96</v>
      </c>
    </row>
    <row r="26" spans="1:18" x14ac:dyDescent="0.25">
      <c r="A26" s="3" t="s">
        <v>9</v>
      </c>
      <c r="B26" s="3" t="s">
        <v>11</v>
      </c>
      <c r="C26" s="4" t="s">
        <v>23</v>
      </c>
      <c r="D26">
        <v>1</v>
      </c>
      <c r="E26">
        <v>39</v>
      </c>
      <c r="F26">
        <v>16</v>
      </c>
      <c r="G26">
        <v>23</v>
      </c>
      <c r="H26">
        <v>0.41025641025641024</v>
      </c>
      <c r="I26">
        <v>26</v>
      </c>
      <c r="J26">
        <v>5</v>
      </c>
      <c r="K26">
        <v>21</v>
      </c>
      <c r="L26">
        <v>0.19230769230769232</v>
      </c>
      <c r="M26" s="3" t="s">
        <v>54</v>
      </c>
      <c r="N26" s="12">
        <v>2.8740000000000001</v>
      </c>
      <c r="O26" s="12"/>
      <c r="P26" s="7" t="s">
        <v>155</v>
      </c>
      <c r="Q26" s="7">
        <f>0.817904-11.844968</f>
        <v>-11.027063999999999</v>
      </c>
      <c r="R26" s="3" t="s">
        <v>96</v>
      </c>
    </row>
    <row r="27" spans="1:18" x14ac:dyDescent="0.25">
      <c r="A27" s="3" t="s">
        <v>9</v>
      </c>
      <c r="B27" s="3" t="s">
        <v>11</v>
      </c>
      <c r="C27" s="4" t="s">
        <v>23</v>
      </c>
      <c r="D27">
        <v>1</v>
      </c>
      <c r="E27">
        <v>28</v>
      </c>
      <c r="F27">
        <v>3</v>
      </c>
      <c r="G27">
        <v>25</v>
      </c>
      <c r="H27">
        <v>0.10714285714285714</v>
      </c>
      <c r="I27">
        <v>36</v>
      </c>
      <c r="J27">
        <v>2</v>
      </c>
      <c r="K27">
        <v>34</v>
      </c>
      <c r="L27">
        <v>5.5555555555555552E-2</v>
      </c>
      <c r="M27" s="3" t="s">
        <v>55</v>
      </c>
      <c r="N27" s="12">
        <v>2.0169999999999999</v>
      </c>
      <c r="O27" s="12"/>
      <c r="P27" s="7" t="s">
        <v>115</v>
      </c>
      <c r="Q27" s="7">
        <f>0.2142847-25.8434627</f>
        <v>-25.629178</v>
      </c>
      <c r="R27" s="3" t="s">
        <v>96</v>
      </c>
    </row>
    <row r="28" spans="1:18" x14ac:dyDescent="0.25">
      <c r="A28" s="3" t="s">
        <v>9</v>
      </c>
      <c r="B28" s="3" t="s">
        <v>11</v>
      </c>
      <c r="C28" s="4" t="s">
        <v>23</v>
      </c>
      <c r="D28">
        <v>1</v>
      </c>
      <c r="E28">
        <v>8</v>
      </c>
      <c r="F28">
        <v>3</v>
      </c>
      <c r="G28">
        <v>5</v>
      </c>
      <c r="H28">
        <v>0.375</v>
      </c>
      <c r="I28">
        <v>8</v>
      </c>
      <c r="J28">
        <v>1</v>
      </c>
      <c r="K28">
        <v>7</v>
      </c>
      <c r="L28">
        <v>0.125</v>
      </c>
      <c r="M28" s="3" t="s">
        <v>56</v>
      </c>
      <c r="N28" s="12">
        <v>3.8380000000000001</v>
      </c>
      <c r="O28" s="12"/>
      <c r="P28" s="7" t="s">
        <v>156</v>
      </c>
      <c r="Q28" s="7">
        <f>0.2272195-250.8760421</f>
        <v>-250.64882260000002</v>
      </c>
      <c r="R28" s="3" t="s">
        <v>96</v>
      </c>
    </row>
    <row r="29" spans="1:18" x14ac:dyDescent="0.25">
      <c r="A29" s="3" t="s">
        <v>9</v>
      </c>
      <c r="B29" s="3" t="s">
        <v>12</v>
      </c>
      <c r="C29" s="4" t="s">
        <v>23</v>
      </c>
      <c r="D29">
        <v>1</v>
      </c>
      <c r="E29">
        <v>14</v>
      </c>
      <c r="F29">
        <v>4</v>
      </c>
      <c r="G29">
        <v>10</v>
      </c>
      <c r="H29">
        <v>0.2857142857142857</v>
      </c>
      <c r="I29">
        <v>25</v>
      </c>
      <c r="J29">
        <v>6</v>
      </c>
      <c r="K29">
        <v>19</v>
      </c>
      <c r="L29">
        <v>0.24</v>
      </c>
      <c r="M29" s="6">
        <v>1</v>
      </c>
      <c r="N29" s="12">
        <v>1.258</v>
      </c>
      <c r="O29" s="12"/>
      <c r="P29" s="7" t="s">
        <v>157</v>
      </c>
      <c r="Q29" s="7">
        <f>0.2098189-6.8784075</f>
        <v>-6.6685885999999996</v>
      </c>
      <c r="R29" s="3" t="s">
        <v>96</v>
      </c>
    </row>
    <row r="30" spans="1:18" x14ac:dyDescent="0.25">
      <c r="A30" s="3" t="s">
        <v>9</v>
      </c>
      <c r="B30" s="3" t="s">
        <v>12</v>
      </c>
      <c r="C30" s="4" t="s">
        <v>24</v>
      </c>
      <c r="D30">
        <v>0</v>
      </c>
      <c r="E30">
        <v>10</v>
      </c>
      <c r="F30">
        <v>5</v>
      </c>
      <c r="G30">
        <v>5</v>
      </c>
      <c r="H30">
        <v>0.5</v>
      </c>
      <c r="I30">
        <v>11</v>
      </c>
      <c r="J30">
        <v>7</v>
      </c>
      <c r="K30">
        <v>4</v>
      </c>
      <c r="L30">
        <v>0.63636363636363635</v>
      </c>
      <c r="M30" s="3" t="s">
        <v>57</v>
      </c>
      <c r="N30" s="9">
        <v>0.58699999999999997</v>
      </c>
      <c r="O30" s="9"/>
      <c r="P30" s="7" t="s">
        <v>116</v>
      </c>
      <c r="Q30" s="7">
        <f>0.0714251-4.4405747</f>
        <v>-4.3691496000000001</v>
      </c>
      <c r="R30" s="3" t="s">
        <v>96</v>
      </c>
    </row>
    <row r="31" spans="1:18" x14ac:dyDescent="0.25">
      <c r="A31" s="3" t="s">
        <v>9</v>
      </c>
      <c r="B31" s="3" t="s">
        <v>12</v>
      </c>
      <c r="C31" s="4" t="s">
        <v>24</v>
      </c>
      <c r="D31">
        <v>0</v>
      </c>
      <c r="E31">
        <v>5</v>
      </c>
      <c r="F31">
        <v>4</v>
      </c>
      <c r="G31">
        <v>1</v>
      </c>
      <c r="H31">
        <v>0.8</v>
      </c>
      <c r="I31">
        <v>6</v>
      </c>
      <c r="J31">
        <v>5</v>
      </c>
      <c r="K31">
        <v>1</v>
      </c>
      <c r="L31">
        <v>0.83333333333333337</v>
      </c>
      <c r="M31" s="6">
        <v>1</v>
      </c>
      <c r="N31" s="9">
        <v>0.81599999999999995</v>
      </c>
      <c r="O31" s="9"/>
      <c r="P31" s="7" t="s">
        <v>158</v>
      </c>
      <c r="Q31" s="7">
        <f>0.008520413-78.274138145</f>
        <v>-78.265617731999995</v>
      </c>
      <c r="R31" s="3" t="s">
        <v>96</v>
      </c>
    </row>
    <row r="32" spans="1:18" x14ac:dyDescent="0.25">
      <c r="A32" s="3" t="s">
        <v>9</v>
      </c>
      <c r="B32" s="3" t="s">
        <v>2</v>
      </c>
      <c r="C32" s="4" t="s">
        <v>24</v>
      </c>
      <c r="D32">
        <v>0</v>
      </c>
      <c r="E32">
        <v>25</v>
      </c>
      <c r="F32">
        <v>3</v>
      </c>
      <c r="G32">
        <v>22</v>
      </c>
      <c r="H32">
        <v>0.12</v>
      </c>
      <c r="I32">
        <v>43</v>
      </c>
      <c r="J32">
        <v>7</v>
      </c>
      <c r="K32">
        <v>36</v>
      </c>
      <c r="L32">
        <v>0.16279069767441862</v>
      </c>
      <c r="M32" s="3" t="s">
        <v>58</v>
      </c>
      <c r="N32" s="9">
        <v>0.70399999999999996</v>
      </c>
      <c r="O32" s="9"/>
      <c r="P32" s="7" t="s">
        <v>159</v>
      </c>
      <c r="Q32" s="7">
        <f>0.1065786-3.5008057</f>
        <v>-3.3942270999999997</v>
      </c>
      <c r="R32" s="3" t="s">
        <v>96</v>
      </c>
    </row>
    <row r="33" spans="1:18" x14ac:dyDescent="0.25">
      <c r="A33" s="3" t="s">
        <v>9</v>
      </c>
      <c r="B33" s="3" t="s">
        <v>2</v>
      </c>
      <c r="C33" s="4" t="s">
        <v>23</v>
      </c>
      <c r="D33">
        <v>1</v>
      </c>
      <c r="E33">
        <v>24</v>
      </c>
      <c r="F33">
        <v>6</v>
      </c>
      <c r="G33">
        <v>18</v>
      </c>
      <c r="H33">
        <v>0.25</v>
      </c>
      <c r="I33">
        <v>22</v>
      </c>
      <c r="J33">
        <v>1</v>
      </c>
      <c r="K33">
        <v>21</v>
      </c>
      <c r="L33">
        <v>4.5454545454545456E-2</v>
      </c>
      <c r="M33" s="3" t="s">
        <v>59</v>
      </c>
      <c r="N33" s="12">
        <v>6.7460000000000004</v>
      </c>
      <c r="O33" s="12"/>
      <c r="P33" s="7" t="s">
        <v>117</v>
      </c>
      <c r="Q33" s="7">
        <f>0.7146072-336.3556601</f>
        <v>-335.64105290000003</v>
      </c>
      <c r="R33" s="3" t="s">
        <v>96</v>
      </c>
    </row>
    <row r="34" spans="1:18" x14ac:dyDescent="0.25">
      <c r="A34" s="3" t="s">
        <v>9</v>
      </c>
      <c r="B34" s="3" t="s">
        <v>2</v>
      </c>
      <c r="C34" s="4" t="s">
        <v>23</v>
      </c>
      <c r="D34">
        <v>1</v>
      </c>
      <c r="E34">
        <v>24</v>
      </c>
      <c r="F34">
        <v>9</v>
      </c>
      <c r="G34">
        <v>15</v>
      </c>
      <c r="H34">
        <v>0.375</v>
      </c>
      <c r="I34">
        <v>20</v>
      </c>
      <c r="J34">
        <v>7</v>
      </c>
      <c r="K34">
        <v>13</v>
      </c>
      <c r="L34">
        <v>0.35</v>
      </c>
      <c r="M34" s="6">
        <v>1</v>
      </c>
      <c r="N34" s="12">
        <v>1.111</v>
      </c>
      <c r="O34" s="12"/>
      <c r="P34" s="7" t="s">
        <v>160</v>
      </c>
      <c r="Q34" s="7">
        <f>0.274573-4.623746</f>
        <v>-4.3491729999999995</v>
      </c>
      <c r="R34" s="3" t="s">
        <v>96</v>
      </c>
    </row>
    <row r="35" spans="1:18" x14ac:dyDescent="0.25">
      <c r="A35" s="3" t="s">
        <v>9</v>
      </c>
      <c r="B35" s="3" t="s">
        <v>2</v>
      </c>
      <c r="C35" s="4" t="s">
        <v>23</v>
      </c>
      <c r="D35">
        <v>1</v>
      </c>
      <c r="E35">
        <v>29</v>
      </c>
      <c r="F35">
        <v>4</v>
      </c>
      <c r="G35">
        <v>25</v>
      </c>
      <c r="H35">
        <v>0.13793103448275862</v>
      </c>
      <c r="I35">
        <v>38</v>
      </c>
      <c r="J35">
        <v>2</v>
      </c>
      <c r="K35">
        <v>36</v>
      </c>
      <c r="L35">
        <v>5.2631578947368418E-2</v>
      </c>
      <c r="M35" s="3" t="s">
        <v>60</v>
      </c>
      <c r="N35" s="12">
        <v>2.8340000000000001</v>
      </c>
      <c r="O35" s="12"/>
      <c r="P35" s="7" t="s">
        <v>118</v>
      </c>
      <c r="Q35" s="7">
        <f>0.3733301-33.6072926</f>
        <v>-33.233962500000004</v>
      </c>
      <c r="R35" s="3" t="s">
        <v>96</v>
      </c>
    </row>
    <row r="36" spans="1:18" x14ac:dyDescent="0.25">
      <c r="A36" s="3" t="s">
        <v>13</v>
      </c>
      <c r="B36" s="3" t="s">
        <v>2</v>
      </c>
      <c r="C36" s="4" t="s">
        <v>24</v>
      </c>
      <c r="D36">
        <v>0</v>
      </c>
      <c r="E36">
        <v>104</v>
      </c>
      <c r="F36">
        <v>27</v>
      </c>
      <c r="G36">
        <v>77</v>
      </c>
      <c r="H36">
        <v>0.25961538461538464</v>
      </c>
      <c r="I36">
        <v>79</v>
      </c>
      <c r="J36">
        <v>24</v>
      </c>
      <c r="K36">
        <v>55</v>
      </c>
      <c r="L36">
        <v>0.30379746835443039</v>
      </c>
      <c r="M36" s="3" t="s">
        <v>61</v>
      </c>
      <c r="N36" s="9">
        <v>0.80400000000000005</v>
      </c>
      <c r="O36" s="9"/>
      <c r="P36" s="7" t="s">
        <v>119</v>
      </c>
      <c r="Q36" s="7">
        <f>0.3993117-1.625175</f>
        <v>-1.2258633000000001</v>
      </c>
      <c r="R36" s="3" t="s">
        <v>96</v>
      </c>
    </row>
    <row r="37" spans="1:18" x14ac:dyDescent="0.25">
      <c r="A37" s="3" t="s">
        <v>13</v>
      </c>
      <c r="B37" s="3" t="s">
        <v>2</v>
      </c>
      <c r="C37" s="4" t="s">
        <v>23</v>
      </c>
      <c r="D37">
        <v>1</v>
      </c>
      <c r="E37">
        <v>105</v>
      </c>
      <c r="F37">
        <v>8</v>
      </c>
      <c r="G37">
        <v>97</v>
      </c>
      <c r="H37">
        <v>7.6190476190476197E-2</v>
      </c>
      <c r="I37">
        <v>56</v>
      </c>
      <c r="J37">
        <v>4</v>
      </c>
      <c r="K37">
        <v>52</v>
      </c>
      <c r="L37">
        <v>7.1428571428571425E-2</v>
      </c>
      <c r="M37" s="6">
        <v>1</v>
      </c>
      <c r="N37" s="12">
        <v>1.071</v>
      </c>
      <c r="O37" s="12"/>
      <c r="P37" s="7" t="s">
        <v>120</v>
      </c>
      <c r="Q37" s="7">
        <f>0.2713947-5.0972867</f>
        <v>-4.8258919999999996</v>
      </c>
      <c r="R37" s="3" t="s">
        <v>96</v>
      </c>
    </row>
    <row r="38" spans="1:18" x14ac:dyDescent="0.25">
      <c r="A38" s="3" t="s">
        <v>13</v>
      </c>
      <c r="B38" s="3" t="s">
        <v>14</v>
      </c>
      <c r="C38" s="4" t="s">
        <v>23</v>
      </c>
      <c r="D38">
        <v>1</v>
      </c>
      <c r="E38">
        <v>15</v>
      </c>
      <c r="F38">
        <v>12</v>
      </c>
      <c r="G38">
        <v>3</v>
      </c>
      <c r="H38">
        <v>0.8</v>
      </c>
      <c r="I38">
        <v>10</v>
      </c>
      <c r="J38">
        <v>5</v>
      </c>
      <c r="K38">
        <v>5</v>
      </c>
      <c r="L38">
        <v>0.5</v>
      </c>
      <c r="M38" s="3" t="s">
        <v>62</v>
      </c>
      <c r="N38" s="12">
        <v>3.762</v>
      </c>
      <c r="O38" s="12"/>
      <c r="P38" s="7" t="s">
        <v>161</v>
      </c>
      <c r="Q38" s="7">
        <f>0.5046639-34.674895</f>
        <v>-34.170231100000002</v>
      </c>
      <c r="R38" s="3" t="s">
        <v>96</v>
      </c>
    </row>
    <row r="39" spans="1:18" x14ac:dyDescent="0.25">
      <c r="A39" s="3" t="s">
        <v>13</v>
      </c>
      <c r="B39" s="3" t="s">
        <v>14</v>
      </c>
      <c r="C39" s="4" t="s">
        <v>24</v>
      </c>
      <c r="D39">
        <v>0</v>
      </c>
      <c r="E39">
        <v>98</v>
      </c>
      <c r="F39">
        <v>58</v>
      </c>
      <c r="G39">
        <v>40</v>
      </c>
      <c r="H39">
        <v>0.59183673469387754</v>
      </c>
      <c r="I39">
        <v>92</v>
      </c>
      <c r="J39">
        <v>59</v>
      </c>
      <c r="K39">
        <v>33</v>
      </c>
      <c r="L39">
        <v>0.64130434782608692</v>
      </c>
      <c r="M39" s="3" t="s">
        <v>63</v>
      </c>
      <c r="N39" s="9">
        <v>0.81100000000000005</v>
      </c>
      <c r="O39" s="9"/>
      <c r="P39" s="7" t="s">
        <v>162</v>
      </c>
      <c r="Q39" s="7">
        <f>0.4322187-1.5187076</f>
        <v>-1.0864889</v>
      </c>
      <c r="R39" s="3" t="s">
        <v>96</v>
      </c>
    </row>
    <row r="40" spans="1:18" x14ac:dyDescent="0.25">
      <c r="A40" s="3" t="s">
        <v>13</v>
      </c>
      <c r="B40" s="3" t="s">
        <v>14</v>
      </c>
      <c r="C40" s="4" t="s">
        <v>24</v>
      </c>
      <c r="D40">
        <v>0</v>
      </c>
      <c r="E40">
        <v>18</v>
      </c>
      <c r="F40">
        <v>15</v>
      </c>
      <c r="G40">
        <v>3</v>
      </c>
      <c r="H40">
        <v>0.83333333333333337</v>
      </c>
      <c r="I40">
        <v>11</v>
      </c>
      <c r="J40">
        <v>10</v>
      </c>
      <c r="K40">
        <v>1</v>
      </c>
      <c r="L40">
        <v>0.90909090909090906</v>
      </c>
      <c r="M40" s="6">
        <v>1</v>
      </c>
      <c r="N40" s="9">
        <v>0.51100000000000001</v>
      </c>
      <c r="O40" s="9"/>
      <c r="P40" s="7" t="s">
        <v>163</v>
      </c>
      <c r="Q40" s="7">
        <f>0.008676444-7.469107912</f>
        <v>-7.4604314680000003</v>
      </c>
      <c r="R40" s="3" t="s">
        <v>96</v>
      </c>
    </row>
    <row r="41" spans="1:18" x14ac:dyDescent="0.25">
      <c r="A41" s="3" t="s">
        <v>13</v>
      </c>
      <c r="B41" s="3" t="s">
        <v>15</v>
      </c>
      <c r="C41" s="4" t="s">
        <v>23</v>
      </c>
      <c r="D41">
        <v>1</v>
      </c>
      <c r="E41">
        <v>201</v>
      </c>
      <c r="F41">
        <v>47</v>
      </c>
      <c r="G41">
        <v>154</v>
      </c>
      <c r="H41">
        <v>0.23383084577114427</v>
      </c>
      <c r="I41">
        <v>127</v>
      </c>
      <c r="J41">
        <v>22</v>
      </c>
      <c r="K41">
        <v>105</v>
      </c>
      <c r="L41">
        <v>0.17322834645669291</v>
      </c>
      <c r="M41" s="3" t="s">
        <v>64</v>
      </c>
      <c r="N41" s="12">
        <v>1.454</v>
      </c>
      <c r="O41" s="12"/>
      <c r="P41" s="7" t="s">
        <v>121</v>
      </c>
      <c r="Q41" s="7">
        <f>0.8043496-2.6943102</f>
        <v>-1.8899605999999998</v>
      </c>
      <c r="R41" s="3" t="s">
        <v>96</v>
      </c>
    </row>
    <row r="42" spans="1:18" x14ac:dyDescent="0.25">
      <c r="A42" s="3" t="s">
        <v>13</v>
      </c>
      <c r="B42" s="3" t="s">
        <v>11</v>
      </c>
      <c r="C42" s="4" t="s">
        <v>23</v>
      </c>
      <c r="D42">
        <v>1</v>
      </c>
      <c r="E42">
        <v>60</v>
      </c>
      <c r="F42">
        <v>3</v>
      </c>
      <c r="G42">
        <v>57</v>
      </c>
      <c r="H42">
        <v>0.05</v>
      </c>
      <c r="I42">
        <v>43</v>
      </c>
      <c r="J42">
        <v>2</v>
      </c>
      <c r="K42">
        <v>41</v>
      </c>
      <c r="L42">
        <v>4.6511627906976744E-2</v>
      </c>
      <c r="M42" s="6">
        <v>1</v>
      </c>
      <c r="N42" s="12">
        <v>1.0780000000000001</v>
      </c>
      <c r="O42" s="12"/>
      <c r="P42" s="7" t="s">
        <v>164</v>
      </c>
      <c r="Q42" s="7">
        <f>0.1179215-13.4451382</f>
        <v>-13.327216700000001</v>
      </c>
      <c r="R42" s="3" t="s">
        <v>96</v>
      </c>
    </row>
    <row r="43" spans="1:18" x14ac:dyDescent="0.25">
      <c r="A43" s="3" t="s">
        <v>13</v>
      </c>
      <c r="B43" s="3" t="s">
        <v>5</v>
      </c>
      <c r="C43" s="4" t="s">
        <v>24</v>
      </c>
      <c r="D43">
        <v>0</v>
      </c>
      <c r="E43">
        <v>2</v>
      </c>
      <c r="F43">
        <v>1</v>
      </c>
      <c r="G43">
        <v>1</v>
      </c>
      <c r="H43">
        <v>0.5</v>
      </c>
      <c r="I43">
        <v>6</v>
      </c>
      <c r="J43">
        <v>5</v>
      </c>
      <c r="K43">
        <v>1</v>
      </c>
      <c r="L43">
        <v>0.83333333333333337</v>
      </c>
      <c r="M43" s="3" t="s">
        <v>65</v>
      </c>
      <c r="N43" s="9">
        <v>0.25800000000000001</v>
      </c>
      <c r="O43" s="9"/>
      <c r="P43" s="7" t="s">
        <v>122</v>
      </c>
      <c r="Q43" s="7">
        <f>0.002143066-31.283279293</f>
        <v>-31.281136227000001</v>
      </c>
      <c r="R43" s="3" t="s">
        <v>96</v>
      </c>
    </row>
    <row r="44" spans="1:18" x14ac:dyDescent="0.25">
      <c r="A44" s="3" t="s">
        <v>13</v>
      </c>
      <c r="B44" s="3" t="s">
        <v>5</v>
      </c>
      <c r="C44" s="4" t="s">
        <v>23</v>
      </c>
      <c r="D44">
        <v>1</v>
      </c>
      <c r="E44">
        <v>11</v>
      </c>
      <c r="F44">
        <v>4</v>
      </c>
      <c r="G44">
        <v>7</v>
      </c>
      <c r="H44">
        <v>0.36363636363636365</v>
      </c>
      <c r="I44">
        <v>15</v>
      </c>
      <c r="J44">
        <v>3</v>
      </c>
      <c r="K44">
        <v>12</v>
      </c>
      <c r="L44">
        <v>0.2</v>
      </c>
      <c r="M44" s="3" t="s">
        <v>66</v>
      </c>
      <c r="N44" s="12">
        <v>2.2109999999999999</v>
      </c>
      <c r="O44" s="12"/>
      <c r="P44" s="7" t="s">
        <v>123</v>
      </c>
      <c r="Q44" s="7">
        <f>0.2809591-19.9022543</f>
        <v>-19.621295199999999</v>
      </c>
      <c r="R44" s="3" t="s">
        <v>96</v>
      </c>
    </row>
    <row r="45" spans="1:18" x14ac:dyDescent="0.25">
      <c r="A45" s="3" t="s">
        <v>13</v>
      </c>
      <c r="B45" s="3" t="s">
        <v>5</v>
      </c>
      <c r="C45" s="4" t="s">
        <v>23</v>
      </c>
      <c r="D45">
        <v>1</v>
      </c>
      <c r="E45">
        <v>14</v>
      </c>
      <c r="F45">
        <v>7</v>
      </c>
      <c r="G45">
        <v>7</v>
      </c>
      <c r="H45">
        <v>0.5</v>
      </c>
      <c r="I45">
        <v>16</v>
      </c>
      <c r="J45">
        <v>6</v>
      </c>
      <c r="K45">
        <v>10</v>
      </c>
      <c r="L45">
        <v>0.375</v>
      </c>
      <c r="M45" s="3" t="s">
        <v>67</v>
      </c>
      <c r="N45" s="12">
        <v>1.6379999999999999</v>
      </c>
      <c r="O45" s="12"/>
      <c r="P45" s="7" t="s">
        <v>124</v>
      </c>
      <c r="Q45" s="7">
        <f>0.3102573-9.0764605</f>
        <v>-8.7662031999999996</v>
      </c>
      <c r="R45" s="3" t="s">
        <v>96</v>
      </c>
    </row>
    <row r="46" spans="1:18" x14ac:dyDescent="0.25">
      <c r="A46" s="3" t="s">
        <v>13</v>
      </c>
      <c r="B46" s="3" t="s">
        <v>16</v>
      </c>
      <c r="C46" s="4" t="s">
        <v>23</v>
      </c>
      <c r="D46">
        <v>1</v>
      </c>
      <c r="E46">
        <v>77</v>
      </c>
      <c r="F46">
        <v>30</v>
      </c>
      <c r="G46">
        <v>47</v>
      </c>
      <c r="H46">
        <v>0.38961038961038963</v>
      </c>
      <c r="I46">
        <v>62</v>
      </c>
      <c r="J46">
        <v>8</v>
      </c>
      <c r="K46">
        <v>54</v>
      </c>
      <c r="L46">
        <v>0.12903225806451613</v>
      </c>
      <c r="M46" s="3" t="s">
        <v>68</v>
      </c>
      <c r="N46" s="12">
        <v>4.2640000000000002</v>
      </c>
      <c r="O46" s="12"/>
      <c r="P46" s="7" t="s">
        <v>125</v>
      </c>
      <c r="Q46" s="7">
        <f>1.701774-11.852027</f>
        <v>-10.150252999999999</v>
      </c>
      <c r="R46" s="3" t="s">
        <v>95</v>
      </c>
    </row>
    <row r="47" spans="1:18" x14ac:dyDescent="0.25">
      <c r="A47" s="3" t="s">
        <v>13</v>
      </c>
      <c r="B47" s="3" t="s">
        <v>2</v>
      </c>
      <c r="C47" s="4" t="s">
        <v>24</v>
      </c>
      <c r="D47">
        <v>0</v>
      </c>
      <c r="E47">
        <v>83</v>
      </c>
      <c r="F47">
        <v>22</v>
      </c>
      <c r="G47">
        <v>61</v>
      </c>
      <c r="H47">
        <v>0.26506024096385544</v>
      </c>
      <c r="I47">
        <v>65</v>
      </c>
      <c r="J47">
        <v>24</v>
      </c>
      <c r="K47">
        <v>41</v>
      </c>
      <c r="L47">
        <v>0.36923076923076925</v>
      </c>
      <c r="M47" s="3" t="s">
        <v>69</v>
      </c>
      <c r="N47" s="9">
        <v>0.61799999999999999</v>
      </c>
      <c r="O47" s="9"/>
      <c r="P47" s="7" t="s">
        <v>165</v>
      </c>
      <c r="Q47" s="7">
        <f>0.2879295-1.3187415</f>
        <v>-1.0308120000000001</v>
      </c>
      <c r="R47" s="3" t="s">
        <v>96</v>
      </c>
    </row>
    <row r="48" spans="1:18" x14ac:dyDescent="0.25">
      <c r="A48" s="3" t="s">
        <v>13</v>
      </c>
      <c r="B48" s="3" t="s">
        <v>17</v>
      </c>
      <c r="C48" s="4" t="s">
        <v>24</v>
      </c>
      <c r="D48">
        <v>0</v>
      </c>
      <c r="E48">
        <v>42</v>
      </c>
      <c r="F48">
        <v>6</v>
      </c>
      <c r="G48">
        <v>36</v>
      </c>
      <c r="H48">
        <v>0.14285714285714285</v>
      </c>
      <c r="I48">
        <v>27</v>
      </c>
      <c r="J48">
        <v>6</v>
      </c>
      <c r="K48">
        <v>21</v>
      </c>
      <c r="L48">
        <v>0.22222222222222221</v>
      </c>
      <c r="M48" s="3" t="s">
        <v>70</v>
      </c>
      <c r="N48" s="9">
        <v>0.58799999999999997</v>
      </c>
      <c r="O48" s="9"/>
      <c r="P48" s="7" t="s">
        <v>126</v>
      </c>
      <c r="Q48" s="7">
        <f>0.1372196-2.5105261</f>
        <v>-2.3733065</v>
      </c>
      <c r="R48" s="3" t="s">
        <v>96</v>
      </c>
    </row>
    <row r="49" spans="1:18" x14ac:dyDescent="0.25">
      <c r="A49" s="3" t="s">
        <v>13</v>
      </c>
      <c r="B49" s="3" t="s">
        <v>11</v>
      </c>
      <c r="C49" s="4" t="s">
        <v>24</v>
      </c>
      <c r="D49">
        <v>0</v>
      </c>
      <c r="E49">
        <v>63</v>
      </c>
      <c r="F49">
        <v>36</v>
      </c>
      <c r="G49">
        <v>27</v>
      </c>
      <c r="H49">
        <v>0.5714285714285714</v>
      </c>
      <c r="I49">
        <v>72</v>
      </c>
      <c r="J49">
        <v>45</v>
      </c>
      <c r="K49">
        <v>27</v>
      </c>
      <c r="L49">
        <v>0.625</v>
      </c>
      <c r="M49" s="3" t="s">
        <v>71</v>
      </c>
      <c r="N49" s="9">
        <v>0.80100000000000005</v>
      </c>
      <c r="O49" s="9"/>
      <c r="P49" s="7" t="s">
        <v>166</v>
      </c>
      <c r="Q49" s="7">
        <f>0.3788257-1.6903408</f>
        <v>-1.3115151</v>
      </c>
      <c r="R49" s="3" t="s">
        <v>96</v>
      </c>
    </row>
    <row r="50" spans="1:18" x14ac:dyDescent="0.25">
      <c r="A50" s="3" t="s">
        <v>13</v>
      </c>
      <c r="B50" s="3" t="s">
        <v>11</v>
      </c>
      <c r="C50" s="4" t="s">
        <v>24</v>
      </c>
      <c r="D50">
        <v>0</v>
      </c>
      <c r="E50">
        <v>16</v>
      </c>
      <c r="F50">
        <v>11</v>
      </c>
      <c r="G50">
        <v>5</v>
      </c>
      <c r="H50">
        <v>0.6875</v>
      </c>
      <c r="I50">
        <v>3</v>
      </c>
      <c r="J50">
        <v>3</v>
      </c>
      <c r="K50">
        <v>0</v>
      </c>
      <c r="L50">
        <v>1</v>
      </c>
      <c r="M50" s="3" t="s">
        <v>72</v>
      </c>
      <c r="N50" s="10">
        <v>0</v>
      </c>
      <c r="O50" s="10"/>
      <c r="P50" s="7" t="s">
        <v>167</v>
      </c>
      <c r="Q50" s="7" t="s">
        <v>180</v>
      </c>
      <c r="R50" s="3" t="s">
        <v>96</v>
      </c>
    </row>
    <row r="51" spans="1:18" x14ac:dyDescent="0.25">
      <c r="A51" s="3" t="s">
        <v>13</v>
      </c>
      <c r="B51" s="3" t="s">
        <v>11</v>
      </c>
      <c r="C51" s="4" t="s">
        <v>24</v>
      </c>
      <c r="D51">
        <v>0</v>
      </c>
      <c r="E51">
        <v>19</v>
      </c>
      <c r="F51">
        <v>11</v>
      </c>
      <c r="G51">
        <v>8</v>
      </c>
      <c r="H51">
        <v>0.57894736842105265</v>
      </c>
      <c r="I51">
        <v>17</v>
      </c>
      <c r="J51">
        <v>11</v>
      </c>
      <c r="K51">
        <v>6</v>
      </c>
      <c r="L51">
        <v>0.6470588235294118</v>
      </c>
      <c r="M51" s="3" t="s">
        <v>73</v>
      </c>
      <c r="N51" s="9">
        <v>0.75600000000000001</v>
      </c>
      <c r="O51" s="9"/>
      <c r="P51" s="7" t="s">
        <v>168</v>
      </c>
      <c r="Q51" s="7">
        <f>0.1565299-3.50247</f>
        <v>-3.3459401</v>
      </c>
      <c r="R51" s="3" t="s">
        <v>96</v>
      </c>
    </row>
    <row r="52" spans="1:18" x14ac:dyDescent="0.25">
      <c r="A52" s="3" t="s">
        <v>13</v>
      </c>
      <c r="B52" s="3" t="s">
        <v>11</v>
      </c>
      <c r="C52" s="4" t="s">
        <v>23</v>
      </c>
      <c r="D52">
        <v>1</v>
      </c>
      <c r="E52">
        <v>15</v>
      </c>
      <c r="F52">
        <v>12</v>
      </c>
      <c r="G52">
        <v>3</v>
      </c>
      <c r="H52">
        <v>0.8</v>
      </c>
      <c r="I52">
        <v>10</v>
      </c>
      <c r="J52">
        <v>5</v>
      </c>
      <c r="K52">
        <v>5</v>
      </c>
      <c r="L52">
        <v>0.5</v>
      </c>
      <c r="M52" s="3" t="s">
        <v>62</v>
      </c>
      <c r="N52" s="12">
        <v>3.762</v>
      </c>
      <c r="O52" s="12"/>
      <c r="P52" s="7" t="s">
        <v>161</v>
      </c>
      <c r="Q52" s="7">
        <f>0.5046639-34.674895</f>
        <v>-34.170231100000002</v>
      </c>
      <c r="R52" s="3" t="s">
        <v>96</v>
      </c>
    </row>
    <row r="53" spans="1:18" x14ac:dyDescent="0.25">
      <c r="A53" s="3" t="s">
        <v>13</v>
      </c>
      <c r="B53" s="3" t="s">
        <v>2</v>
      </c>
      <c r="C53" s="4" t="s">
        <v>23</v>
      </c>
      <c r="D53">
        <v>1</v>
      </c>
      <c r="E53">
        <v>6</v>
      </c>
      <c r="F53">
        <v>1</v>
      </c>
      <c r="G53">
        <v>5</v>
      </c>
      <c r="H53">
        <v>0.16666666666666666</v>
      </c>
      <c r="I53">
        <v>7</v>
      </c>
      <c r="J53">
        <v>1</v>
      </c>
      <c r="K53">
        <v>6</v>
      </c>
      <c r="L53">
        <v>0.14285714285714285</v>
      </c>
      <c r="M53" s="6">
        <v>1</v>
      </c>
      <c r="N53" s="12">
        <v>1.1830000000000001</v>
      </c>
      <c r="O53" s="12"/>
      <c r="P53" s="7" t="s">
        <v>127</v>
      </c>
      <c r="Q53" s="7">
        <f>0.01277144-109.58633095</f>
        <v>-109.57355951000001</v>
      </c>
      <c r="R53" s="3" t="s">
        <v>96</v>
      </c>
    </row>
    <row r="54" spans="1:18" x14ac:dyDescent="0.25">
      <c r="A54" s="3" t="s">
        <v>13</v>
      </c>
      <c r="B54" s="3" t="s">
        <v>6</v>
      </c>
      <c r="C54" s="4" t="s">
        <v>24</v>
      </c>
      <c r="D54">
        <v>0</v>
      </c>
      <c r="E54">
        <v>5</v>
      </c>
      <c r="F54">
        <v>2</v>
      </c>
      <c r="G54">
        <v>3</v>
      </c>
      <c r="H54">
        <v>0.4</v>
      </c>
      <c r="I54">
        <v>4</v>
      </c>
      <c r="J54">
        <v>2</v>
      </c>
      <c r="K54">
        <v>2</v>
      </c>
      <c r="L54">
        <v>0.5</v>
      </c>
      <c r="M54" s="6">
        <v>1</v>
      </c>
      <c r="N54" s="9">
        <v>0.69699999999999995</v>
      </c>
      <c r="O54" s="9"/>
      <c r="P54" s="7" t="s">
        <v>169</v>
      </c>
      <c r="Q54" s="7">
        <f>0.02513062-18.19585684</f>
        <v>-18.170726220000002</v>
      </c>
      <c r="R54" s="3" t="s">
        <v>96</v>
      </c>
    </row>
    <row r="55" spans="1:18" x14ac:dyDescent="0.25">
      <c r="A55" s="3" t="s">
        <v>13</v>
      </c>
      <c r="B55" s="3" t="s">
        <v>18</v>
      </c>
      <c r="C55" s="4" t="s">
        <v>23</v>
      </c>
      <c r="D55">
        <v>1</v>
      </c>
      <c r="E55">
        <v>3</v>
      </c>
      <c r="F55">
        <v>2</v>
      </c>
      <c r="G55">
        <v>1</v>
      </c>
      <c r="H55">
        <v>0.66666666666666663</v>
      </c>
      <c r="I55">
        <v>6</v>
      </c>
      <c r="J55">
        <v>0</v>
      </c>
      <c r="K55">
        <v>6</v>
      </c>
      <c r="L55">
        <v>0</v>
      </c>
      <c r="M55" s="3" t="s">
        <v>74</v>
      </c>
      <c r="N55" s="9" t="s">
        <v>100</v>
      </c>
      <c r="O55" s="9"/>
      <c r="P55" s="7" t="s">
        <v>128</v>
      </c>
      <c r="Q55" s="7" t="s">
        <v>181</v>
      </c>
      <c r="R55" s="3" t="s">
        <v>96</v>
      </c>
    </row>
    <row r="56" spans="1:18" x14ac:dyDescent="0.25">
      <c r="A56" s="3" t="s">
        <v>13</v>
      </c>
      <c r="B56" s="3" t="s">
        <v>18</v>
      </c>
      <c r="C56" s="4" t="s">
        <v>23</v>
      </c>
      <c r="D56">
        <v>1</v>
      </c>
      <c r="E56">
        <v>44</v>
      </c>
      <c r="F56">
        <v>11</v>
      </c>
      <c r="G56">
        <v>33</v>
      </c>
      <c r="H56">
        <v>0.25</v>
      </c>
      <c r="I56">
        <v>64</v>
      </c>
      <c r="J56">
        <v>9</v>
      </c>
      <c r="K56">
        <v>55</v>
      </c>
      <c r="L56">
        <v>0.140625</v>
      </c>
      <c r="M56" s="3" t="s">
        <v>75</v>
      </c>
      <c r="N56" s="12">
        <v>2.0230000000000001</v>
      </c>
      <c r="O56" s="12"/>
      <c r="P56" s="7" t="s">
        <v>170</v>
      </c>
      <c r="Q56" s="7">
        <f>0.6809003-6.1740262</f>
        <v>-5.4931258999999999</v>
      </c>
      <c r="R56" s="3" t="s">
        <v>96</v>
      </c>
    </row>
    <row r="57" spans="1:18" x14ac:dyDescent="0.25">
      <c r="A57" s="3" t="s">
        <v>13</v>
      </c>
      <c r="B57" s="3" t="s">
        <v>18</v>
      </c>
      <c r="C57" s="4" t="s">
        <v>24</v>
      </c>
      <c r="D57">
        <v>0</v>
      </c>
      <c r="E57">
        <v>6</v>
      </c>
      <c r="F57">
        <v>1</v>
      </c>
      <c r="G57">
        <v>5</v>
      </c>
      <c r="H57">
        <v>0.16666666666666666</v>
      </c>
      <c r="I57">
        <v>8</v>
      </c>
      <c r="J57">
        <v>2</v>
      </c>
      <c r="K57">
        <v>6</v>
      </c>
      <c r="L57">
        <v>0.25</v>
      </c>
      <c r="M57" s="6">
        <v>1</v>
      </c>
      <c r="N57" s="9">
        <v>0.621</v>
      </c>
      <c r="O57" s="9"/>
      <c r="P57" s="7" t="s">
        <v>171</v>
      </c>
      <c r="Q57" s="7">
        <f>0.008503093-15.542990444</f>
        <v>-15.534487351000001</v>
      </c>
      <c r="R57" s="3" t="s">
        <v>96</v>
      </c>
    </row>
    <row r="58" spans="1:18" x14ac:dyDescent="0.25">
      <c r="A58" s="3" t="s">
        <v>13</v>
      </c>
      <c r="B58" s="3" t="s">
        <v>18</v>
      </c>
      <c r="C58" s="4" t="s">
        <v>24</v>
      </c>
      <c r="D58">
        <v>0</v>
      </c>
      <c r="E58">
        <v>5</v>
      </c>
      <c r="F58">
        <v>1</v>
      </c>
      <c r="G58">
        <v>4</v>
      </c>
      <c r="H58">
        <v>0.2</v>
      </c>
      <c r="I58">
        <v>6</v>
      </c>
      <c r="J58">
        <v>2</v>
      </c>
      <c r="K58">
        <v>4</v>
      </c>
      <c r="L58">
        <v>0.33333333333333331</v>
      </c>
      <c r="M58" s="6">
        <v>1</v>
      </c>
      <c r="N58" s="9">
        <v>0.53200000000000003</v>
      </c>
      <c r="O58" s="9"/>
      <c r="P58" s="7" t="s">
        <v>129</v>
      </c>
      <c r="Q58" s="7">
        <f>0.00680901-14.52240295</f>
        <v>-14.51559394</v>
      </c>
      <c r="R58" s="3" t="s">
        <v>96</v>
      </c>
    </row>
    <row r="59" spans="1:18" x14ac:dyDescent="0.25">
      <c r="A59" s="3" t="s">
        <v>13</v>
      </c>
      <c r="B59" s="3" t="s">
        <v>18</v>
      </c>
      <c r="C59" s="4" t="s">
        <v>23</v>
      </c>
      <c r="D59">
        <v>1</v>
      </c>
      <c r="E59">
        <v>26</v>
      </c>
      <c r="F59">
        <v>5</v>
      </c>
      <c r="G59">
        <v>21</v>
      </c>
      <c r="H59">
        <v>0.19230769230769232</v>
      </c>
      <c r="I59">
        <v>23</v>
      </c>
      <c r="J59">
        <v>3</v>
      </c>
      <c r="K59">
        <v>20</v>
      </c>
      <c r="L59">
        <v>0.13043478260869565</v>
      </c>
      <c r="M59" s="3" t="s">
        <v>76</v>
      </c>
      <c r="N59" s="12">
        <v>1.5720000000000001</v>
      </c>
      <c r="O59" s="12"/>
      <c r="P59" s="7" t="s">
        <v>130</v>
      </c>
      <c r="Q59" s="7">
        <f>0.2647779-11.4700534</f>
        <v>-11.205275499999999</v>
      </c>
      <c r="R59" s="3" t="s">
        <v>96</v>
      </c>
    </row>
    <row r="60" spans="1:18" x14ac:dyDescent="0.25">
      <c r="A60" s="3" t="s">
        <v>13</v>
      </c>
      <c r="B60" s="3" t="s">
        <v>18</v>
      </c>
      <c r="C60" s="4" t="s">
        <v>23</v>
      </c>
      <c r="D60">
        <v>1</v>
      </c>
      <c r="E60">
        <v>8</v>
      </c>
      <c r="F60">
        <v>3</v>
      </c>
      <c r="G60">
        <v>5</v>
      </c>
      <c r="H60">
        <v>0.375</v>
      </c>
      <c r="I60">
        <v>6</v>
      </c>
      <c r="J60">
        <v>1</v>
      </c>
      <c r="K60">
        <v>5</v>
      </c>
      <c r="L60">
        <v>0.16666666666666666</v>
      </c>
      <c r="M60" s="3" t="s">
        <v>77</v>
      </c>
      <c r="N60" s="12">
        <v>2.7789999999999999</v>
      </c>
      <c r="O60" s="12"/>
      <c r="P60" s="7" t="s">
        <v>131</v>
      </c>
      <c r="Q60" s="7">
        <f>0.154331-188.17932</f>
        <v>-188.02498899999998</v>
      </c>
      <c r="R60" s="3" t="s">
        <v>96</v>
      </c>
    </row>
    <row r="61" spans="1:18" x14ac:dyDescent="0.25">
      <c r="A61" s="3" t="s">
        <v>13</v>
      </c>
      <c r="B61" s="3" t="s">
        <v>18</v>
      </c>
      <c r="C61" s="4" t="s">
        <v>24</v>
      </c>
      <c r="D61">
        <v>0</v>
      </c>
      <c r="E61">
        <v>18</v>
      </c>
      <c r="F61">
        <v>6</v>
      </c>
      <c r="G61">
        <v>12</v>
      </c>
      <c r="H61">
        <v>0.33333333333333331</v>
      </c>
      <c r="I61">
        <v>7</v>
      </c>
      <c r="J61">
        <v>3</v>
      </c>
      <c r="K61">
        <v>4</v>
      </c>
      <c r="L61">
        <v>0.42857142857142855</v>
      </c>
      <c r="M61" s="3" t="s">
        <v>78</v>
      </c>
      <c r="N61" s="9">
        <v>0.67700000000000005</v>
      </c>
      <c r="O61" s="9"/>
      <c r="P61" s="7" t="s">
        <v>132</v>
      </c>
      <c r="Q61" s="7">
        <f>0.08133208-6.17951927</f>
        <v>-6.09818719</v>
      </c>
      <c r="R61" s="3" t="s">
        <v>96</v>
      </c>
    </row>
    <row r="62" spans="1:18" x14ac:dyDescent="0.25">
      <c r="A62" s="3" t="s">
        <v>13</v>
      </c>
      <c r="B62" s="3" t="s">
        <v>18</v>
      </c>
      <c r="C62" s="4" t="s">
        <v>23</v>
      </c>
      <c r="D62">
        <v>1</v>
      </c>
      <c r="E62">
        <v>23</v>
      </c>
      <c r="F62">
        <v>4</v>
      </c>
      <c r="G62">
        <v>19</v>
      </c>
      <c r="H62">
        <v>0.17391304347826086</v>
      </c>
      <c r="I62">
        <v>23</v>
      </c>
      <c r="J62">
        <v>1</v>
      </c>
      <c r="K62">
        <v>22</v>
      </c>
      <c r="L62">
        <v>4.3478260869565216E-2</v>
      </c>
      <c r="M62" s="3" t="s">
        <v>79</v>
      </c>
      <c r="N62" s="12">
        <v>4.492</v>
      </c>
      <c r="O62" s="12"/>
      <c r="P62" s="7" t="s">
        <v>133</v>
      </c>
      <c r="Q62" s="7">
        <f>0.3990861-237.925923</f>
        <v>-237.52683690000001</v>
      </c>
      <c r="R62" s="3" t="s">
        <v>96</v>
      </c>
    </row>
    <row r="63" spans="1:18" x14ac:dyDescent="0.25">
      <c r="A63" s="3" t="s">
        <v>13</v>
      </c>
      <c r="B63" s="3" t="s">
        <v>19</v>
      </c>
      <c r="C63" s="4" t="s">
        <v>24</v>
      </c>
      <c r="D63">
        <v>0</v>
      </c>
      <c r="E63">
        <v>13</v>
      </c>
      <c r="F63">
        <v>1</v>
      </c>
      <c r="G63">
        <v>12</v>
      </c>
      <c r="H63">
        <v>7.6923076923076927E-2</v>
      </c>
      <c r="I63">
        <v>9</v>
      </c>
      <c r="J63">
        <v>1</v>
      </c>
      <c r="K63">
        <v>8</v>
      </c>
      <c r="L63">
        <v>0.1111111111111111</v>
      </c>
      <c r="M63" s="6">
        <v>1</v>
      </c>
      <c r="N63" s="9">
        <v>0.67900000000000005</v>
      </c>
      <c r="O63" s="9"/>
      <c r="P63" s="7" t="s">
        <v>172</v>
      </c>
      <c r="Q63" s="7">
        <f>0.007857154-58.7775836</f>
        <v>-58.769726446</v>
      </c>
      <c r="R63" s="3" t="s">
        <v>96</v>
      </c>
    </row>
    <row r="64" spans="1:18" x14ac:dyDescent="0.25">
      <c r="A64" s="3" t="s">
        <v>13</v>
      </c>
      <c r="B64" s="3" t="s">
        <v>20</v>
      </c>
      <c r="C64" s="4" t="s">
        <v>23</v>
      </c>
      <c r="D64">
        <v>1</v>
      </c>
      <c r="E64">
        <v>97</v>
      </c>
      <c r="F64">
        <v>43</v>
      </c>
      <c r="G64">
        <v>54</v>
      </c>
      <c r="H64">
        <v>0.44329896907216493</v>
      </c>
      <c r="I64">
        <v>112</v>
      </c>
      <c r="J64">
        <v>32</v>
      </c>
      <c r="K64">
        <v>80</v>
      </c>
      <c r="L64">
        <v>0.2857142857142857</v>
      </c>
      <c r="M64" s="3" t="s">
        <v>80</v>
      </c>
      <c r="N64" s="12">
        <v>1.984</v>
      </c>
      <c r="O64" s="12"/>
      <c r="P64" s="7" t="s">
        <v>134</v>
      </c>
      <c r="Q64" s="7">
        <f>1.079123-3.680318</f>
        <v>-2.6011950000000001</v>
      </c>
      <c r="R64" s="3" t="s">
        <v>95</v>
      </c>
    </row>
    <row r="65" spans="1:18" x14ac:dyDescent="0.25">
      <c r="A65" s="3" t="s">
        <v>13</v>
      </c>
      <c r="B65" s="3" t="s">
        <v>12</v>
      </c>
      <c r="C65" s="4" t="s">
        <v>23</v>
      </c>
      <c r="D65">
        <v>1</v>
      </c>
      <c r="E65">
        <v>67</v>
      </c>
      <c r="F65">
        <v>10</v>
      </c>
      <c r="G65">
        <v>57</v>
      </c>
      <c r="H65">
        <v>0.14925373134328357</v>
      </c>
      <c r="I65">
        <v>30</v>
      </c>
      <c r="J65">
        <v>2</v>
      </c>
      <c r="K65">
        <v>28</v>
      </c>
      <c r="L65">
        <v>6.6666666666666666E-2</v>
      </c>
      <c r="M65" s="3" t="s">
        <v>81</v>
      </c>
      <c r="N65" s="12">
        <v>2.4359999999999999</v>
      </c>
      <c r="O65" s="12"/>
      <c r="P65" s="7" t="s">
        <v>173</v>
      </c>
      <c r="Q65" s="7">
        <f>0.4715043-24.3579718</f>
        <v>-23.886467500000002</v>
      </c>
      <c r="R65" s="3" t="s">
        <v>96</v>
      </c>
    </row>
    <row r="66" spans="1:18" x14ac:dyDescent="0.25">
      <c r="A66" s="3" t="s">
        <v>13</v>
      </c>
      <c r="B66" s="3" t="s">
        <v>11</v>
      </c>
      <c r="C66" s="4" t="s">
        <v>23</v>
      </c>
      <c r="D66">
        <v>1</v>
      </c>
      <c r="E66">
        <v>125</v>
      </c>
      <c r="F66">
        <v>21</v>
      </c>
      <c r="G66">
        <v>104</v>
      </c>
      <c r="H66">
        <v>0.16800000000000001</v>
      </c>
      <c r="I66">
        <v>89</v>
      </c>
      <c r="J66">
        <v>7</v>
      </c>
      <c r="K66">
        <v>82</v>
      </c>
      <c r="L66">
        <v>7.8651685393258425E-2</v>
      </c>
      <c r="M66" s="3" t="s">
        <v>82</v>
      </c>
      <c r="N66" s="12">
        <v>2.3559999999999999</v>
      </c>
      <c r="O66" s="12"/>
      <c r="P66" s="7" t="s">
        <v>174</v>
      </c>
      <c r="Q66" s="7">
        <f>0.9091514-6.8922436</f>
        <v>-5.9830921999999997</v>
      </c>
      <c r="R66" s="3" t="s">
        <v>96</v>
      </c>
    </row>
    <row r="67" spans="1:18" x14ac:dyDescent="0.25">
      <c r="A67" s="3" t="s">
        <v>21</v>
      </c>
      <c r="B67" s="3" t="s">
        <v>2</v>
      </c>
      <c r="C67" s="4" t="s">
        <v>23</v>
      </c>
      <c r="D67">
        <v>1</v>
      </c>
      <c r="E67">
        <v>7</v>
      </c>
      <c r="F67">
        <v>5</v>
      </c>
      <c r="G67">
        <v>2</v>
      </c>
      <c r="H67">
        <v>0.7142857142857143</v>
      </c>
      <c r="I67">
        <v>8</v>
      </c>
      <c r="J67">
        <v>4</v>
      </c>
      <c r="K67">
        <v>4</v>
      </c>
      <c r="L67">
        <v>0.5</v>
      </c>
      <c r="M67" s="3" t="s">
        <v>83</v>
      </c>
      <c r="N67" s="12">
        <v>2.3479999999999999</v>
      </c>
      <c r="O67" s="12"/>
      <c r="P67" s="7" t="s">
        <v>135</v>
      </c>
      <c r="Q67" s="7">
        <f>0.1989474-39.4980687</f>
        <v>-39.299121299999996</v>
      </c>
      <c r="R67" s="3" t="s">
        <v>96</v>
      </c>
    </row>
    <row r="68" spans="1:18" x14ac:dyDescent="0.25">
      <c r="A68" s="3" t="s">
        <v>21</v>
      </c>
      <c r="B68" s="3" t="s">
        <v>2</v>
      </c>
      <c r="C68" s="4" t="s">
        <v>23</v>
      </c>
      <c r="D68">
        <v>1</v>
      </c>
      <c r="E68">
        <v>29</v>
      </c>
      <c r="F68">
        <v>5</v>
      </c>
      <c r="G68">
        <v>24</v>
      </c>
      <c r="H68">
        <v>0.17241379310344829</v>
      </c>
      <c r="I68">
        <v>19</v>
      </c>
      <c r="J68">
        <v>1</v>
      </c>
      <c r="K68">
        <v>18</v>
      </c>
      <c r="L68">
        <v>5.2631578947368418E-2</v>
      </c>
      <c r="M68" s="3" t="s">
        <v>84</v>
      </c>
      <c r="N68" s="12">
        <v>3.6629999999999998</v>
      </c>
      <c r="O68" s="12"/>
      <c r="P68" s="7" t="s">
        <v>175</v>
      </c>
      <c r="Q68" s="7">
        <f>0.362952-186.862871</f>
        <v>-186.49991900000001</v>
      </c>
      <c r="R68" s="3" t="s">
        <v>96</v>
      </c>
    </row>
    <row r="69" spans="1:18" x14ac:dyDescent="0.25">
      <c r="A69" s="3" t="s">
        <v>21</v>
      </c>
      <c r="B69" s="3" t="s">
        <v>2</v>
      </c>
      <c r="C69" s="4" t="s">
        <v>23</v>
      </c>
      <c r="D69">
        <v>1</v>
      </c>
      <c r="E69">
        <v>143</v>
      </c>
      <c r="F69">
        <v>5</v>
      </c>
      <c r="G69">
        <v>138</v>
      </c>
      <c r="H69">
        <v>3.4965034965034968E-2</v>
      </c>
      <c r="I69">
        <v>63</v>
      </c>
      <c r="J69">
        <v>2</v>
      </c>
      <c r="K69">
        <v>61</v>
      </c>
      <c r="L69">
        <v>3.1746031746031744E-2</v>
      </c>
      <c r="M69" s="6">
        <v>1</v>
      </c>
      <c r="N69" s="12">
        <v>1.1040000000000001</v>
      </c>
      <c r="O69" s="12"/>
      <c r="P69" s="7" t="s">
        <v>142</v>
      </c>
      <c r="Q69" s="7">
        <f>0.1749015-11.90465</f>
        <v>-11.729748499999999</v>
      </c>
      <c r="R69" s="3" t="s">
        <v>96</v>
      </c>
    </row>
    <row r="70" spans="1:18" x14ac:dyDescent="0.25">
      <c r="A70" s="3" t="s">
        <v>21</v>
      </c>
      <c r="B70" s="3" t="s">
        <v>11</v>
      </c>
      <c r="C70" s="4" t="s">
        <v>23</v>
      </c>
      <c r="D70">
        <v>1</v>
      </c>
      <c r="E70">
        <v>160</v>
      </c>
      <c r="F70">
        <v>8</v>
      </c>
      <c r="G70">
        <v>152</v>
      </c>
      <c r="H70">
        <v>0.05</v>
      </c>
      <c r="I70">
        <v>77</v>
      </c>
      <c r="J70">
        <v>2</v>
      </c>
      <c r="K70">
        <v>75</v>
      </c>
      <c r="L70">
        <v>2.5974025974025976E-2</v>
      </c>
      <c r="M70" s="3" t="s">
        <v>85</v>
      </c>
      <c r="N70" s="12">
        <v>1.968</v>
      </c>
      <c r="O70" s="12"/>
      <c r="P70" s="7" t="s">
        <v>136</v>
      </c>
      <c r="Q70" s="7">
        <f>0.379802-19.479796</f>
        <v>-19.099993999999999</v>
      </c>
      <c r="R70" s="3" t="s">
        <v>96</v>
      </c>
    </row>
    <row r="71" spans="1:18" x14ac:dyDescent="0.25">
      <c r="A71" s="3" t="s">
        <v>21</v>
      </c>
      <c r="B71" s="3" t="s">
        <v>12</v>
      </c>
      <c r="C71" s="4" t="s">
        <v>23</v>
      </c>
      <c r="D71">
        <v>1</v>
      </c>
      <c r="E71">
        <v>28</v>
      </c>
      <c r="F71">
        <v>2</v>
      </c>
      <c r="G71">
        <v>26</v>
      </c>
      <c r="H71">
        <v>7.1428571428571425E-2</v>
      </c>
      <c r="I71">
        <v>40</v>
      </c>
      <c r="J71">
        <v>1</v>
      </c>
      <c r="K71">
        <v>39</v>
      </c>
      <c r="L71">
        <v>2.5000000000000001E-2</v>
      </c>
      <c r="M71" s="3" t="s">
        <v>86</v>
      </c>
      <c r="N71" s="12">
        <v>2.9510000000000001</v>
      </c>
      <c r="O71" s="12"/>
      <c r="P71" s="7" t="s">
        <v>137</v>
      </c>
      <c r="Q71" s="7">
        <f>0.1466343-181.2265674</f>
        <v>-181.07993310000001</v>
      </c>
      <c r="R71" s="3" t="s">
        <v>96</v>
      </c>
    </row>
    <row r="72" spans="1:18" x14ac:dyDescent="0.25">
      <c r="A72" s="3" t="s">
        <v>21</v>
      </c>
      <c r="B72" s="3" t="s">
        <v>12</v>
      </c>
      <c r="C72" s="4" t="s">
        <v>23</v>
      </c>
      <c r="D72">
        <v>1</v>
      </c>
      <c r="E72">
        <v>88</v>
      </c>
      <c r="F72">
        <v>49</v>
      </c>
      <c r="G72">
        <v>39</v>
      </c>
      <c r="H72">
        <v>0.55681818181818177</v>
      </c>
      <c r="I72">
        <v>98</v>
      </c>
      <c r="J72">
        <v>31</v>
      </c>
      <c r="K72">
        <v>67</v>
      </c>
      <c r="L72">
        <v>0.31632653061224492</v>
      </c>
      <c r="M72" s="3" t="s">
        <v>87</v>
      </c>
      <c r="N72" s="12">
        <v>2.7</v>
      </c>
      <c r="O72" s="12"/>
      <c r="P72" s="7" t="s">
        <v>138</v>
      </c>
      <c r="Q72" s="7">
        <f>1.431229-5.167083</f>
        <v>-3.7358539999999998</v>
      </c>
      <c r="R72" s="3" t="s">
        <v>95</v>
      </c>
    </row>
    <row r="73" spans="1:18" x14ac:dyDescent="0.25">
      <c r="A73" s="3" t="s">
        <v>21</v>
      </c>
      <c r="B73" s="3" t="s">
        <v>28</v>
      </c>
      <c r="C73" s="4" t="s">
        <v>24</v>
      </c>
      <c r="D73">
        <v>0</v>
      </c>
      <c r="E73">
        <v>11</v>
      </c>
      <c r="F73">
        <v>6</v>
      </c>
      <c r="G73">
        <v>5</v>
      </c>
      <c r="H73">
        <v>0.54545454545454541</v>
      </c>
      <c r="I73">
        <v>3</v>
      </c>
      <c r="J73">
        <v>2</v>
      </c>
      <c r="K73">
        <v>1</v>
      </c>
      <c r="L73">
        <v>0.66666666666666663</v>
      </c>
      <c r="M73" s="6">
        <v>1</v>
      </c>
      <c r="N73" s="9">
        <v>0.621</v>
      </c>
      <c r="O73" s="9"/>
      <c r="P73" s="7" t="s">
        <v>171</v>
      </c>
      <c r="Q73" s="7">
        <f>0.008503093-15.542990444</f>
        <v>-15.534487351000001</v>
      </c>
      <c r="R73" s="3" t="s">
        <v>96</v>
      </c>
    </row>
    <row r="74" spans="1:18" x14ac:dyDescent="0.25">
      <c r="A74" s="3" t="s">
        <v>21</v>
      </c>
      <c r="B74" s="3" t="s">
        <v>12</v>
      </c>
      <c r="C74" s="4" t="s">
        <v>23</v>
      </c>
      <c r="D74">
        <v>1</v>
      </c>
      <c r="E74">
        <v>3</v>
      </c>
      <c r="F74">
        <v>2</v>
      </c>
      <c r="G74">
        <v>1</v>
      </c>
      <c r="H74">
        <v>0.66666666666666663</v>
      </c>
      <c r="I74">
        <v>17</v>
      </c>
      <c r="J74">
        <v>3</v>
      </c>
      <c r="K74">
        <v>14</v>
      </c>
      <c r="L74">
        <v>0.17647058823529413</v>
      </c>
      <c r="M74" s="3" t="s">
        <v>88</v>
      </c>
      <c r="N74" s="12">
        <v>7.992</v>
      </c>
      <c r="O74" s="12"/>
      <c r="P74" s="7" t="s">
        <v>176</v>
      </c>
      <c r="Q74" s="7">
        <f>0.3233278-585.4374357</f>
        <v>-585.11410790000002</v>
      </c>
      <c r="R74" s="3" t="s">
        <v>96</v>
      </c>
    </row>
    <row r="75" spans="1:18" x14ac:dyDescent="0.25">
      <c r="A75" s="3" t="s">
        <v>21</v>
      </c>
      <c r="B75" s="3" t="s">
        <v>22</v>
      </c>
      <c r="C75" s="4" t="s">
        <v>23</v>
      </c>
      <c r="D75">
        <v>1</v>
      </c>
      <c r="E75">
        <v>48</v>
      </c>
      <c r="F75">
        <v>4</v>
      </c>
      <c r="G75">
        <v>44</v>
      </c>
      <c r="H75">
        <v>8.3333333333333329E-2</v>
      </c>
      <c r="I75">
        <v>79</v>
      </c>
      <c r="J75">
        <v>4</v>
      </c>
      <c r="K75">
        <v>75</v>
      </c>
      <c r="L75">
        <v>5.0632911392405063E-2</v>
      </c>
      <c r="M75" s="3" t="s">
        <v>89</v>
      </c>
      <c r="N75" s="12">
        <v>1.6970000000000001</v>
      </c>
      <c r="O75" s="12"/>
      <c r="P75" s="7" t="s">
        <v>177</v>
      </c>
      <c r="Q75" s="7">
        <f>0.3002302-9.5973848</f>
        <v>-9.2971546000000007</v>
      </c>
      <c r="R75" s="3" t="s">
        <v>96</v>
      </c>
    </row>
    <row r="76" spans="1:18" x14ac:dyDescent="0.25">
      <c r="A76" s="3" t="s">
        <v>21</v>
      </c>
      <c r="B76" s="3" t="s">
        <v>12</v>
      </c>
      <c r="C76" s="4" t="s">
        <v>23</v>
      </c>
      <c r="D76">
        <v>1</v>
      </c>
      <c r="E76">
        <v>48</v>
      </c>
      <c r="F76">
        <v>12</v>
      </c>
      <c r="G76">
        <v>36</v>
      </c>
      <c r="H76">
        <v>0.25</v>
      </c>
      <c r="I76">
        <v>40</v>
      </c>
      <c r="J76">
        <v>2</v>
      </c>
      <c r="K76">
        <v>38</v>
      </c>
      <c r="L76">
        <v>0.05</v>
      </c>
      <c r="M76" s="3" t="s">
        <v>90</v>
      </c>
      <c r="N76" s="12">
        <v>6.2190000000000003</v>
      </c>
      <c r="O76" s="12"/>
      <c r="P76" s="7" t="s">
        <v>178</v>
      </c>
      <c r="Q76" s="7">
        <f>1.252934-61.07919</f>
        <v>-59.826255999999994</v>
      </c>
      <c r="R76" s="3" t="s">
        <v>95</v>
      </c>
    </row>
    <row r="77" spans="1:18" x14ac:dyDescent="0.25">
      <c r="A77" s="3" t="s">
        <v>21</v>
      </c>
      <c r="B77" s="3" t="s">
        <v>12</v>
      </c>
      <c r="C77" s="4" t="s">
        <v>23</v>
      </c>
      <c r="D77">
        <v>1</v>
      </c>
      <c r="E77">
        <v>72</v>
      </c>
      <c r="F77">
        <v>14</v>
      </c>
      <c r="G77">
        <v>58</v>
      </c>
      <c r="H77">
        <v>0.19444444444444445</v>
      </c>
      <c r="I77">
        <v>58</v>
      </c>
      <c r="J77">
        <v>5</v>
      </c>
      <c r="K77">
        <v>53</v>
      </c>
      <c r="L77">
        <v>8.6206896551724144E-2</v>
      </c>
      <c r="M77" s="3" t="s">
        <v>91</v>
      </c>
      <c r="N77" s="12">
        <v>2.5409999999999999</v>
      </c>
      <c r="O77" s="12"/>
      <c r="P77" s="7" t="s">
        <v>139</v>
      </c>
      <c r="Q77" s="7">
        <f>0.7959975-9.6448894</f>
        <v>-8.8488918999999999</v>
      </c>
      <c r="R77" s="3" t="s">
        <v>96</v>
      </c>
    </row>
    <row r="78" spans="1:18" x14ac:dyDescent="0.25">
      <c r="A78" s="3" t="s">
        <v>21</v>
      </c>
      <c r="B78" s="3" t="s">
        <v>12</v>
      </c>
      <c r="C78" s="4" t="s">
        <v>23</v>
      </c>
      <c r="D78">
        <v>1</v>
      </c>
      <c r="E78">
        <v>5</v>
      </c>
      <c r="F78">
        <v>2</v>
      </c>
      <c r="G78">
        <v>3</v>
      </c>
      <c r="H78">
        <v>0.4</v>
      </c>
      <c r="I78">
        <v>5</v>
      </c>
      <c r="J78">
        <v>2</v>
      </c>
      <c r="K78">
        <v>3</v>
      </c>
      <c r="L78">
        <v>0.4</v>
      </c>
      <c r="M78" s="6">
        <v>1</v>
      </c>
      <c r="N78" s="12">
        <v>1</v>
      </c>
      <c r="O78" s="12"/>
      <c r="P78" s="7" t="s">
        <v>140</v>
      </c>
      <c r="Q78" s="7">
        <f>0.04224561-23.67109868</f>
        <v>-23.628853070000002</v>
      </c>
      <c r="R78" s="3" t="s">
        <v>96</v>
      </c>
    </row>
    <row r="79" spans="1:18" x14ac:dyDescent="0.25">
      <c r="A79" s="3" t="s">
        <v>21</v>
      </c>
      <c r="B79" s="3" t="s">
        <v>2</v>
      </c>
      <c r="C79" s="4" t="s">
        <v>24</v>
      </c>
      <c r="D79">
        <v>0</v>
      </c>
      <c r="E79">
        <v>23</v>
      </c>
      <c r="F79">
        <v>7</v>
      </c>
      <c r="G79">
        <v>16</v>
      </c>
      <c r="H79">
        <v>0.30434782608695654</v>
      </c>
      <c r="I79">
        <v>24</v>
      </c>
      <c r="J79">
        <v>8</v>
      </c>
      <c r="K79">
        <v>16</v>
      </c>
      <c r="L79">
        <v>0.33333333333333331</v>
      </c>
      <c r="M79" s="6">
        <v>1</v>
      </c>
      <c r="N79" s="9">
        <v>0.877</v>
      </c>
      <c r="O79" s="9"/>
      <c r="P79" s="7" t="s">
        <v>141</v>
      </c>
      <c r="Q79" s="7">
        <f>0.2131443-3.5430524</f>
        <v>-3.3299080999999999</v>
      </c>
      <c r="R79" s="3" t="s">
        <v>96</v>
      </c>
    </row>
    <row r="80" spans="1:18" x14ac:dyDescent="0.25">
      <c r="A80" s="3" t="s">
        <v>21</v>
      </c>
      <c r="B80" s="3" t="s">
        <v>4</v>
      </c>
      <c r="C80" s="4" t="s">
        <v>23</v>
      </c>
      <c r="D80">
        <v>1</v>
      </c>
      <c r="E80">
        <v>143</v>
      </c>
      <c r="F80">
        <v>5</v>
      </c>
      <c r="G80">
        <v>138</v>
      </c>
      <c r="H80">
        <v>3.4965034965034968E-2</v>
      </c>
      <c r="I80">
        <v>63</v>
      </c>
      <c r="J80">
        <v>2</v>
      </c>
      <c r="K80">
        <v>61</v>
      </c>
      <c r="L80">
        <v>3.1746031746031744E-2</v>
      </c>
      <c r="M80" s="5">
        <v>1</v>
      </c>
      <c r="N80" s="12">
        <v>1.1040000000000001</v>
      </c>
      <c r="O80" s="12"/>
      <c r="P80" s="7" t="s">
        <v>142</v>
      </c>
      <c r="Q80" s="7">
        <f>0.1749015-11.90465</f>
        <v>-11.729748499999999</v>
      </c>
      <c r="R80" t="s">
        <v>96</v>
      </c>
    </row>
    <row r="81" spans="1:18" x14ac:dyDescent="0.25">
      <c r="A81" s="3" t="s">
        <v>21</v>
      </c>
      <c r="B81" s="3" t="s">
        <v>12</v>
      </c>
      <c r="C81" s="4" t="s">
        <v>23</v>
      </c>
      <c r="D81">
        <v>1</v>
      </c>
      <c r="E81">
        <v>11</v>
      </c>
      <c r="F81">
        <v>4</v>
      </c>
      <c r="G81">
        <v>7</v>
      </c>
      <c r="H81">
        <v>0.36363636363636365</v>
      </c>
      <c r="I81">
        <v>8</v>
      </c>
      <c r="J81">
        <v>1</v>
      </c>
      <c r="K81">
        <v>7</v>
      </c>
      <c r="L81">
        <v>0.125</v>
      </c>
      <c r="M81" s="3" t="s">
        <v>92</v>
      </c>
      <c r="N81" s="12">
        <v>3.7330000000000001</v>
      </c>
      <c r="O81" s="12"/>
      <c r="P81" s="7" t="s">
        <v>143</v>
      </c>
      <c r="Q81" s="7">
        <f>0.271195-224.265605</f>
        <v>-223.99440999999999</v>
      </c>
      <c r="R81" s="3" t="s">
        <v>96</v>
      </c>
    </row>
    <row r="82" spans="1:18" x14ac:dyDescent="0.25">
      <c r="A82" s="3" t="s">
        <v>21</v>
      </c>
      <c r="B82" s="3" t="s">
        <v>12</v>
      </c>
      <c r="C82" s="4" t="s">
        <v>23</v>
      </c>
      <c r="D82">
        <v>1</v>
      </c>
      <c r="E82">
        <v>173</v>
      </c>
      <c r="F82">
        <v>55</v>
      </c>
      <c r="G82">
        <v>118</v>
      </c>
      <c r="H82">
        <v>0.31791907514450868</v>
      </c>
      <c r="I82">
        <v>196</v>
      </c>
      <c r="J82">
        <v>32</v>
      </c>
      <c r="K82">
        <v>164</v>
      </c>
      <c r="L82">
        <v>0.16326530612244897</v>
      </c>
      <c r="M82" s="3" t="s">
        <v>93</v>
      </c>
      <c r="N82" s="12">
        <v>2.383</v>
      </c>
      <c r="O82" s="12"/>
      <c r="P82" s="7" t="s">
        <v>144</v>
      </c>
      <c r="Q82" s="7">
        <f>1.416005-4.062078</f>
        <v>-2.6460729999999995</v>
      </c>
      <c r="R82" s="3" t="s">
        <v>95</v>
      </c>
    </row>
    <row r="87" spans="1:18" x14ac:dyDescent="0.25">
      <c r="G87">
        <f>CORREL(F2:F82,J2:J82)</f>
        <v>0.89326320507573032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H15" sqref="H15"/>
    </sheetView>
  </sheetViews>
  <sheetFormatPr defaultRowHeight="15" x14ac:dyDescent="0.25"/>
  <cols>
    <col min="1" max="1" width="18" customWidth="1"/>
    <col min="2" max="2" width="20.85546875" bestFit="1" customWidth="1"/>
  </cols>
  <sheetData>
    <row r="3" spans="1:3" x14ac:dyDescent="0.25">
      <c r="A3" s="13"/>
      <c r="B3" s="14"/>
      <c r="C3" s="15"/>
    </row>
    <row r="4" spans="1:3" x14ac:dyDescent="0.25">
      <c r="A4" s="16"/>
      <c r="B4" s="17"/>
      <c r="C4" s="18"/>
    </row>
    <row r="5" spans="1:3" x14ac:dyDescent="0.25">
      <c r="A5" s="16"/>
      <c r="B5" s="17"/>
      <c r="C5" s="18"/>
    </row>
    <row r="6" spans="1:3" x14ac:dyDescent="0.25">
      <c r="A6" s="16"/>
      <c r="B6" s="17"/>
      <c r="C6" s="18"/>
    </row>
    <row r="7" spans="1:3" x14ac:dyDescent="0.25">
      <c r="A7" s="16"/>
      <c r="B7" s="17"/>
      <c r="C7" s="18"/>
    </row>
    <row r="8" spans="1:3" x14ac:dyDescent="0.25">
      <c r="A8" s="16"/>
      <c r="B8" s="17"/>
      <c r="C8" s="18"/>
    </row>
    <row r="9" spans="1:3" x14ac:dyDescent="0.25">
      <c r="A9" s="16"/>
      <c r="B9" s="17"/>
      <c r="C9" s="18"/>
    </row>
    <row r="10" spans="1:3" x14ac:dyDescent="0.25">
      <c r="A10" s="16"/>
      <c r="B10" s="17"/>
      <c r="C10" s="18"/>
    </row>
    <row r="11" spans="1:3" x14ac:dyDescent="0.25">
      <c r="A11" s="16"/>
      <c r="B11" s="17"/>
      <c r="C11" s="18"/>
    </row>
    <row r="12" spans="1:3" x14ac:dyDescent="0.25">
      <c r="A12" s="16"/>
      <c r="B12" s="17"/>
      <c r="C12" s="18"/>
    </row>
    <row r="13" spans="1:3" x14ac:dyDescent="0.25">
      <c r="A13" s="16"/>
      <c r="B13" s="17"/>
      <c r="C13" s="18"/>
    </row>
    <row r="14" spans="1:3" x14ac:dyDescent="0.25">
      <c r="A14" s="16"/>
      <c r="B14" s="17"/>
      <c r="C14" s="18"/>
    </row>
    <row r="15" spans="1:3" x14ac:dyDescent="0.25">
      <c r="A15" s="16"/>
      <c r="B15" s="17"/>
      <c r="C15" s="18"/>
    </row>
    <row r="16" spans="1:3" x14ac:dyDescent="0.25">
      <c r="A16" s="16"/>
      <c r="B16" s="17"/>
      <c r="C16" s="18"/>
    </row>
    <row r="17" spans="1:3" x14ac:dyDescent="0.25">
      <c r="A17" s="16"/>
      <c r="B17" s="17"/>
      <c r="C17" s="18"/>
    </row>
    <row r="18" spans="1:3" x14ac:dyDescent="0.25">
      <c r="A18" s="16"/>
      <c r="B18" s="17"/>
      <c r="C18" s="18"/>
    </row>
    <row r="19" spans="1:3" x14ac:dyDescent="0.25">
      <c r="A19" s="16"/>
      <c r="B19" s="17"/>
      <c r="C19" s="18"/>
    </row>
    <row r="20" spans="1:3" x14ac:dyDescent="0.25">
      <c r="A20" s="19"/>
      <c r="B20" s="20"/>
      <c r="C20" s="2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workbookViewId="0">
      <selection activeCell="S1" sqref="A1:S80"/>
    </sheetView>
  </sheetViews>
  <sheetFormatPr defaultRowHeight="15" x14ac:dyDescent="0.25"/>
  <cols>
    <col min="1" max="1" width="8.85546875" bestFit="1" customWidth="1"/>
    <col min="2" max="2" width="35.42578125" bestFit="1" customWidth="1"/>
    <col min="3" max="4" width="35.42578125" customWidth="1"/>
    <col min="13" max="13" width="13.85546875" bestFit="1" customWidth="1"/>
    <col min="14" max="15" width="13.85546875" style="11" customWidth="1"/>
    <col min="16" max="17" width="27.85546875" bestFit="1" customWidth="1"/>
    <col min="18" max="18" width="27.85546875" customWidth="1"/>
  </cols>
  <sheetData>
    <row r="1" spans="1:19" x14ac:dyDescent="0.25">
      <c r="A1" s="1" t="s">
        <v>26</v>
      </c>
      <c r="B1" s="1" t="s">
        <v>25</v>
      </c>
      <c r="C1" s="2" t="s">
        <v>97</v>
      </c>
      <c r="D1" t="s">
        <v>98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33</v>
      </c>
      <c r="M1" s="2" t="s">
        <v>94</v>
      </c>
      <c r="N1" s="8" t="s">
        <v>99</v>
      </c>
      <c r="O1" s="8" t="s">
        <v>182</v>
      </c>
      <c r="P1" s="2" t="s">
        <v>101</v>
      </c>
      <c r="Q1" s="2" t="s">
        <v>189</v>
      </c>
      <c r="R1" s="2" t="s">
        <v>190</v>
      </c>
      <c r="S1" s="2" t="s">
        <v>0</v>
      </c>
    </row>
    <row r="2" spans="1:19" x14ac:dyDescent="0.25">
      <c r="A2" s="3" t="s">
        <v>1</v>
      </c>
      <c r="B2" s="3" t="s">
        <v>2</v>
      </c>
      <c r="C2" s="4" t="s">
        <v>23</v>
      </c>
      <c r="D2">
        <v>1</v>
      </c>
      <c r="E2">
        <v>41</v>
      </c>
      <c r="F2">
        <v>12</v>
      </c>
      <c r="G2">
        <v>29</v>
      </c>
      <c r="H2">
        <v>0.29268292682926828</v>
      </c>
      <c r="I2">
        <v>53</v>
      </c>
      <c r="J2">
        <v>7</v>
      </c>
      <c r="K2">
        <v>46</v>
      </c>
      <c r="L2">
        <v>0.13207547169811321</v>
      </c>
      <c r="M2" t="s">
        <v>37</v>
      </c>
      <c r="N2" s="12">
        <v>2.6890000000000001</v>
      </c>
      <c r="O2" s="12" t="s">
        <v>183</v>
      </c>
      <c r="P2" s="7" t="s">
        <v>179</v>
      </c>
      <c r="Q2" s="7">
        <f>0.9067071-16.4716523</f>
        <v>-15.564945199999999</v>
      </c>
      <c r="R2" s="7" t="s">
        <v>185</v>
      </c>
      <c r="S2" s="3" t="s">
        <v>96</v>
      </c>
    </row>
    <row r="3" spans="1:19" x14ac:dyDescent="0.25">
      <c r="A3" s="3" t="s">
        <v>1</v>
      </c>
      <c r="B3" s="3" t="s">
        <v>2</v>
      </c>
      <c r="C3" s="4" t="s">
        <v>23</v>
      </c>
      <c r="D3">
        <v>1</v>
      </c>
      <c r="E3">
        <v>38</v>
      </c>
      <c r="F3">
        <v>13</v>
      </c>
      <c r="G3">
        <v>25</v>
      </c>
      <c r="H3">
        <v>0.34210526315789475</v>
      </c>
      <c r="I3">
        <v>31</v>
      </c>
      <c r="J3">
        <v>4</v>
      </c>
      <c r="K3">
        <v>27</v>
      </c>
      <c r="L3">
        <v>0.12903225806451613</v>
      </c>
      <c r="M3" s="3" t="s">
        <v>38</v>
      </c>
      <c r="N3" s="12">
        <v>3.448</v>
      </c>
      <c r="O3" s="12" t="s">
        <v>183</v>
      </c>
      <c r="P3" s="7" t="s">
        <v>102</v>
      </c>
      <c r="Q3" s="7">
        <f>0.9067071-16.4716523</f>
        <v>-15.564945199999999</v>
      </c>
      <c r="R3" s="7" t="s">
        <v>185</v>
      </c>
      <c r="S3" s="3" t="s">
        <v>96</v>
      </c>
    </row>
    <row r="4" spans="1:19" x14ac:dyDescent="0.25">
      <c r="A4" s="3" t="s">
        <v>1</v>
      </c>
      <c r="B4" s="3" t="s">
        <v>29</v>
      </c>
      <c r="C4" s="4" t="s">
        <v>23</v>
      </c>
      <c r="D4">
        <v>1</v>
      </c>
      <c r="E4">
        <v>15</v>
      </c>
      <c r="F4">
        <v>3</v>
      </c>
      <c r="G4">
        <v>12</v>
      </c>
      <c r="H4">
        <v>0.2</v>
      </c>
      <c r="I4">
        <v>8</v>
      </c>
      <c r="J4">
        <v>1</v>
      </c>
      <c r="K4">
        <v>7</v>
      </c>
      <c r="L4">
        <v>0.125</v>
      </c>
      <c r="M4" s="5">
        <v>1</v>
      </c>
      <c r="N4" s="12">
        <v>1.71</v>
      </c>
      <c r="O4" s="12" t="s">
        <v>184</v>
      </c>
      <c r="P4" s="7" t="s">
        <v>103</v>
      </c>
      <c r="Q4" s="7">
        <f>0.1103096-104.7360788</f>
        <v>-104.62576920000001</v>
      </c>
      <c r="R4" s="7" t="s">
        <v>186</v>
      </c>
      <c r="S4" t="s">
        <v>96</v>
      </c>
    </row>
    <row r="5" spans="1:19" x14ac:dyDescent="0.25">
      <c r="A5" s="3" t="s">
        <v>3</v>
      </c>
      <c r="B5" s="3" t="s">
        <v>4</v>
      </c>
      <c r="C5" s="4" t="s">
        <v>23</v>
      </c>
      <c r="D5">
        <v>1</v>
      </c>
      <c r="E5">
        <v>22</v>
      </c>
      <c r="F5">
        <v>2</v>
      </c>
      <c r="G5">
        <v>20</v>
      </c>
      <c r="H5">
        <v>9.0909090909090912E-2</v>
      </c>
      <c r="I5">
        <v>29</v>
      </c>
      <c r="J5">
        <v>1</v>
      </c>
      <c r="K5">
        <v>28</v>
      </c>
      <c r="L5">
        <v>3.4482758620689655E-2</v>
      </c>
      <c r="M5" s="3" t="s">
        <v>39</v>
      </c>
      <c r="N5" s="12">
        <v>2.7429999999999999</v>
      </c>
      <c r="O5" s="12" t="s">
        <v>183</v>
      </c>
      <c r="P5" s="7" t="s">
        <v>145</v>
      </c>
      <c r="Q5" s="7">
        <f>0.1342317-170.7871838</f>
        <v>-170.65295210000002</v>
      </c>
      <c r="R5" s="7" t="s">
        <v>186</v>
      </c>
      <c r="S5" s="3" t="s">
        <v>96</v>
      </c>
    </row>
    <row r="6" spans="1:19" x14ac:dyDescent="0.25">
      <c r="A6" s="3" t="s">
        <v>3</v>
      </c>
      <c r="B6" s="3" t="s">
        <v>27</v>
      </c>
      <c r="C6" s="4" t="s">
        <v>23</v>
      </c>
      <c r="D6">
        <v>1</v>
      </c>
      <c r="E6">
        <v>8</v>
      </c>
      <c r="F6">
        <v>5</v>
      </c>
      <c r="G6">
        <v>3</v>
      </c>
      <c r="H6">
        <v>0.625</v>
      </c>
      <c r="I6">
        <v>8</v>
      </c>
      <c r="J6">
        <v>2</v>
      </c>
      <c r="K6">
        <v>6</v>
      </c>
      <c r="L6">
        <v>0.25</v>
      </c>
      <c r="M6" s="3" t="s">
        <v>40</v>
      </c>
      <c r="N6" s="12">
        <v>4.4729999999999999</v>
      </c>
      <c r="O6" s="12" t="s">
        <v>183</v>
      </c>
      <c r="P6" s="7" t="s">
        <v>146</v>
      </c>
      <c r="Q6" s="7">
        <f>0.408659-75.900478</f>
        <v>-75.491819000000007</v>
      </c>
      <c r="R6" s="7" t="s">
        <v>186</v>
      </c>
      <c r="S6" s="3" t="s">
        <v>96</v>
      </c>
    </row>
    <row r="7" spans="1:19" x14ac:dyDescent="0.25">
      <c r="A7" s="3" t="s">
        <v>3</v>
      </c>
      <c r="B7" s="3" t="s">
        <v>27</v>
      </c>
      <c r="C7" s="4" t="s">
        <v>24</v>
      </c>
      <c r="D7">
        <v>0</v>
      </c>
      <c r="E7">
        <v>11</v>
      </c>
      <c r="F7">
        <v>1</v>
      </c>
      <c r="G7">
        <v>10</v>
      </c>
      <c r="H7">
        <v>9.0909090909090912E-2</v>
      </c>
      <c r="I7">
        <v>10</v>
      </c>
      <c r="J7">
        <v>1</v>
      </c>
      <c r="K7">
        <v>9</v>
      </c>
      <c r="L7">
        <v>0.1</v>
      </c>
      <c r="M7" s="6">
        <v>1</v>
      </c>
      <c r="N7" s="9">
        <v>0.90400000000000003</v>
      </c>
      <c r="O7" s="9" t="s">
        <v>184</v>
      </c>
      <c r="P7" s="7" t="s">
        <v>104</v>
      </c>
      <c r="Q7" s="7">
        <f>0.01044359-78.35527446</f>
        <v>-78.34483087000001</v>
      </c>
      <c r="R7" s="7" t="s">
        <v>186</v>
      </c>
      <c r="S7" s="3" t="s">
        <v>96</v>
      </c>
    </row>
    <row r="8" spans="1:19" x14ac:dyDescent="0.25">
      <c r="A8" s="3" t="s">
        <v>3</v>
      </c>
      <c r="B8" s="3" t="s">
        <v>27</v>
      </c>
      <c r="C8" s="4" t="s">
        <v>23</v>
      </c>
      <c r="D8">
        <v>1</v>
      </c>
      <c r="E8">
        <v>19</v>
      </c>
      <c r="F8">
        <v>10</v>
      </c>
      <c r="G8">
        <v>9</v>
      </c>
      <c r="H8">
        <v>0.52631578947368418</v>
      </c>
      <c r="I8">
        <v>17</v>
      </c>
      <c r="J8">
        <v>1</v>
      </c>
      <c r="K8">
        <v>16</v>
      </c>
      <c r="L8">
        <v>5.8823529411764705E-2</v>
      </c>
      <c r="M8" s="3" t="s">
        <v>41</v>
      </c>
      <c r="N8" s="12">
        <v>1.639</v>
      </c>
      <c r="O8" s="12" t="s">
        <v>184</v>
      </c>
      <c r="P8" s="7" t="s">
        <v>105</v>
      </c>
      <c r="Q8" s="7">
        <f>1.825697-814.294259</f>
        <v>-812.46856200000002</v>
      </c>
      <c r="R8" s="7" t="s">
        <v>186</v>
      </c>
      <c r="S8" s="3" t="s">
        <v>95</v>
      </c>
    </row>
    <row r="9" spans="1:19" x14ac:dyDescent="0.25">
      <c r="A9" s="3" t="s">
        <v>3</v>
      </c>
      <c r="B9" s="3" t="s">
        <v>6</v>
      </c>
      <c r="C9" s="4" t="s">
        <v>23</v>
      </c>
      <c r="D9">
        <v>1</v>
      </c>
      <c r="E9">
        <v>8</v>
      </c>
      <c r="F9">
        <v>2</v>
      </c>
      <c r="G9">
        <v>6</v>
      </c>
      <c r="H9">
        <v>0.25</v>
      </c>
      <c r="I9">
        <v>10</v>
      </c>
      <c r="J9">
        <v>2</v>
      </c>
      <c r="K9">
        <v>8</v>
      </c>
      <c r="L9">
        <v>0.2</v>
      </c>
      <c r="M9" s="6">
        <v>1</v>
      </c>
      <c r="N9" s="12">
        <v>1.3109999999999999</v>
      </c>
      <c r="O9" s="12" t="s">
        <v>184</v>
      </c>
      <c r="P9" s="7" t="s">
        <v>106</v>
      </c>
      <c r="Q9" s="7">
        <f>0.07444791-23.22790093</f>
        <v>-23.153453020000001</v>
      </c>
      <c r="R9" s="7" t="s">
        <v>186</v>
      </c>
      <c r="S9" s="3" t="s">
        <v>96</v>
      </c>
    </row>
    <row r="10" spans="1:19" x14ac:dyDescent="0.25">
      <c r="A10" s="3" t="s">
        <v>7</v>
      </c>
      <c r="B10" s="3" t="s">
        <v>27</v>
      </c>
      <c r="C10" s="4" t="s">
        <v>23</v>
      </c>
      <c r="D10">
        <v>1</v>
      </c>
      <c r="E10">
        <v>4</v>
      </c>
      <c r="F10">
        <v>2</v>
      </c>
      <c r="G10">
        <v>2</v>
      </c>
      <c r="H10">
        <v>0.5</v>
      </c>
      <c r="I10">
        <v>10</v>
      </c>
      <c r="J10">
        <v>4</v>
      </c>
      <c r="K10">
        <v>6</v>
      </c>
      <c r="L10">
        <v>0.4</v>
      </c>
      <c r="M10" s="6">
        <v>1</v>
      </c>
      <c r="N10" s="12">
        <v>1.456</v>
      </c>
      <c r="O10" s="12" t="s">
        <v>184</v>
      </c>
      <c r="P10" s="7" t="s">
        <v>107</v>
      </c>
      <c r="Q10" s="7">
        <f>0.07518301-28.59975237</f>
        <v>-28.524569360000001</v>
      </c>
      <c r="R10" s="7" t="s">
        <v>186</v>
      </c>
      <c r="S10" s="3" t="s">
        <v>96</v>
      </c>
    </row>
    <row r="11" spans="1:19" x14ac:dyDescent="0.25">
      <c r="A11" s="3" t="s">
        <v>7</v>
      </c>
      <c r="B11" s="3" t="s">
        <v>27</v>
      </c>
      <c r="C11" s="4" t="s">
        <v>23</v>
      </c>
      <c r="D11">
        <v>1</v>
      </c>
      <c r="E11">
        <v>30</v>
      </c>
      <c r="F11">
        <v>6</v>
      </c>
      <c r="G11">
        <v>24</v>
      </c>
      <c r="H11">
        <v>0.2</v>
      </c>
      <c r="I11">
        <v>31</v>
      </c>
      <c r="J11">
        <v>3</v>
      </c>
      <c r="K11">
        <v>28</v>
      </c>
      <c r="L11">
        <v>9.6774193548387094E-2</v>
      </c>
      <c r="M11" s="3" t="s">
        <v>42</v>
      </c>
      <c r="N11" s="12">
        <v>2.3010000000000002</v>
      </c>
      <c r="O11" s="12" t="s">
        <v>183</v>
      </c>
      <c r="P11" s="7" t="s">
        <v>147</v>
      </c>
      <c r="Q11" s="7">
        <f>0.4347918-15.7615857</f>
        <v>-15.3267939</v>
      </c>
      <c r="R11" s="7" t="s">
        <v>185</v>
      </c>
      <c r="S11" s="3" t="s">
        <v>96</v>
      </c>
    </row>
    <row r="12" spans="1:19" x14ac:dyDescent="0.25">
      <c r="A12" s="3" t="s">
        <v>7</v>
      </c>
      <c r="B12" s="3" t="s">
        <v>2</v>
      </c>
      <c r="C12" s="4" t="s">
        <v>23</v>
      </c>
      <c r="D12">
        <v>1</v>
      </c>
      <c r="E12">
        <v>4</v>
      </c>
      <c r="F12">
        <v>1</v>
      </c>
      <c r="G12">
        <v>3</v>
      </c>
      <c r="H12">
        <v>0.25</v>
      </c>
      <c r="I12">
        <v>12</v>
      </c>
      <c r="J12">
        <v>1</v>
      </c>
      <c r="K12">
        <v>11</v>
      </c>
      <c r="L12">
        <v>8.3333333333333329E-2</v>
      </c>
      <c r="M12" s="3" t="s">
        <v>43</v>
      </c>
      <c r="N12" s="12">
        <v>3.3159999999999998</v>
      </c>
      <c r="O12" s="12" t="s">
        <v>183</v>
      </c>
      <c r="P12" s="7" t="s">
        <v>108</v>
      </c>
      <c r="Q12" s="7">
        <f>0.03510228-312.38892497</f>
        <v>-312.35382269000002</v>
      </c>
      <c r="R12" s="7" t="s">
        <v>186</v>
      </c>
      <c r="S12" s="3" t="s">
        <v>96</v>
      </c>
    </row>
    <row r="13" spans="1:19" x14ac:dyDescent="0.25">
      <c r="A13" s="3" t="s">
        <v>7</v>
      </c>
      <c r="B13" s="3" t="s">
        <v>2</v>
      </c>
      <c r="C13" s="4" t="s">
        <v>24</v>
      </c>
      <c r="D13">
        <v>0</v>
      </c>
      <c r="E13">
        <v>60</v>
      </c>
      <c r="F13">
        <v>1</v>
      </c>
      <c r="G13">
        <v>59</v>
      </c>
      <c r="H13">
        <v>1.6666666666666666E-2</v>
      </c>
      <c r="I13">
        <v>39</v>
      </c>
      <c r="J13">
        <v>4</v>
      </c>
      <c r="K13">
        <v>35</v>
      </c>
      <c r="L13">
        <v>0.10256410256410256</v>
      </c>
      <c r="M13" s="3" t="s">
        <v>44</v>
      </c>
      <c r="N13" s="9">
        <v>0.151</v>
      </c>
      <c r="O13" s="9" t="s">
        <v>184</v>
      </c>
      <c r="P13" s="7" t="s">
        <v>109</v>
      </c>
      <c r="Q13" s="7">
        <f>0.002968043-1.60587998</f>
        <v>-1.602911937</v>
      </c>
      <c r="R13" s="7" t="s">
        <v>187</v>
      </c>
      <c r="S13" s="3" t="s">
        <v>96</v>
      </c>
    </row>
    <row r="14" spans="1:19" x14ac:dyDescent="0.25">
      <c r="A14" s="3" t="s">
        <v>8</v>
      </c>
      <c r="B14" s="3" t="s">
        <v>27</v>
      </c>
      <c r="C14" s="4" t="s">
        <v>23</v>
      </c>
      <c r="D14">
        <v>1</v>
      </c>
      <c r="E14">
        <v>11</v>
      </c>
      <c r="F14">
        <v>3</v>
      </c>
      <c r="G14">
        <v>8</v>
      </c>
      <c r="H14">
        <v>0.27272727272727271</v>
      </c>
      <c r="I14">
        <v>5</v>
      </c>
      <c r="J14">
        <v>1</v>
      </c>
      <c r="K14">
        <v>4</v>
      </c>
      <c r="L14">
        <v>0.2</v>
      </c>
      <c r="M14" s="6">
        <v>1</v>
      </c>
      <c r="N14" s="12">
        <v>1.4630000000000001</v>
      </c>
      <c r="O14" s="12" t="s">
        <v>184</v>
      </c>
      <c r="P14" s="7" t="s">
        <v>148</v>
      </c>
      <c r="Q14" s="7">
        <f>0.08073418-98.09696479</f>
        <v>-98.016230610000008</v>
      </c>
      <c r="R14" s="7" t="s">
        <v>186</v>
      </c>
      <c r="S14" s="3" t="s">
        <v>96</v>
      </c>
    </row>
    <row r="15" spans="1:19" x14ac:dyDescent="0.25">
      <c r="A15" s="3" t="s">
        <v>8</v>
      </c>
      <c r="B15" s="3" t="s">
        <v>27</v>
      </c>
      <c r="C15" s="4" t="s">
        <v>23</v>
      </c>
      <c r="D15">
        <v>1</v>
      </c>
      <c r="E15">
        <v>12</v>
      </c>
      <c r="F15">
        <v>3</v>
      </c>
      <c r="G15">
        <v>9</v>
      </c>
      <c r="H15">
        <v>0.25</v>
      </c>
      <c r="I15">
        <v>20</v>
      </c>
      <c r="J15">
        <v>1</v>
      </c>
      <c r="K15">
        <v>19</v>
      </c>
      <c r="L15">
        <v>0.05</v>
      </c>
      <c r="M15" s="3" t="s">
        <v>45</v>
      </c>
      <c r="N15" s="12">
        <v>5.9530000000000003</v>
      </c>
      <c r="O15" s="12" t="s">
        <v>183</v>
      </c>
      <c r="P15" s="7" t="s">
        <v>149</v>
      </c>
      <c r="Q15" s="7">
        <f>0.4127567-348.6898273</f>
        <v>-348.2770706</v>
      </c>
      <c r="R15" s="7" t="s">
        <v>186</v>
      </c>
      <c r="S15" s="3" t="s">
        <v>96</v>
      </c>
    </row>
    <row r="16" spans="1:19" x14ac:dyDescent="0.25">
      <c r="A16" s="3" t="s">
        <v>8</v>
      </c>
      <c r="B16" s="3" t="s">
        <v>27</v>
      </c>
      <c r="C16" s="4" t="s">
        <v>23</v>
      </c>
      <c r="D16">
        <v>1</v>
      </c>
      <c r="E16">
        <v>6</v>
      </c>
      <c r="F16">
        <v>3</v>
      </c>
      <c r="G16">
        <v>3</v>
      </c>
      <c r="H16">
        <v>0.5</v>
      </c>
      <c r="I16">
        <v>6</v>
      </c>
      <c r="J16">
        <v>1</v>
      </c>
      <c r="K16">
        <v>5</v>
      </c>
      <c r="L16">
        <v>0.16666666666666666</v>
      </c>
      <c r="M16" s="3" t="s">
        <v>46</v>
      </c>
      <c r="N16" s="12">
        <v>4.3410000000000002</v>
      </c>
      <c r="O16" s="12" t="s">
        <v>183</v>
      </c>
      <c r="P16" s="7" t="s">
        <v>150</v>
      </c>
      <c r="Q16" s="7">
        <f>0.2222013-313.0419931</f>
        <v>-312.81979180000002</v>
      </c>
      <c r="R16" s="7" t="s">
        <v>186</v>
      </c>
      <c r="S16" s="3" t="s">
        <v>96</v>
      </c>
    </row>
    <row r="17" spans="1:19" x14ac:dyDescent="0.25">
      <c r="A17" s="3" t="s">
        <v>8</v>
      </c>
      <c r="B17" s="3" t="s">
        <v>27</v>
      </c>
      <c r="C17" s="4" t="s">
        <v>23</v>
      </c>
      <c r="D17">
        <v>1</v>
      </c>
      <c r="E17">
        <v>30</v>
      </c>
      <c r="F17">
        <v>7</v>
      </c>
      <c r="G17">
        <v>23</v>
      </c>
      <c r="H17">
        <v>0.23333333333333334</v>
      </c>
      <c r="I17">
        <v>22</v>
      </c>
      <c r="J17">
        <v>5</v>
      </c>
      <c r="K17">
        <v>17</v>
      </c>
      <c r="L17">
        <v>0.22727272727272727</v>
      </c>
      <c r="M17" s="6">
        <v>1</v>
      </c>
      <c r="N17" s="12">
        <v>1.034</v>
      </c>
      <c r="O17" s="12" t="s">
        <v>184</v>
      </c>
      <c r="P17" s="7" t="s">
        <v>110</v>
      </c>
      <c r="Q17" s="7">
        <f>0.2341317-4.8960238</f>
        <v>-4.6618921000000002</v>
      </c>
      <c r="R17" s="7" t="s">
        <v>187</v>
      </c>
      <c r="S17" s="3" t="s">
        <v>96</v>
      </c>
    </row>
    <row r="18" spans="1:19" x14ac:dyDescent="0.25">
      <c r="A18" s="3" t="s">
        <v>9</v>
      </c>
      <c r="B18" s="3" t="s">
        <v>27</v>
      </c>
      <c r="C18" s="4" t="s">
        <v>23</v>
      </c>
      <c r="D18">
        <v>1</v>
      </c>
      <c r="E18">
        <v>5</v>
      </c>
      <c r="F18">
        <v>4</v>
      </c>
      <c r="G18">
        <v>1</v>
      </c>
      <c r="H18">
        <v>0.8</v>
      </c>
      <c r="I18">
        <v>4</v>
      </c>
      <c r="J18">
        <v>1</v>
      </c>
      <c r="K18">
        <v>3</v>
      </c>
      <c r="L18">
        <v>0.25</v>
      </c>
      <c r="M18" s="3" t="s">
        <v>47</v>
      </c>
      <c r="N18" s="12">
        <v>8.3550000000000004</v>
      </c>
      <c r="O18" s="12" t="s">
        <v>183</v>
      </c>
      <c r="P18" s="7" t="s">
        <v>111</v>
      </c>
      <c r="Q18" s="7">
        <f>0.3071304-776.3482393</f>
        <v>-776.04110890000004</v>
      </c>
      <c r="R18" s="7" t="s">
        <v>186</v>
      </c>
      <c r="S18" s="3" t="s">
        <v>96</v>
      </c>
    </row>
    <row r="19" spans="1:19" x14ac:dyDescent="0.25">
      <c r="A19" s="3" t="s">
        <v>9</v>
      </c>
      <c r="B19" s="3" t="s">
        <v>2</v>
      </c>
      <c r="C19" s="4" t="s">
        <v>23</v>
      </c>
      <c r="D19">
        <v>1</v>
      </c>
      <c r="E19">
        <v>125</v>
      </c>
      <c r="F19">
        <v>15</v>
      </c>
      <c r="G19">
        <v>110</v>
      </c>
      <c r="H19">
        <v>0.12</v>
      </c>
      <c r="I19">
        <v>101</v>
      </c>
      <c r="J19">
        <v>10</v>
      </c>
      <c r="K19">
        <v>91</v>
      </c>
      <c r="L19">
        <v>9.9009900990099015E-2</v>
      </c>
      <c r="M19" s="3" t="s">
        <v>48</v>
      </c>
      <c r="N19" s="12">
        <v>1.2390000000000001</v>
      </c>
      <c r="O19" s="12" t="s">
        <v>184</v>
      </c>
      <c r="P19" s="7" t="s">
        <v>151</v>
      </c>
      <c r="Q19" s="7">
        <f>0.4934869-3.2452106</f>
        <v>-2.7517236999999999</v>
      </c>
      <c r="R19" s="7" t="s">
        <v>187</v>
      </c>
      <c r="S19" s="3" t="s">
        <v>96</v>
      </c>
    </row>
    <row r="20" spans="1:19" x14ac:dyDescent="0.25">
      <c r="A20" s="3" t="s">
        <v>9</v>
      </c>
      <c r="B20" s="3" t="s">
        <v>6</v>
      </c>
      <c r="C20" s="4" t="s">
        <v>23</v>
      </c>
      <c r="D20">
        <v>1</v>
      </c>
      <c r="E20">
        <v>72</v>
      </c>
      <c r="F20">
        <v>4</v>
      </c>
      <c r="G20">
        <v>68</v>
      </c>
      <c r="H20">
        <v>5.5555555555555552E-2</v>
      </c>
      <c r="I20">
        <v>119</v>
      </c>
      <c r="J20">
        <v>1</v>
      </c>
      <c r="K20">
        <v>118</v>
      </c>
      <c r="L20">
        <v>8.4033613445378148E-3</v>
      </c>
      <c r="M20" s="3" t="s">
        <v>49</v>
      </c>
      <c r="N20" s="12">
        <v>6.8730000000000002</v>
      </c>
      <c r="O20" s="12" t="s">
        <v>183</v>
      </c>
      <c r="P20" s="7" t="s">
        <v>112</v>
      </c>
      <c r="Q20" s="7">
        <f>0.662732-344.017413</f>
        <v>-343.35468099999997</v>
      </c>
      <c r="R20" s="7" t="s">
        <v>186</v>
      </c>
      <c r="S20" s="3" t="s">
        <v>96</v>
      </c>
    </row>
    <row r="21" spans="1:19" x14ac:dyDescent="0.25">
      <c r="A21" s="3" t="s">
        <v>9</v>
      </c>
      <c r="B21" s="3" t="s">
        <v>10</v>
      </c>
      <c r="C21" s="4" t="s">
        <v>23</v>
      </c>
      <c r="D21">
        <v>1</v>
      </c>
      <c r="E21">
        <v>39</v>
      </c>
      <c r="F21">
        <v>5</v>
      </c>
      <c r="G21">
        <v>34</v>
      </c>
      <c r="H21">
        <v>0.12820512820512819</v>
      </c>
      <c r="I21">
        <v>17</v>
      </c>
      <c r="J21">
        <v>1</v>
      </c>
      <c r="K21">
        <v>16</v>
      </c>
      <c r="L21">
        <v>5.8823529411764705E-2</v>
      </c>
      <c r="M21" s="3" t="s">
        <v>50</v>
      </c>
      <c r="N21" s="12">
        <v>2.3220000000000001</v>
      </c>
      <c r="O21" s="12" t="s">
        <v>183</v>
      </c>
      <c r="P21" s="7" t="s">
        <v>113</v>
      </c>
      <c r="Q21" s="7">
        <f>0.2310802-118.0713755</f>
        <v>-117.84029530000001</v>
      </c>
      <c r="R21" s="7" t="s">
        <v>186</v>
      </c>
      <c r="S21" s="3" t="s">
        <v>96</v>
      </c>
    </row>
    <row r="22" spans="1:19" x14ac:dyDescent="0.25">
      <c r="A22" s="3" t="s">
        <v>9</v>
      </c>
      <c r="B22" s="3" t="s">
        <v>27</v>
      </c>
      <c r="C22" s="4" t="s">
        <v>23</v>
      </c>
      <c r="D22">
        <v>1</v>
      </c>
      <c r="E22">
        <v>48</v>
      </c>
      <c r="F22">
        <v>2</v>
      </c>
      <c r="G22">
        <v>46</v>
      </c>
      <c r="H22">
        <v>4.1666666666666664E-2</v>
      </c>
      <c r="I22">
        <v>63</v>
      </c>
      <c r="J22">
        <v>2</v>
      </c>
      <c r="K22">
        <v>61</v>
      </c>
      <c r="L22">
        <v>3.1746031746031744E-2</v>
      </c>
      <c r="M22" s="6">
        <v>1</v>
      </c>
      <c r="N22" s="12">
        <v>1.3220000000000001</v>
      </c>
      <c r="O22" s="12" t="s">
        <v>184</v>
      </c>
      <c r="P22" s="7" t="s">
        <v>152</v>
      </c>
      <c r="Q22" s="7">
        <f>0.09269681-18.87552527</f>
        <v>-18.782828460000001</v>
      </c>
      <c r="R22" s="7" t="s">
        <v>185</v>
      </c>
      <c r="S22" s="3" t="s">
        <v>96</v>
      </c>
    </row>
    <row r="23" spans="1:19" x14ac:dyDescent="0.25">
      <c r="A23" s="3" t="s">
        <v>9</v>
      </c>
      <c r="B23" s="3" t="s">
        <v>11</v>
      </c>
      <c r="C23" s="4" t="s">
        <v>23</v>
      </c>
      <c r="D23">
        <v>1</v>
      </c>
      <c r="E23">
        <v>12</v>
      </c>
      <c r="F23">
        <v>4</v>
      </c>
      <c r="G23">
        <v>8</v>
      </c>
      <c r="H23">
        <v>0.33333333333333331</v>
      </c>
      <c r="I23">
        <v>11</v>
      </c>
      <c r="J23">
        <v>1</v>
      </c>
      <c r="K23">
        <v>10</v>
      </c>
      <c r="L23">
        <v>9.0909090909090912E-2</v>
      </c>
      <c r="M23" s="3" t="s">
        <v>51</v>
      </c>
      <c r="N23" s="12">
        <v>4.6760000000000002</v>
      </c>
      <c r="O23" s="12" t="s">
        <v>183</v>
      </c>
      <c r="P23" s="7" t="s">
        <v>153</v>
      </c>
      <c r="Q23" s="7">
        <f>0.364167-269.868425</f>
        <v>-269.50425799999999</v>
      </c>
      <c r="R23" s="7" t="s">
        <v>186</v>
      </c>
      <c r="S23" s="3" t="s">
        <v>96</v>
      </c>
    </row>
    <row r="24" spans="1:19" x14ac:dyDescent="0.25">
      <c r="A24" s="3" t="s">
        <v>9</v>
      </c>
      <c r="B24" s="3" t="s">
        <v>11</v>
      </c>
      <c r="C24" s="4" t="s">
        <v>23</v>
      </c>
      <c r="D24">
        <v>1</v>
      </c>
      <c r="E24">
        <v>36</v>
      </c>
      <c r="F24">
        <v>6</v>
      </c>
      <c r="G24">
        <v>30</v>
      </c>
      <c r="H24">
        <v>0.16666666666666666</v>
      </c>
      <c r="I24">
        <v>44</v>
      </c>
      <c r="J24">
        <v>3</v>
      </c>
      <c r="K24">
        <v>41</v>
      </c>
      <c r="L24">
        <v>6.8181818181818177E-2</v>
      </c>
      <c r="M24" s="3" t="s">
        <v>52</v>
      </c>
      <c r="N24" s="12">
        <v>2.6989999999999998</v>
      </c>
      <c r="O24" s="12" t="s">
        <v>183</v>
      </c>
      <c r="P24" s="7" t="s">
        <v>114</v>
      </c>
      <c r="Q24" s="7">
        <f>0.5258919-18.0150933</f>
        <v>-17.489201399999999</v>
      </c>
      <c r="R24" s="7" t="s">
        <v>185</v>
      </c>
      <c r="S24" s="3" t="s">
        <v>96</v>
      </c>
    </row>
    <row r="25" spans="1:19" x14ac:dyDescent="0.25">
      <c r="A25" s="3" t="s">
        <v>9</v>
      </c>
      <c r="B25" s="3" t="s">
        <v>11</v>
      </c>
      <c r="C25" s="4" t="s">
        <v>23</v>
      </c>
      <c r="D25">
        <v>1</v>
      </c>
      <c r="E25">
        <v>10</v>
      </c>
      <c r="F25">
        <v>5</v>
      </c>
      <c r="G25">
        <v>5</v>
      </c>
      <c r="H25">
        <v>0.5</v>
      </c>
      <c r="I25">
        <v>13</v>
      </c>
      <c r="J25">
        <v>4</v>
      </c>
      <c r="K25">
        <v>9</v>
      </c>
      <c r="L25">
        <v>0.30769230769230771</v>
      </c>
      <c r="M25" s="3" t="s">
        <v>53</v>
      </c>
      <c r="N25" s="12">
        <v>2.169</v>
      </c>
      <c r="O25" s="12" t="s">
        <v>183</v>
      </c>
      <c r="P25" s="7" t="s">
        <v>154</v>
      </c>
      <c r="Q25" s="7">
        <f>0.3022986-17.20564</f>
        <v>-16.903341399999999</v>
      </c>
      <c r="R25" s="7" t="s">
        <v>185</v>
      </c>
      <c r="S25" s="3" t="s">
        <v>96</v>
      </c>
    </row>
    <row r="26" spans="1:19" x14ac:dyDescent="0.25">
      <c r="A26" s="3" t="s">
        <v>9</v>
      </c>
      <c r="B26" s="3" t="s">
        <v>11</v>
      </c>
      <c r="C26" s="4" t="s">
        <v>23</v>
      </c>
      <c r="D26">
        <v>1</v>
      </c>
      <c r="E26">
        <v>39</v>
      </c>
      <c r="F26">
        <v>16</v>
      </c>
      <c r="G26">
        <v>23</v>
      </c>
      <c r="H26">
        <v>0.41025641025641024</v>
      </c>
      <c r="I26">
        <v>26</v>
      </c>
      <c r="J26">
        <v>5</v>
      </c>
      <c r="K26">
        <v>21</v>
      </c>
      <c r="L26">
        <v>0.19230769230769232</v>
      </c>
      <c r="M26" s="3" t="s">
        <v>54</v>
      </c>
      <c r="N26" s="12">
        <v>2.8740000000000001</v>
      </c>
      <c r="O26" s="12" t="s">
        <v>183</v>
      </c>
      <c r="P26" s="7" t="s">
        <v>155</v>
      </c>
      <c r="Q26" s="7">
        <f>0.817904-11.844968</f>
        <v>-11.027063999999999</v>
      </c>
      <c r="R26" s="7" t="s">
        <v>185</v>
      </c>
      <c r="S26" s="3" t="s">
        <v>96</v>
      </c>
    </row>
    <row r="27" spans="1:19" x14ac:dyDescent="0.25">
      <c r="A27" s="3" t="s">
        <v>9</v>
      </c>
      <c r="B27" s="3" t="s">
        <v>11</v>
      </c>
      <c r="C27" s="4" t="s">
        <v>23</v>
      </c>
      <c r="D27">
        <v>1</v>
      </c>
      <c r="E27">
        <v>28</v>
      </c>
      <c r="F27">
        <v>3</v>
      </c>
      <c r="G27">
        <v>25</v>
      </c>
      <c r="H27">
        <v>0.10714285714285714</v>
      </c>
      <c r="I27">
        <v>36</v>
      </c>
      <c r="J27">
        <v>2</v>
      </c>
      <c r="K27">
        <v>34</v>
      </c>
      <c r="L27">
        <v>5.5555555555555552E-2</v>
      </c>
      <c r="M27" s="3" t="s">
        <v>55</v>
      </c>
      <c r="N27" s="12">
        <v>2.0169999999999999</v>
      </c>
      <c r="O27" s="12" t="s">
        <v>183</v>
      </c>
      <c r="P27" s="7" t="s">
        <v>115</v>
      </c>
      <c r="Q27" s="7">
        <f>0.2142847-25.8434627</f>
        <v>-25.629178</v>
      </c>
      <c r="R27" s="7" t="s">
        <v>186</v>
      </c>
      <c r="S27" s="3" t="s">
        <v>96</v>
      </c>
    </row>
    <row r="28" spans="1:19" x14ac:dyDescent="0.25">
      <c r="A28" s="3" t="s">
        <v>9</v>
      </c>
      <c r="B28" s="3" t="s">
        <v>11</v>
      </c>
      <c r="C28" s="4" t="s">
        <v>23</v>
      </c>
      <c r="D28">
        <v>1</v>
      </c>
      <c r="E28">
        <v>8</v>
      </c>
      <c r="F28">
        <v>3</v>
      </c>
      <c r="G28">
        <v>5</v>
      </c>
      <c r="H28">
        <v>0.375</v>
      </c>
      <c r="I28">
        <v>8</v>
      </c>
      <c r="J28">
        <v>1</v>
      </c>
      <c r="K28">
        <v>7</v>
      </c>
      <c r="L28">
        <v>0.125</v>
      </c>
      <c r="M28" s="3" t="s">
        <v>56</v>
      </c>
      <c r="N28" s="12">
        <v>3.8380000000000001</v>
      </c>
      <c r="O28" s="12" t="s">
        <v>183</v>
      </c>
      <c r="P28" s="7" t="s">
        <v>156</v>
      </c>
      <c r="Q28" s="7">
        <f>0.2272195-250.8760421</f>
        <v>-250.64882260000002</v>
      </c>
      <c r="R28" s="7" t="s">
        <v>186</v>
      </c>
      <c r="S28" s="3" t="s">
        <v>96</v>
      </c>
    </row>
    <row r="29" spans="1:19" x14ac:dyDescent="0.25">
      <c r="A29" s="3" t="s">
        <v>9</v>
      </c>
      <c r="B29" s="3" t="s">
        <v>12</v>
      </c>
      <c r="C29" s="4" t="s">
        <v>23</v>
      </c>
      <c r="D29">
        <v>1</v>
      </c>
      <c r="E29">
        <v>14</v>
      </c>
      <c r="F29">
        <v>4</v>
      </c>
      <c r="G29">
        <v>10</v>
      </c>
      <c r="H29">
        <v>0.2857142857142857</v>
      </c>
      <c r="I29">
        <v>25</v>
      </c>
      <c r="J29">
        <v>6</v>
      </c>
      <c r="K29">
        <v>19</v>
      </c>
      <c r="L29">
        <v>0.24</v>
      </c>
      <c r="M29" s="6">
        <v>1</v>
      </c>
      <c r="N29" s="12">
        <v>1.258</v>
      </c>
      <c r="O29" s="12" t="s">
        <v>184</v>
      </c>
      <c r="P29" s="7" t="s">
        <v>157</v>
      </c>
      <c r="Q29" s="7">
        <f>0.2098189-6.8784075</f>
        <v>-6.6685885999999996</v>
      </c>
      <c r="R29" s="7" t="s">
        <v>187</v>
      </c>
      <c r="S29" s="3" t="s">
        <v>96</v>
      </c>
    </row>
    <row r="30" spans="1:19" x14ac:dyDescent="0.25">
      <c r="A30" s="3" t="s">
        <v>9</v>
      </c>
      <c r="B30" s="3" t="s">
        <v>12</v>
      </c>
      <c r="C30" s="4" t="s">
        <v>24</v>
      </c>
      <c r="D30">
        <v>0</v>
      </c>
      <c r="E30">
        <v>10</v>
      </c>
      <c r="F30">
        <v>5</v>
      </c>
      <c r="G30">
        <v>5</v>
      </c>
      <c r="H30">
        <v>0.5</v>
      </c>
      <c r="I30">
        <v>11</v>
      </c>
      <c r="J30">
        <v>7</v>
      </c>
      <c r="K30">
        <v>4</v>
      </c>
      <c r="L30">
        <v>0.63636363636363635</v>
      </c>
      <c r="M30" s="3" t="s">
        <v>57</v>
      </c>
      <c r="N30" s="9">
        <v>0.58699999999999997</v>
      </c>
      <c r="O30" s="9" t="s">
        <v>184</v>
      </c>
      <c r="P30" s="7" t="s">
        <v>116</v>
      </c>
      <c r="Q30" s="7">
        <f>0.0714251-4.4405747</f>
        <v>-4.3691496000000001</v>
      </c>
      <c r="R30" s="7" t="s">
        <v>187</v>
      </c>
      <c r="S30" s="3" t="s">
        <v>96</v>
      </c>
    </row>
    <row r="31" spans="1:19" x14ac:dyDescent="0.25">
      <c r="A31" s="3" t="s">
        <v>9</v>
      </c>
      <c r="B31" s="3" t="s">
        <v>12</v>
      </c>
      <c r="C31" s="4" t="s">
        <v>24</v>
      </c>
      <c r="D31">
        <v>0</v>
      </c>
      <c r="E31">
        <v>5</v>
      </c>
      <c r="F31">
        <v>4</v>
      </c>
      <c r="G31">
        <v>1</v>
      </c>
      <c r="H31">
        <v>0.8</v>
      </c>
      <c r="I31">
        <v>6</v>
      </c>
      <c r="J31">
        <v>5</v>
      </c>
      <c r="K31">
        <v>1</v>
      </c>
      <c r="L31">
        <v>0.83333333333333337</v>
      </c>
      <c r="M31" s="6">
        <v>1</v>
      </c>
      <c r="N31" s="9">
        <v>0.81599999999999995</v>
      </c>
      <c r="O31" s="9" t="s">
        <v>188</v>
      </c>
      <c r="P31" s="7" t="s">
        <v>158</v>
      </c>
      <c r="Q31" s="7">
        <f>0.008520413-78.274138145</f>
        <v>-78.265617731999995</v>
      </c>
      <c r="R31" s="7" t="s">
        <v>186</v>
      </c>
      <c r="S31" s="3" t="s">
        <v>96</v>
      </c>
    </row>
    <row r="32" spans="1:19" x14ac:dyDescent="0.25">
      <c r="A32" s="3" t="s">
        <v>9</v>
      </c>
      <c r="B32" s="3" t="s">
        <v>2</v>
      </c>
      <c r="C32" s="4" t="s">
        <v>24</v>
      </c>
      <c r="D32">
        <v>0</v>
      </c>
      <c r="E32">
        <v>25</v>
      </c>
      <c r="F32">
        <v>3</v>
      </c>
      <c r="G32">
        <v>22</v>
      </c>
      <c r="H32">
        <v>0.12</v>
      </c>
      <c r="I32">
        <v>43</v>
      </c>
      <c r="J32">
        <v>7</v>
      </c>
      <c r="K32">
        <v>36</v>
      </c>
      <c r="L32">
        <v>0.16279069767441862</v>
      </c>
      <c r="M32" s="3" t="s">
        <v>58</v>
      </c>
      <c r="N32" s="9">
        <v>0.70399999999999996</v>
      </c>
      <c r="O32" s="9" t="s">
        <v>184</v>
      </c>
      <c r="P32" s="7" t="s">
        <v>159</v>
      </c>
      <c r="Q32" s="7">
        <f>0.1065786-3.5008057</f>
        <v>-3.3942270999999997</v>
      </c>
      <c r="R32" s="7" t="s">
        <v>187</v>
      </c>
      <c r="S32" s="3" t="s">
        <v>96</v>
      </c>
    </row>
    <row r="33" spans="1:19" x14ac:dyDescent="0.25">
      <c r="A33" s="3" t="s">
        <v>9</v>
      </c>
      <c r="B33" s="3" t="s">
        <v>2</v>
      </c>
      <c r="C33" s="4" t="s">
        <v>23</v>
      </c>
      <c r="D33">
        <v>1</v>
      </c>
      <c r="E33">
        <v>24</v>
      </c>
      <c r="F33">
        <v>6</v>
      </c>
      <c r="G33">
        <v>18</v>
      </c>
      <c r="H33">
        <v>0.25</v>
      </c>
      <c r="I33">
        <v>22</v>
      </c>
      <c r="J33">
        <v>1</v>
      </c>
      <c r="K33">
        <v>21</v>
      </c>
      <c r="L33">
        <v>4.5454545454545456E-2</v>
      </c>
      <c r="M33" s="3" t="s">
        <v>59</v>
      </c>
      <c r="N33" s="12">
        <v>6.7460000000000004</v>
      </c>
      <c r="O33" s="12" t="s">
        <v>183</v>
      </c>
      <c r="P33" s="7" t="s">
        <v>117</v>
      </c>
      <c r="Q33" s="7">
        <f>0.7146072-336.3556601</f>
        <v>-335.64105290000003</v>
      </c>
      <c r="R33" s="7" t="s">
        <v>186</v>
      </c>
      <c r="S33" s="3" t="s">
        <v>96</v>
      </c>
    </row>
    <row r="34" spans="1:19" x14ac:dyDescent="0.25">
      <c r="A34" s="3" t="s">
        <v>9</v>
      </c>
      <c r="B34" s="3" t="s">
        <v>2</v>
      </c>
      <c r="C34" s="4" t="s">
        <v>23</v>
      </c>
      <c r="D34">
        <v>1</v>
      </c>
      <c r="E34">
        <v>24</v>
      </c>
      <c r="F34">
        <v>9</v>
      </c>
      <c r="G34">
        <v>15</v>
      </c>
      <c r="H34">
        <v>0.375</v>
      </c>
      <c r="I34">
        <v>20</v>
      </c>
      <c r="J34">
        <v>7</v>
      </c>
      <c r="K34">
        <v>13</v>
      </c>
      <c r="L34">
        <v>0.35</v>
      </c>
      <c r="M34" s="6">
        <v>1</v>
      </c>
      <c r="N34" s="12">
        <v>1.111</v>
      </c>
      <c r="O34" s="12" t="s">
        <v>184</v>
      </c>
      <c r="P34" s="7" t="s">
        <v>160</v>
      </c>
      <c r="Q34" s="7">
        <f>0.274573-4.623746</f>
        <v>-4.3491729999999995</v>
      </c>
      <c r="R34" s="7" t="s">
        <v>187</v>
      </c>
      <c r="S34" s="3" t="s">
        <v>96</v>
      </c>
    </row>
    <row r="35" spans="1:19" x14ac:dyDescent="0.25">
      <c r="A35" s="3" t="s">
        <v>9</v>
      </c>
      <c r="B35" s="3" t="s">
        <v>2</v>
      </c>
      <c r="C35" s="4" t="s">
        <v>23</v>
      </c>
      <c r="D35">
        <v>1</v>
      </c>
      <c r="E35">
        <v>29</v>
      </c>
      <c r="F35">
        <v>4</v>
      </c>
      <c r="G35">
        <v>25</v>
      </c>
      <c r="H35">
        <v>0.13793103448275862</v>
      </c>
      <c r="I35">
        <v>38</v>
      </c>
      <c r="J35">
        <v>2</v>
      </c>
      <c r="K35">
        <v>36</v>
      </c>
      <c r="L35">
        <v>5.2631578947368418E-2</v>
      </c>
      <c r="M35" s="3" t="s">
        <v>60</v>
      </c>
      <c r="N35" s="12">
        <v>2.8340000000000001</v>
      </c>
      <c r="O35" s="12" t="s">
        <v>183</v>
      </c>
      <c r="P35" s="7" t="s">
        <v>118</v>
      </c>
      <c r="Q35" s="7">
        <f>0.3733301-33.6072926</f>
        <v>-33.233962500000004</v>
      </c>
      <c r="R35" s="7" t="s">
        <v>186</v>
      </c>
      <c r="S35" s="3" t="s">
        <v>96</v>
      </c>
    </row>
    <row r="36" spans="1:19" x14ac:dyDescent="0.25">
      <c r="A36" s="3" t="s">
        <v>13</v>
      </c>
      <c r="B36" s="3" t="s">
        <v>2</v>
      </c>
      <c r="C36" s="4" t="s">
        <v>24</v>
      </c>
      <c r="D36">
        <v>0</v>
      </c>
      <c r="E36">
        <v>104</v>
      </c>
      <c r="F36">
        <v>27</v>
      </c>
      <c r="G36">
        <v>77</v>
      </c>
      <c r="H36">
        <v>0.25961538461538464</v>
      </c>
      <c r="I36">
        <v>79</v>
      </c>
      <c r="J36">
        <v>24</v>
      </c>
      <c r="K36">
        <v>55</v>
      </c>
      <c r="L36">
        <v>0.30379746835443039</v>
      </c>
      <c r="M36" s="3" t="s">
        <v>61</v>
      </c>
      <c r="N36" s="9">
        <v>0.80400000000000005</v>
      </c>
      <c r="O36" s="9" t="s">
        <v>184</v>
      </c>
      <c r="P36" s="7" t="s">
        <v>119</v>
      </c>
      <c r="Q36" s="7">
        <f>0.3993117-1.625175</f>
        <v>-1.2258633000000001</v>
      </c>
      <c r="R36" s="7" t="s">
        <v>187</v>
      </c>
      <c r="S36" s="3" t="s">
        <v>96</v>
      </c>
    </row>
    <row r="37" spans="1:19" x14ac:dyDescent="0.25">
      <c r="A37" s="3" t="s">
        <v>13</v>
      </c>
      <c r="B37" s="3" t="s">
        <v>2</v>
      </c>
      <c r="C37" s="4" t="s">
        <v>23</v>
      </c>
      <c r="D37">
        <v>1</v>
      </c>
      <c r="E37">
        <v>105</v>
      </c>
      <c r="F37">
        <v>8</v>
      </c>
      <c r="G37">
        <v>97</v>
      </c>
      <c r="H37">
        <v>7.6190476190476197E-2</v>
      </c>
      <c r="I37">
        <v>56</v>
      </c>
      <c r="J37">
        <v>4</v>
      </c>
      <c r="K37">
        <v>52</v>
      </c>
      <c r="L37">
        <v>7.1428571428571425E-2</v>
      </c>
      <c r="M37" s="6">
        <v>1</v>
      </c>
      <c r="N37" s="12">
        <v>1.071</v>
      </c>
      <c r="O37" s="12" t="s">
        <v>184</v>
      </c>
      <c r="P37" s="7" t="s">
        <v>120</v>
      </c>
      <c r="Q37" s="7">
        <f>0.2713947-5.0972867</f>
        <v>-4.8258919999999996</v>
      </c>
      <c r="R37" s="7" t="s">
        <v>187</v>
      </c>
      <c r="S37" s="3" t="s">
        <v>96</v>
      </c>
    </row>
    <row r="38" spans="1:19" x14ac:dyDescent="0.25">
      <c r="A38" s="3" t="s">
        <v>13</v>
      </c>
      <c r="B38" s="3" t="s">
        <v>14</v>
      </c>
      <c r="C38" s="4" t="s">
        <v>23</v>
      </c>
      <c r="D38">
        <v>1</v>
      </c>
      <c r="E38">
        <v>15</v>
      </c>
      <c r="F38">
        <v>12</v>
      </c>
      <c r="G38">
        <v>3</v>
      </c>
      <c r="H38">
        <v>0.8</v>
      </c>
      <c r="I38">
        <v>10</v>
      </c>
      <c r="J38">
        <v>5</v>
      </c>
      <c r="K38">
        <v>5</v>
      </c>
      <c r="L38">
        <v>0.5</v>
      </c>
      <c r="M38" s="3" t="s">
        <v>62</v>
      </c>
      <c r="N38" s="12">
        <v>3.762</v>
      </c>
      <c r="O38" s="12" t="s">
        <v>183</v>
      </c>
      <c r="P38" s="7" t="s">
        <v>161</v>
      </c>
      <c r="Q38" s="7">
        <f>0.5046639-34.674895</f>
        <v>-34.170231100000002</v>
      </c>
      <c r="R38" s="7" t="s">
        <v>186</v>
      </c>
      <c r="S38" s="3" t="s">
        <v>96</v>
      </c>
    </row>
    <row r="39" spans="1:19" x14ac:dyDescent="0.25">
      <c r="A39" s="3" t="s">
        <v>13</v>
      </c>
      <c r="B39" s="3" t="s">
        <v>14</v>
      </c>
      <c r="C39" s="4" t="s">
        <v>24</v>
      </c>
      <c r="D39">
        <v>0</v>
      </c>
      <c r="E39">
        <v>98</v>
      </c>
      <c r="F39">
        <v>58</v>
      </c>
      <c r="G39">
        <v>40</v>
      </c>
      <c r="H39">
        <v>0.59183673469387754</v>
      </c>
      <c r="I39">
        <v>92</v>
      </c>
      <c r="J39">
        <v>59</v>
      </c>
      <c r="K39">
        <v>33</v>
      </c>
      <c r="L39">
        <v>0.64130434782608692</v>
      </c>
      <c r="M39" s="3" t="s">
        <v>63</v>
      </c>
      <c r="N39" s="9">
        <v>0.81100000000000005</v>
      </c>
      <c r="O39" s="9" t="s">
        <v>184</v>
      </c>
      <c r="P39" s="7" t="s">
        <v>162</v>
      </c>
      <c r="Q39" s="7">
        <f>0.4322187-1.5187076</f>
        <v>-1.0864889</v>
      </c>
      <c r="R39" s="7" t="s">
        <v>187</v>
      </c>
      <c r="S39" s="3" t="s">
        <v>96</v>
      </c>
    </row>
    <row r="40" spans="1:19" x14ac:dyDescent="0.25">
      <c r="A40" s="3" t="s">
        <v>13</v>
      </c>
      <c r="B40" s="3" t="s">
        <v>14</v>
      </c>
      <c r="C40" s="4" t="s">
        <v>24</v>
      </c>
      <c r="D40">
        <v>0</v>
      </c>
      <c r="E40">
        <v>18</v>
      </c>
      <c r="F40">
        <v>15</v>
      </c>
      <c r="G40">
        <v>3</v>
      </c>
      <c r="H40">
        <v>0.83333333333333337</v>
      </c>
      <c r="I40">
        <v>11</v>
      </c>
      <c r="J40">
        <v>10</v>
      </c>
      <c r="K40">
        <v>1</v>
      </c>
      <c r="L40">
        <v>0.90909090909090906</v>
      </c>
      <c r="M40" s="6">
        <v>1</v>
      </c>
      <c r="N40" s="9">
        <v>0.51100000000000001</v>
      </c>
      <c r="O40" s="9" t="s">
        <v>184</v>
      </c>
      <c r="P40" s="7" t="s">
        <v>163</v>
      </c>
      <c r="Q40" s="7">
        <f>0.008676444-7.469107912</f>
        <v>-7.4604314680000003</v>
      </c>
      <c r="R40" s="7" t="s">
        <v>187</v>
      </c>
      <c r="S40" s="3" t="s">
        <v>96</v>
      </c>
    </row>
    <row r="41" spans="1:19" x14ac:dyDescent="0.25">
      <c r="A41" s="3" t="s">
        <v>13</v>
      </c>
      <c r="B41" s="3" t="s">
        <v>15</v>
      </c>
      <c r="C41" s="4" t="s">
        <v>23</v>
      </c>
      <c r="D41">
        <v>1</v>
      </c>
      <c r="E41">
        <v>201</v>
      </c>
      <c r="F41">
        <v>47</v>
      </c>
      <c r="G41">
        <v>154</v>
      </c>
      <c r="H41">
        <v>0.23383084577114427</v>
      </c>
      <c r="I41">
        <v>127</v>
      </c>
      <c r="J41">
        <v>22</v>
      </c>
      <c r="K41">
        <v>105</v>
      </c>
      <c r="L41">
        <v>0.17322834645669291</v>
      </c>
      <c r="M41" s="3" t="s">
        <v>64</v>
      </c>
      <c r="N41" s="12">
        <v>1.454</v>
      </c>
      <c r="O41" s="12" t="s">
        <v>184</v>
      </c>
      <c r="P41" s="7" t="s">
        <v>121</v>
      </c>
      <c r="Q41" s="7">
        <f>0.8043496-2.6943102</f>
        <v>-1.8899605999999998</v>
      </c>
      <c r="R41" s="7" t="s">
        <v>187</v>
      </c>
      <c r="S41" s="3" t="s">
        <v>96</v>
      </c>
    </row>
    <row r="42" spans="1:19" x14ac:dyDescent="0.25">
      <c r="A42" s="3" t="s">
        <v>13</v>
      </c>
      <c r="B42" s="3" t="s">
        <v>11</v>
      </c>
      <c r="C42" s="4" t="s">
        <v>23</v>
      </c>
      <c r="D42">
        <v>1</v>
      </c>
      <c r="E42">
        <v>60</v>
      </c>
      <c r="F42">
        <v>3</v>
      </c>
      <c r="G42">
        <v>57</v>
      </c>
      <c r="H42">
        <v>0.05</v>
      </c>
      <c r="I42">
        <v>43</v>
      </c>
      <c r="J42">
        <v>2</v>
      </c>
      <c r="K42">
        <v>41</v>
      </c>
      <c r="L42">
        <v>4.6511627906976744E-2</v>
      </c>
      <c r="M42" s="6">
        <v>1</v>
      </c>
      <c r="N42" s="12">
        <v>1.0780000000000001</v>
      </c>
      <c r="O42" s="12" t="s">
        <v>184</v>
      </c>
      <c r="P42" s="7" t="s">
        <v>164</v>
      </c>
      <c r="Q42" s="7">
        <f>0.1179215-13.4451382</f>
        <v>-13.327216700000001</v>
      </c>
      <c r="R42" s="7" t="s">
        <v>185</v>
      </c>
      <c r="S42" s="3" t="s">
        <v>96</v>
      </c>
    </row>
    <row r="43" spans="1:19" x14ac:dyDescent="0.25">
      <c r="A43" s="3" t="s">
        <v>13</v>
      </c>
      <c r="B43" s="3" t="s">
        <v>5</v>
      </c>
      <c r="C43" s="4" t="s">
        <v>24</v>
      </c>
      <c r="D43">
        <v>0</v>
      </c>
      <c r="E43">
        <v>2</v>
      </c>
      <c r="F43">
        <v>1</v>
      </c>
      <c r="G43">
        <v>1</v>
      </c>
      <c r="H43">
        <v>0.5</v>
      </c>
      <c r="I43">
        <v>6</v>
      </c>
      <c r="J43">
        <v>5</v>
      </c>
      <c r="K43">
        <v>1</v>
      </c>
      <c r="L43">
        <v>0.83333333333333337</v>
      </c>
      <c r="M43" s="3" t="s">
        <v>65</v>
      </c>
      <c r="N43" s="9">
        <v>0.25800000000000001</v>
      </c>
      <c r="O43" s="9" t="s">
        <v>184</v>
      </c>
      <c r="P43" s="7" t="s">
        <v>122</v>
      </c>
      <c r="Q43" s="7">
        <f>0.002143066-31.283279293</f>
        <v>-31.281136227000001</v>
      </c>
      <c r="R43" s="7" t="s">
        <v>186</v>
      </c>
      <c r="S43" s="3" t="s">
        <v>96</v>
      </c>
    </row>
    <row r="44" spans="1:19" x14ac:dyDescent="0.25">
      <c r="A44" s="3" t="s">
        <v>13</v>
      </c>
      <c r="B44" s="3" t="s">
        <v>5</v>
      </c>
      <c r="C44" s="4" t="s">
        <v>23</v>
      </c>
      <c r="D44">
        <v>1</v>
      </c>
      <c r="E44">
        <v>11</v>
      </c>
      <c r="F44">
        <v>4</v>
      </c>
      <c r="G44">
        <v>7</v>
      </c>
      <c r="H44">
        <v>0.36363636363636365</v>
      </c>
      <c r="I44">
        <v>15</v>
      </c>
      <c r="J44">
        <v>3</v>
      </c>
      <c r="K44">
        <v>12</v>
      </c>
      <c r="L44">
        <v>0.2</v>
      </c>
      <c r="M44" s="3" t="s">
        <v>66</v>
      </c>
      <c r="N44" s="12">
        <v>2.2109999999999999</v>
      </c>
      <c r="O44" s="12" t="s">
        <v>183</v>
      </c>
      <c r="P44" s="7" t="s">
        <v>123</v>
      </c>
      <c r="Q44" s="7">
        <f>0.2809591-19.9022543</f>
        <v>-19.621295199999999</v>
      </c>
      <c r="R44" s="7" t="s">
        <v>185</v>
      </c>
      <c r="S44" s="3" t="s">
        <v>96</v>
      </c>
    </row>
    <row r="45" spans="1:19" x14ac:dyDescent="0.25">
      <c r="A45" s="3" t="s">
        <v>13</v>
      </c>
      <c r="B45" s="3" t="s">
        <v>5</v>
      </c>
      <c r="C45" s="4" t="s">
        <v>23</v>
      </c>
      <c r="D45">
        <v>1</v>
      </c>
      <c r="E45">
        <v>14</v>
      </c>
      <c r="F45">
        <v>7</v>
      </c>
      <c r="G45">
        <v>7</v>
      </c>
      <c r="H45">
        <v>0.5</v>
      </c>
      <c r="I45">
        <v>16</v>
      </c>
      <c r="J45">
        <v>6</v>
      </c>
      <c r="K45">
        <v>10</v>
      </c>
      <c r="L45">
        <v>0.375</v>
      </c>
      <c r="M45" s="3" t="s">
        <v>67</v>
      </c>
      <c r="N45" s="12">
        <v>1.6379999999999999</v>
      </c>
      <c r="O45" s="12" t="s">
        <v>184</v>
      </c>
      <c r="P45" s="7" t="s">
        <v>124</v>
      </c>
      <c r="Q45" s="7">
        <f>0.3102573-9.0764605</f>
        <v>-8.7662031999999996</v>
      </c>
      <c r="R45" s="7" t="s">
        <v>187</v>
      </c>
      <c r="S45" s="3" t="s">
        <v>96</v>
      </c>
    </row>
    <row r="46" spans="1:19" x14ac:dyDescent="0.25">
      <c r="A46" s="3" t="s">
        <v>13</v>
      </c>
      <c r="B46" s="3" t="s">
        <v>16</v>
      </c>
      <c r="C46" s="4" t="s">
        <v>23</v>
      </c>
      <c r="D46">
        <v>1</v>
      </c>
      <c r="E46">
        <v>77</v>
      </c>
      <c r="F46">
        <v>30</v>
      </c>
      <c r="G46">
        <v>47</v>
      </c>
      <c r="H46">
        <v>0.38961038961038963</v>
      </c>
      <c r="I46">
        <v>62</v>
      </c>
      <c r="J46">
        <v>8</v>
      </c>
      <c r="K46">
        <v>54</v>
      </c>
      <c r="L46">
        <v>0.12903225806451613</v>
      </c>
      <c r="M46" s="3" t="s">
        <v>68</v>
      </c>
      <c r="N46" s="12">
        <v>4.2640000000000002</v>
      </c>
      <c r="O46" s="12" t="s">
        <v>183</v>
      </c>
      <c r="P46" s="7" t="s">
        <v>125</v>
      </c>
      <c r="Q46" s="7">
        <f>1.701774-11.852027</f>
        <v>-10.150252999999999</v>
      </c>
      <c r="R46" s="7" t="s">
        <v>187</v>
      </c>
      <c r="S46" s="3" t="s">
        <v>95</v>
      </c>
    </row>
    <row r="47" spans="1:19" x14ac:dyDescent="0.25">
      <c r="A47" s="3" t="s">
        <v>13</v>
      </c>
      <c r="B47" s="3" t="s">
        <v>2</v>
      </c>
      <c r="C47" s="4" t="s">
        <v>24</v>
      </c>
      <c r="D47">
        <v>0</v>
      </c>
      <c r="E47">
        <v>83</v>
      </c>
      <c r="F47">
        <v>22</v>
      </c>
      <c r="G47">
        <v>61</v>
      </c>
      <c r="H47">
        <v>0.26506024096385544</v>
      </c>
      <c r="I47">
        <v>65</v>
      </c>
      <c r="J47">
        <v>24</v>
      </c>
      <c r="K47">
        <v>41</v>
      </c>
      <c r="L47">
        <v>0.36923076923076925</v>
      </c>
      <c r="M47" s="3" t="s">
        <v>69</v>
      </c>
      <c r="N47" s="9">
        <v>0.61799999999999999</v>
      </c>
      <c r="O47" s="9" t="s">
        <v>184</v>
      </c>
      <c r="P47" s="7" t="s">
        <v>165</v>
      </c>
      <c r="Q47" s="7">
        <f>0.2879295-1.3187415</f>
        <v>-1.0308120000000001</v>
      </c>
      <c r="R47" s="7" t="s">
        <v>187</v>
      </c>
      <c r="S47" s="3" t="s">
        <v>96</v>
      </c>
    </row>
    <row r="48" spans="1:19" x14ac:dyDescent="0.25">
      <c r="A48" s="3" t="s">
        <v>13</v>
      </c>
      <c r="B48" s="3" t="s">
        <v>17</v>
      </c>
      <c r="C48" s="4" t="s">
        <v>24</v>
      </c>
      <c r="D48">
        <v>0</v>
      </c>
      <c r="E48">
        <v>42</v>
      </c>
      <c r="F48">
        <v>6</v>
      </c>
      <c r="G48">
        <v>36</v>
      </c>
      <c r="H48">
        <v>0.14285714285714285</v>
      </c>
      <c r="I48">
        <v>27</v>
      </c>
      <c r="J48">
        <v>6</v>
      </c>
      <c r="K48">
        <v>21</v>
      </c>
      <c r="L48">
        <v>0.22222222222222221</v>
      </c>
      <c r="M48" s="3" t="s">
        <v>70</v>
      </c>
      <c r="N48" s="9">
        <v>0.58799999999999997</v>
      </c>
      <c r="O48" s="9" t="s">
        <v>184</v>
      </c>
      <c r="P48" s="7" t="s">
        <v>126</v>
      </c>
      <c r="Q48" s="7">
        <f>0.1372196-2.5105261</f>
        <v>-2.3733065</v>
      </c>
      <c r="R48" s="7" t="s">
        <v>187</v>
      </c>
      <c r="S48" s="3" t="s">
        <v>96</v>
      </c>
    </row>
    <row r="49" spans="1:19" x14ac:dyDescent="0.25">
      <c r="A49" s="3" t="s">
        <v>13</v>
      </c>
      <c r="B49" s="3" t="s">
        <v>11</v>
      </c>
      <c r="C49" s="4" t="s">
        <v>24</v>
      </c>
      <c r="D49">
        <v>0</v>
      </c>
      <c r="E49">
        <v>63</v>
      </c>
      <c r="F49">
        <v>36</v>
      </c>
      <c r="G49">
        <v>27</v>
      </c>
      <c r="H49">
        <v>0.5714285714285714</v>
      </c>
      <c r="I49">
        <v>72</v>
      </c>
      <c r="J49">
        <v>45</v>
      </c>
      <c r="K49">
        <v>27</v>
      </c>
      <c r="L49">
        <v>0.625</v>
      </c>
      <c r="M49" s="3" t="s">
        <v>71</v>
      </c>
      <c r="N49" s="9">
        <v>0.80100000000000005</v>
      </c>
      <c r="O49" s="9" t="s">
        <v>184</v>
      </c>
      <c r="P49" s="7" t="s">
        <v>166</v>
      </c>
      <c r="Q49" s="7">
        <f>0.3788257-1.6903408</f>
        <v>-1.3115151</v>
      </c>
      <c r="R49" s="7" t="s">
        <v>187</v>
      </c>
      <c r="S49" s="3" t="s">
        <v>96</v>
      </c>
    </row>
    <row r="50" spans="1:19" x14ac:dyDescent="0.25">
      <c r="A50" s="3" t="s">
        <v>13</v>
      </c>
      <c r="B50" s="3" t="s">
        <v>11</v>
      </c>
      <c r="C50" s="4" t="s">
        <v>24</v>
      </c>
      <c r="D50">
        <v>0</v>
      </c>
      <c r="E50">
        <v>19</v>
      </c>
      <c r="F50">
        <v>11</v>
      </c>
      <c r="G50">
        <v>8</v>
      </c>
      <c r="H50">
        <v>0.57894736842105265</v>
      </c>
      <c r="I50">
        <v>17</v>
      </c>
      <c r="J50">
        <v>11</v>
      </c>
      <c r="K50">
        <v>6</v>
      </c>
      <c r="L50">
        <v>0.6470588235294118</v>
      </c>
      <c r="M50" s="3" t="s">
        <v>73</v>
      </c>
      <c r="N50" s="9">
        <v>0.75600000000000001</v>
      </c>
      <c r="O50" s="9" t="s">
        <v>184</v>
      </c>
      <c r="P50" s="7" t="s">
        <v>168</v>
      </c>
      <c r="Q50" s="7">
        <f>0.1565299-3.50247</f>
        <v>-3.3459401</v>
      </c>
      <c r="R50" s="7" t="s">
        <v>187</v>
      </c>
      <c r="S50" s="3" t="s">
        <v>96</v>
      </c>
    </row>
    <row r="51" spans="1:19" x14ac:dyDescent="0.25">
      <c r="A51" s="3" t="s">
        <v>13</v>
      </c>
      <c r="B51" s="3" t="s">
        <v>11</v>
      </c>
      <c r="C51" s="4" t="s">
        <v>23</v>
      </c>
      <c r="D51">
        <v>1</v>
      </c>
      <c r="E51">
        <v>15</v>
      </c>
      <c r="F51">
        <v>12</v>
      </c>
      <c r="G51">
        <v>3</v>
      </c>
      <c r="H51">
        <v>0.8</v>
      </c>
      <c r="I51">
        <v>10</v>
      </c>
      <c r="J51">
        <v>5</v>
      </c>
      <c r="K51">
        <v>5</v>
      </c>
      <c r="L51">
        <v>0.5</v>
      </c>
      <c r="M51" s="3" t="s">
        <v>62</v>
      </c>
      <c r="N51" s="12">
        <v>3.762</v>
      </c>
      <c r="O51" s="12" t="s">
        <v>183</v>
      </c>
      <c r="P51" s="7" t="s">
        <v>161</v>
      </c>
      <c r="Q51" s="7">
        <f>0.5046639-34.674895</f>
        <v>-34.170231100000002</v>
      </c>
      <c r="R51" s="7" t="s">
        <v>186</v>
      </c>
      <c r="S51" s="3" t="s">
        <v>96</v>
      </c>
    </row>
    <row r="52" spans="1:19" x14ac:dyDescent="0.25">
      <c r="A52" s="3" t="s">
        <v>13</v>
      </c>
      <c r="B52" s="3" t="s">
        <v>2</v>
      </c>
      <c r="C52" s="4" t="s">
        <v>23</v>
      </c>
      <c r="D52">
        <v>1</v>
      </c>
      <c r="E52">
        <v>6</v>
      </c>
      <c r="F52">
        <v>1</v>
      </c>
      <c r="G52">
        <v>5</v>
      </c>
      <c r="H52">
        <v>0.16666666666666666</v>
      </c>
      <c r="I52">
        <v>7</v>
      </c>
      <c r="J52">
        <v>1</v>
      </c>
      <c r="K52">
        <v>6</v>
      </c>
      <c r="L52">
        <v>0.14285714285714285</v>
      </c>
      <c r="M52" s="6">
        <v>1</v>
      </c>
      <c r="N52" s="12">
        <v>1.1830000000000001</v>
      </c>
      <c r="O52" s="12" t="s">
        <v>184</v>
      </c>
      <c r="P52" s="7" t="s">
        <v>127</v>
      </c>
      <c r="Q52" s="7">
        <f>0.01277144-109.58633095</f>
        <v>-109.57355951000001</v>
      </c>
      <c r="R52" s="7" t="s">
        <v>186</v>
      </c>
      <c r="S52" s="3" t="s">
        <v>96</v>
      </c>
    </row>
    <row r="53" spans="1:19" x14ac:dyDescent="0.25">
      <c r="A53" s="3" t="s">
        <v>13</v>
      </c>
      <c r="B53" s="3" t="s">
        <v>6</v>
      </c>
      <c r="C53" s="4" t="s">
        <v>24</v>
      </c>
      <c r="D53">
        <v>0</v>
      </c>
      <c r="E53">
        <v>5</v>
      </c>
      <c r="F53">
        <v>2</v>
      </c>
      <c r="G53">
        <v>3</v>
      </c>
      <c r="H53">
        <v>0.4</v>
      </c>
      <c r="I53">
        <v>4</v>
      </c>
      <c r="J53">
        <v>2</v>
      </c>
      <c r="K53">
        <v>2</v>
      </c>
      <c r="L53">
        <v>0.5</v>
      </c>
      <c r="M53" s="6">
        <v>1</v>
      </c>
      <c r="N53" s="9">
        <v>0.69699999999999995</v>
      </c>
      <c r="O53" s="9" t="s">
        <v>184</v>
      </c>
      <c r="P53" s="7" t="s">
        <v>169</v>
      </c>
      <c r="Q53" s="7">
        <f>0.02513062-18.19585684</f>
        <v>-18.170726220000002</v>
      </c>
      <c r="R53" s="7" t="s">
        <v>185</v>
      </c>
      <c r="S53" s="3" t="s">
        <v>96</v>
      </c>
    </row>
    <row r="54" spans="1:19" x14ac:dyDescent="0.25">
      <c r="A54" s="3" t="s">
        <v>13</v>
      </c>
      <c r="B54" s="3" t="s">
        <v>18</v>
      </c>
      <c r="C54" s="4" t="s">
        <v>23</v>
      </c>
      <c r="D54">
        <v>1</v>
      </c>
      <c r="E54">
        <v>44</v>
      </c>
      <c r="F54">
        <v>11</v>
      </c>
      <c r="G54">
        <v>33</v>
      </c>
      <c r="H54">
        <v>0.25</v>
      </c>
      <c r="I54">
        <v>64</v>
      </c>
      <c r="J54">
        <v>9</v>
      </c>
      <c r="K54">
        <v>55</v>
      </c>
      <c r="L54">
        <v>0.140625</v>
      </c>
      <c r="M54" s="3" t="s">
        <v>75</v>
      </c>
      <c r="N54" s="12">
        <v>2.0230000000000001</v>
      </c>
      <c r="O54" s="12" t="s">
        <v>183</v>
      </c>
      <c r="P54" s="7" t="s">
        <v>170</v>
      </c>
      <c r="Q54" s="7">
        <f>0.6809003-6.1740262</f>
        <v>-5.4931258999999999</v>
      </c>
      <c r="R54" s="7" t="s">
        <v>187</v>
      </c>
      <c r="S54" s="3" t="s">
        <v>96</v>
      </c>
    </row>
    <row r="55" spans="1:19" x14ac:dyDescent="0.25">
      <c r="A55" s="3" t="s">
        <v>13</v>
      </c>
      <c r="B55" s="3" t="s">
        <v>18</v>
      </c>
      <c r="C55" s="4" t="s">
        <v>24</v>
      </c>
      <c r="D55">
        <v>0</v>
      </c>
      <c r="E55">
        <v>6</v>
      </c>
      <c r="F55">
        <v>1</v>
      </c>
      <c r="G55">
        <v>5</v>
      </c>
      <c r="H55">
        <v>0.16666666666666666</v>
      </c>
      <c r="I55">
        <v>8</v>
      </c>
      <c r="J55">
        <v>2</v>
      </c>
      <c r="K55">
        <v>6</v>
      </c>
      <c r="L55">
        <v>0.25</v>
      </c>
      <c r="M55" s="6">
        <v>1</v>
      </c>
      <c r="N55" s="9">
        <v>0.621</v>
      </c>
      <c r="O55" s="9" t="s">
        <v>184</v>
      </c>
      <c r="P55" s="7" t="s">
        <v>171</v>
      </c>
      <c r="Q55" s="7">
        <f>0.008503093-15.542990444</f>
        <v>-15.534487351000001</v>
      </c>
      <c r="R55" s="7" t="s">
        <v>185</v>
      </c>
      <c r="S55" s="3" t="s">
        <v>96</v>
      </c>
    </row>
    <row r="56" spans="1:19" x14ac:dyDescent="0.25">
      <c r="A56" s="3" t="s">
        <v>13</v>
      </c>
      <c r="B56" s="3" t="s">
        <v>18</v>
      </c>
      <c r="C56" s="4" t="s">
        <v>24</v>
      </c>
      <c r="D56">
        <v>0</v>
      </c>
      <c r="E56">
        <v>5</v>
      </c>
      <c r="F56">
        <v>1</v>
      </c>
      <c r="G56">
        <v>4</v>
      </c>
      <c r="H56">
        <v>0.2</v>
      </c>
      <c r="I56">
        <v>6</v>
      </c>
      <c r="J56">
        <v>2</v>
      </c>
      <c r="K56">
        <v>4</v>
      </c>
      <c r="L56">
        <v>0.33333333333333331</v>
      </c>
      <c r="M56" s="6">
        <v>1</v>
      </c>
      <c r="N56" s="9">
        <v>0.53200000000000003</v>
      </c>
      <c r="O56" s="9" t="s">
        <v>184</v>
      </c>
      <c r="P56" s="7" t="s">
        <v>129</v>
      </c>
      <c r="Q56" s="7">
        <f>0.00680901-14.52240295</f>
        <v>-14.51559394</v>
      </c>
      <c r="R56" s="7" t="s">
        <v>185</v>
      </c>
      <c r="S56" s="3" t="s">
        <v>96</v>
      </c>
    </row>
    <row r="57" spans="1:19" x14ac:dyDescent="0.25">
      <c r="A57" s="3" t="s">
        <v>13</v>
      </c>
      <c r="B57" s="3" t="s">
        <v>18</v>
      </c>
      <c r="C57" s="4" t="s">
        <v>23</v>
      </c>
      <c r="D57">
        <v>1</v>
      </c>
      <c r="E57">
        <v>26</v>
      </c>
      <c r="F57">
        <v>5</v>
      </c>
      <c r="G57">
        <v>21</v>
      </c>
      <c r="H57">
        <v>0.19230769230769232</v>
      </c>
      <c r="I57">
        <v>23</v>
      </c>
      <c r="J57">
        <v>3</v>
      </c>
      <c r="K57">
        <v>20</v>
      </c>
      <c r="L57">
        <v>0.13043478260869565</v>
      </c>
      <c r="M57" s="3" t="s">
        <v>76</v>
      </c>
      <c r="N57" s="12">
        <v>1.5720000000000001</v>
      </c>
      <c r="O57" s="12" t="s">
        <v>184</v>
      </c>
      <c r="P57" s="7" t="s">
        <v>130</v>
      </c>
      <c r="Q57" s="7">
        <f>0.2647779-11.4700534</f>
        <v>-11.205275499999999</v>
      </c>
      <c r="R57" s="7" t="s">
        <v>185</v>
      </c>
      <c r="S57" s="3" t="s">
        <v>96</v>
      </c>
    </row>
    <row r="58" spans="1:19" x14ac:dyDescent="0.25">
      <c r="A58" s="3" t="s">
        <v>13</v>
      </c>
      <c r="B58" s="3" t="s">
        <v>18</v>
      </c>
      <c r="C58" s="4" t="s">
        <v>23</v>
      </c>
      <c r="D58">
        <v>1</v>
      </c>
      <c r="E58">
        <v>8</v>
      </c>
      <c r="F58">
        <v>3</v>
      </c>
      <c r="G58">
        <v>5</v>
      </c>
      <c r="H58">
        <v>0.375</v>
      </c>
      <c r="I58">
        <v>6</v>
      </c>
      <c r="J58">
        <v>1</v>
      </c>
      <c r="K58">
        <v>5</v>
      </c>
      <c r="L58">
        <v>0.16666666666666666</v>
      </c>
      <c r="M58" s="3" t="s">
        <v>77</v>
      </c>
      <c r="N58" s="12">
        <v>2.7789999999999999</v>
      </c>
      <c r="O58" s="12" t="s">
        <v>183</v>
      </c>
      <c r="P58" s="7" t="s">
        <v>131</v>
      </c>
      <c r="Q58" s="7">
        <f>0.154331-188.17932</f>
        <v>-188.02498899999998</v>
      </c>
      <c r="R58" s="7" t="s">
        <v>186</v>
      </c>
      <c r="S58" s="3" t="s">
        <v>96</v>
      </c>
    </row>
    <row r="59" spans="1:19" x14ac:dyDescent="0.25">
      <c r="A59" s="3" t="s">
        <v>13</v>
      </c>
      <c r="B59" s="3" t="s">
        <v>18</v>
      </c>
      <c r="C59" s="4" t="s">
        <v>24</v>
      </c>
      <c r="D59">
        <v>0</v>
      </c>
      <c r="E59">
        <v>18</v>
      </c>
      <c r="F59">
        <v>6</v>
      </c>
      <c r="G59">
        <v>12</v>
      </c>
      <c r="H59">
        <v>0.33333333333333331</v>
      </c>
      <c r="I59">
        <v>7</v>
      </c>
      <c r="J59">
        <v>3</v>
      </c>
      <c r="K59">
        <v>4</v>
      </c>
      <c r="L59">
        <v>0.42857142857142855</v>
      </c>
      <c r="M59" s="3" t="s">
        <v>78</v>
      </c>
      <c r="N59" s="9">
        <v>0.67700000000000005</v>
      </c>
      <c r="O59" s="9" t="s">
        <v>184</v>
      </c>
      <c r="P59" s="7" t="s">
        <v>132</v>
      </c>
      <c r="Q59" s="7">
        <f>0.08133208-6.17951927</f>
        <v>-6.09818719</v>
      </c>
      <c r="R59" s="7" t="s">
        <v>187</v>
      </c>
      <c r="S59" s="3" t="s">
        <v>96</v>
      </c>
    </row>
    <row r="60" spans="1:19" x14ac:dyDescent="0.25">
      <c r="A60" s="3" t="s">
        <v>13</v>
      </c>
      <c r="B60" s="3" t="s">
        <v>18</v>
      </c>
      <c r="C60" s="4" t="s">
        <v>23</v>
      </c>
      <c r="D60">
        <v>1</v>
      </c>
      <c r="E60">
        <v>23</v>
      </c>
      <c r="F60">
        <v>4</v>
      </c>
      <c r="G60">
        <v>19</v>
      </c>
      <c r="H60">
        <v>0.17391304347826086</v>
      </c>
      <c r="I60">
        <v>23</v>
      </c>
      <c r="J60">
        <v>1</v>
      </c>
      <c r="K60">
        <v>22</v>
      </c>
      <c r="L60">
        <v>4.3478260869565216E-2</v>
      </c>
      <c r="M60" s="3" t="s">
        <v>79</v>
      </c>
      <c r="N60" s="12">
        <v>4.492</v>
      </c>
      <c r="O60" s="12" t="s">
        <v>183</v>
      </c>
      <c r="P60" s="7" t="s">
        <v>133</v>
      </c>
      <c r="Q60" s="7">
        <f>0.3990861-237.925923</f>
        <v>-237.52683690000001</v>
      </c>
      <c r="R60" s="7" t="s">
        <v>186</v>
      </c>
      <c r="S60" s="3" t="s">
        <v>96</v>
      </c>
    </row>
    <row r="61" spans="1:19" x14ac:dyDescent="0.25">
      <c r="A61" s="3" t="s">
        <v>13</v>
      </c>
      <c r="B61" s="3" t="s">
        <v>19</v>
      </c>
      <c r="C61" s="4" t="s">
        <v>24</v>
      </c>
      <c r="D61">
        <v>0</v>
      </c>
      <c r="E61">
        <v>13</v>
      </c>
      <c r="F61">
        <v>1</v>
      </c>
      <c r="G61">
        <v>12</v>
      </c>
      <c r="H61">
        <v>7.6923076923076927E-2</v>
      </c>
      <c r="I61">
        <v>9</v>
      </c>
      <c r="J61">
        <v>1</v>
      </c>
      <c r="K61">
        <v>8</v>
      </c>
      <c r="L61">
        <v>0.1111111111111111</v>
      </c>
      <c r="M61" s="6">
        <v>1</v>
      </c>
      <c r="N61" s="9">
        <v>0.67900000000000005</v>
      </c>
      <c r="O61" s="9" t="s">
        <v>184</v>
      </c>
      <c r="P61" s="7" t="s">
        <v>172</v>
      </c>
      <c r="Q61" s="7">
        <f>0.007857154-58.7775836</f>
        <v>-58.769726446</v>
      </c>
      <c r="R61" s="7" t="s">
        <v>186</v>
      </c>
      <c r="S61" s="3" t="s">
        <v>96</v>
      </c>
    </row>
    <row r="62" spans="1:19" x14ac:dyDescent="0.25">
      <c r="A62" s="3" t="s">
        <v>13</v>
      </c>
      <c r="B62" s="3" t="s">
        <v>20</v>
      </c>
      <c r="C62" s="4" t="s">
        <v>23</v>
      </c>
      <c r="D62">
        <v>1</v>
      </c>
      <c r="E62">
        <v>97</v>
      </c>
      <c r="F62">
        <v>43</v>
      </c>
      <c r="G62">
        <v>54</v>
      </c>
      <c r="H62">
        <v>0.44329896907216493</v>
      </c>
      <c r="I62">
        <v>112</v>
      </c>
      <c r="J62">
        <v>32</v>
      </c>
      <c r="K62">
        <v>80</v>
      </c>
      <c r="L62">
        <v>0.2857142857142857</v>
      </c>
      <c r="M62" s="3" t="s">
        <v>80</v>
      </c>
      <c r="N62" s="12">
        <v>1.984</v>
      </c>
      <c r="O62" s="12" t="s">
        <v>184</v>
      </c>
      <c r="P62" s="7" t="s">
        <v>134</v>
      </c>
      <c r="Q62" s="7">
        <f>1.079123-3.680318</f>
        <v>-2.6011950000000001</v>
      </c>
      <c r="R62" s="7" t="s">
        <v>187</v>
      </c>
      <c r="S62" s="3" t="s">
        <v>95</v>
      </c>
    </row>
    <row r="63" spans="1:19" x14ac:dyDescent="0.25">
      <c r="A63" s="3" t="s">
        <v>13</v>
      </c>
      <c r="B63" s="3" t="s">
        <v>12</v>
      </c>
      <c r="C63" s="4" t="s">
        <v>23</v>
      </c>
      <c r="D63">
        <v>1</v>
      </c>
      <c r="E63">
        <v>67</v>
      </c>
      <c r="F63">
        <v>10</v>
      </c>
      <c r="G63">
        <v>57</v>
      </c>
      <c r="H63">
        <v>0.14925373134328357</v>
      </c>
      <c r="I63">
        <v>30</v>
      </c>
      <c r="J63">
        <v>2</v>
      </c>
      <c r="K63">
        <v>28</v>
      </c>
      <c r="L63">
        <v>6.6666666666666666E-2</v>
      </c>
      <c r="M63" s="3" t="s">
        <v>81</v>
      </c>
      <c r="N63" s="12">
        <v>2.4359999999999999</v>
      </c>
      <c r="O63" s="12" t="s">
        <v>183</v>
      </c>
      <c r="P63" s="7" t="s">
        <v>173</v>
      </c>
      <c r="Q63" s="7">
        <f>0.4715043-24.3579718</f>
        <v>-23.886467500000002</v>
      </c>
      <c r="R63" s="7" t="s">
        <v>186</v>
      </c>
      <c r="S63" s="3" t="s">
        <v>96</v>
      </c>
    </row>
    <row r="64" spans="1:19" x14ac:dyDescent="0.25">
      <c r="A64" s="3" t="s">
        <v>13</v>
      </c>
      <c r="B64" s="3" t="s">
        <v>11</v>
      </c>
      <c r="C64" s="4" t="s">
        <v>23</v>
      </c>
      <c r="D64">
        <v>1</v>
      </c>
      <c r="E64">
        <v>125</v>
      </c>
      <c r="F64">
        <v>21</v>
      </c>
      <c r="G64">
        <v>104</v>
      </c>
      <c r="H64">
        <v>0.16800000000000001</v>
      </c>
      <c r="I64">
        <v>89</v>
      </c>
      <c r="J64">
        <v>7</v>
      </c>
      <c r="K64">
        <v>82</v>
      </c>
      <c r="L64">
        <v>7.8651685393258425E-2</v>
      </c>
      <c r="M64" s="3" t="s">
        <v>82</v>
      </c>
      <c r="N64" s="12">
        <v>2.3559999999999999</v>
      </c>
      <c r="O64" s="12" t="s">
        <v>183</v>
      </c>
      <c r="P64" s="7" t="s">
        <v>174</v>
      </c>
      <c r="Q64" s="7">
        <f>0.9091514-6.8922436</f>
        <v>-5.9830921999999997</v>
      </c>
      <c r="R64" s="7" t="s">
        <v>187</v>
      </c>
      <c r="S64" s="3" t="s">
        <v>96</v>
      </c>
    </row>
    <row r="65" spans="1:19" x14ac:dyDescent="0.25">
      <c r="A65" s="3" t="s">
        <v>21</v>
      </c>
      <c r="B65" s="3" t="s">
        <v>2</v>
      </c>
      <c r="C65" s="4" t="s">
        <v>23</v>
      </c>
      <c r="D65">
        <v>1</v>
      </c>
      <c r="E65">
        <v>7</v>
      </c>
      <c r="F65">
        <v>5</v>
      </c>
      <c r="G65">
        <v>2</v>
      </c>
      <c r="H65">
        <v>0.7142857142857143</v>
      </c>
      <c r="I65">
        <v>8</v>
      </c>
      <c r="J65">
        <v>4</v>
      </c>
      <c r="K65">
        <v>4</v>
      </c>
      <c r="L65">
        <v>0.5</v>
      </c>
      <c r="M65" s="3" t="s">
        <v>83</v>
      </c>
      <c r="N65" s="12">
        <v>2.3479999999999999</v>
      </c>
      <c r="O65" s="12" t="s">
        <v>183</v>
      </c>
      <c r="P65" s="7" t="s">
        <v>135</v>
      </c>
      <c r="Q65" s="7">
        <f>0.1989474-39.4980687</f>
        <v>-39.299121299999996</v>
      </c>
      <c r="R65" s="7" t="s">
        <v>186</v>
      </c>
      <c r="S65" s="3" t="s">
        <v>96</v>
      </c>
    </row>
    <row r="66" spans="1:19" x14ac:dyDescent="0.25">
      <c r="A66" s="3" t="s">
        <v>21</v>
      </c>
      <c r="B66" s="3" t="s">
        <v>2</v>
      </c>
      <c r="C66" s="4" t="s">
        <v>23</v>
      </c>
      <c r="D66">
        <v>1</v>
      </c>
      <c r="E66">
        <v>29</v>
      </c>
      <c r="F66">
        <v>5</v>
      </c>
      <c r="G66">
        <v>24</v>
      </c>
      <c r="H66">
        <v>0.17241379310344829</v>
      </c>
      <c r="I66">
        <v>19</v>
      </c>
      <c r="J66">
        <v>1</v>
      </c>
      <c r="K66">
        <v>18</v>
      </c>
      <c r="L66">
        <v>5.2631578947368418E-2</v>
      </c>
      <c r="M66" s="3" t="s">
        <v>84</v>
      </c>
      <c r="N66" s="12">
        <v>3.6629999999999998</v>
      </c>
      <c r="O66" s="12" t="s">
        <v>183</v>
      </c>
      <c r="P66" s="7" t="s">
        <v>175</v>
      </c>
      <c r="Q66" s="7">
        <f>0.362952-186.862871</f>
        <v>-186.49991900000001</v>
      </c>
      <c r="R66" s="7" t="s">
        <v>186</v>
      </c>
      <c r="S66" s="3" t="s">
        <v>96</v>
      </c>
    </row>
    <row r="67" spans="1:19" x14ac:dyDescent="0.25">
      <c r="A67" s="3" t="s">
        <v>21</v>
      </c>
      <c r="B67" s="3" t="s">
        <v>2</v>
      </c>
      <c r="C67" s="4" t="s">
        <v>23</v>
      </c>
      <c r="D67">
        <v>1</v>
      </c>
      <c r="E67">
        <v>143</v>
      </c>
      <c r="F67">
        <v>5</v>
      </c>
      <c r="G67">
        <v>138</v>
      </c>
      <c r="H67">
        <v>3.4965034965034968E-2</v>
      </c>
      <c r="I67">
        <v>63</v>
      </c>
      <c r="J67">
        <v>2</v>
      </c>
      <c r="K67">
        <v>61</v>
      </c>
      <c r="L67">
        <v>3.1746031746031744E-2</v>
      </c>
      <c r="M67" s="6">
        <v>1</v>
      </c>
      <c r="N67" s="12">
        <v>1.1040000000000001</v>
      </c>
      <c r="O67" s="12" t="s">
        <v>184</v>
      </c>
      <c r="P67" s="7" t="s">
        <v>142</v>
      </c>
      <c r="Q67" s="7">
        <f>0.1749015-11.90465</f>
        <v>-11.729748499999999</v>
      </c>
      <c r="R67" s="7" t="s">
        <v>185</v>
      </c>
      <c r="S67" s="3" t="s">
        <v>96</v>
      </c>
    </row>
    <row r="68" spans="1:19" x14ac:dyDescent="0.25">
      <c r="A68" s="3" t="s">
        <v>21</v>
      </c>
      <c r="B68" s="3" t="s">
        <v>11</v>
      </c>
      <c r="C68" s="4" t="s">
        <v>23</v>
      </c>
      <c r="D68">
        <v>1</v>
      </c>
      <c r="E68">
        <v>160</v>
      </c>
      <c r="F68">
        <v>8</v>
      </c>
      <c r="G68">
        <v>152</v>
      </c>
      <c r="H68">
        <v>0.05</v>
      </c>
      <c r="I68">
        <v>77</v>
      </c>
      <c r="J68">
        <v>2</v>
      </c>
      <c r="K68">
        <v>75</v>
      </c>
      <c r="L68">
        <v>2.5974025974025976E-2</v>
      </c>
      <c r="M68" s="3" t="s">
        <v>85</v>
      </c>
      <c r="N68" s="12">
        <v>1.968</v>
      </c>
      <c r="O68" s="12" t="s">
        <v>184</v>
      </c>
      <c r="P68" s="7" t="s">
        <v>136</v>
      </c>
      <c r="Q68" s="7">
        <f>0.379802-19.479796</f>
        <v>-19.099993999999999</v>
      </c>
      <c r="R68" s="7" t="s">
        <v>185</v>
      </c>
      <c r="S68" s="3" t="s">
        <v>96</v>
      </c>
    </row>
    <row r="69" spans="1:19" x14ac:dyDescent="0.25">
      <c r="A69" s="3" t="s">
        <v>21</v>
      </c>
      <c r="B69" s="3" t="s">
        <v>12</v>
      </c>
      <c r="C69" s="4" t="s">
        <v>23</v>
      </c>
      <c r="D69">
        <v>1</v>
      </c>
      <c r="E69">
        <v>28</v>
      </c>
      <c r="F69">
        <v>2</v>
      </c>
      <c r="G69">
        <v>26</v>
      </c>
      <c r="H69">
        <v>7.1428571428571425E-2</v>
      </c>
      <c r="I69">
        <v>40</v>
      </c>
      <c r="J69">
        <v>1</v>
      </c>
      <c r="K69">
        <v>39</v>
      </c>
      <c r="L69">
        <v>2.5000000000000001E-2</v>
      </c>
      <c r="M69" s="3" t="s">
        <v>86</v>
      </c>
      <c r="N69" s="12">
        <v>2.9510000000000001</v>
      </c>
      <c r="O69" s="12" t="s">
        <v>183</v>
      </c>
      <c r="P69" s="7" t="s">
        <v>137</v>
      </c>
      <c r="Q69" s="7">
        <f>0.1466343-181.2265674</f>
        <v>-181.07993310000001</v>
      </c>
      <c r="R69" s="7" t="s">
        <v>186</v>
      </c>
      <c r="S69" s="3" t="s">
        <v>96</v>
      </c>
    </row>
    <row r="70" spans="1:19" x14ac:dyDescent="0.25">
      <c r="A70" s="3" t="s">
        <v>21</v>
      </c>
      <c r="B70" s="3" t="s">
        <v>12</v>
      </c>
      <c r="C70" s="4" t="s">
        <v>23</v>
      </c>
      <c r="D70">
        <v>1</v>
      </c>
      <c r="E70">
        <v>88</v>
      </c>
      <c r="F70">
        <v>49</v>
      </c>
      <c r="G70">
        <v>39</v>
      </c>
      <c r="H70">
        <v>0.55681818181818177</v>
      </c>
      <c r="I70">
        <v>98</v>
      </c>
      <c r="J70">
        <v>31</v>
      </c>
      <c r="K70">
        <v>67</v>
      </c>
      <c r="L70">
        <v>0.31632653061224492</v>
      </c>
      <c r="M70" s="3" t="s">
        <v>87</v>
      </c>
      <c r="N70" s="12">
        <v>2.7</v>
      </c>
      <c r="O70" s="12" t="s">
        <v>183</v>
      </c>
      <c r="P70" s="7" t="s">
        <v>138</v>
      </c>
      <c r="Q70" s="7">
        <f>1.431229-5.167083</f>
        <v>-3.7358539999999998</v>
      </c>
      <c r="R70" s="7" t="s">
        <v>187</v>
      </c>
      <c r="S70" s="3" t="s">
        <v>95</v>
      </c>
    </row>
    <row r="71" spans="1:19" x14ac:dyDescent="0.25">
      <c r="A71" s="3" t="s">
        <v>21</v>
      </c>
      <c r="B71" s="3" t="s">
        <v>28</v>
      </c>
      <c r="C71" s="4" t="s">
        <v>24</v>
      </c>
      <c r="D71">
        <v>0</v>
      </c>
      <c r="E71">
        <v>11</v>
      </c>
      <c r="F71">
        <v>6</v>
      </c>
      <c r="G71">
        <v>5</v>
      </c>
      <c r="H71">
        <v>0.54545454545454541</v>
      </c>
      <c r="I71">
        <v>3</v>
      </c>
      <c r="J71">
        <v>2</v>
      </c>
      <c r="K71">
        <v>1</v>
      </c>
      <c r="L71">
        <v>0.66666666666666663</v>
      </c>
      <c r="M71" s="6">
        <v>1</v>
      </c>
      <c r="N71" s="9">
        <v>0.621</v>
      </c>
      <c r="O71" s="9" t="s">
        <v>184</v>
      </c>
      <c r="P71" s="7" t="s">
        <v>171</v>
      </c>
      <c r="Q71" s="7">
        <f>0.008503093-15.542990444</f>
        <v>-15.534487351000001</v>
      </c>
      <c r="R71" s="7" t="s">
        <v>185</v>
      </c>
      <c r="S71" s="3" t="s">
        <v>96</v>
      </c>
    </row>
    <row r="72" spans="1:19" x14ac:dyDescent="0.25">
      <c r="A72" s="3" t="s">
        <v>21</v>
      </c>
      <c r="B72" s="3" t="s">
        <v>12</v>
      </c>
      <c r="C72" s="4" t="s">
        <v>23</v>
      </c>
      <c r="D72">
        <v>1</v>
      </c>
      <c r="E72">
        <v>3</v>
      </c>
      <c r="F72">
        <v>2</v>
      </c>
      <c r="G72">
        <v>1</v>
      </c>
      <c r="H72">
        <v>0.66666666666666663</v>
      </c>
      <c r="I72">
        <v>17</v>
      </c>
      <c r="J72">
        <v>3</v>
      </c>
      <c r="K72">
        <v>14</v>
      </c>
      <c r="L72">
        <v>0.17647058823529413</v>
      </c>
      <c r="M72" s="3" t="s">
        <v>88</v>
      </c>
      <c r="N72" s="12">
        <v>7.992</v>
      </c>
      <c r="O72" s="12" t="s">
        <v>183</v>
      </c>
      <c r="P72" s="7" t="s">
        <v>176</v>
      </c>
      <c r="Q72" s="7">
        <f>0.3233278-585.4374357</f>
        <v>-585.11410790000002</v>
      </c>
      <c r="R72" s="7" t="s">
        <v>186</v>
      </c>
      <c r="S72" s="3" t="s">
        <v>96</v>
      </c>
    </row>
    <row r="73" spans="1:19" x14ac:dyDescent="0.25">
      <c r="A73" s="3" t="s">
        <v>21</v>
      </c>
      <c r="B73" s="3" t="s">
        <v>22</v>
      </c>
      <c r="C73" s="4" t="s">
        <v>23</v>
      </c>
      <c r="D73">
        <v>1</v>
      </c>
      <c r="E73">
        <v>48</v>
      </c>
      <c r="F73">
        <v>4</v>
      </c>
      <c r="G73">
        <v>44</v>
      </c>
      <c r="H73">
        <v>8.3333333333333329E-2</v>
      </c>
      <c r="I73">
        <v>79</v>
      </c>
      <c r="J73">
        <v>4</v>
      </c>
      <c r="K73">
        <v>75</v>
      </c>
      <c r="L73">
        <v>5.0632911392405063E-2</v>
      </c>
      <c r="M73" s="3" t="s">
        <v>89</v>
      </c>
      <c r="N73" s="12">
        <v>1.6970000000000001</v>
      </c>
      <c r="O73" s="12" t="s">
        <v>184</v>
      </c>
      <c r="P73" s="7" t="s">
        <v>177</v>
      </c>
      <c r="Q73" s="7">
        <f>0.3002302-9.5973848</f>
        <v>-9.2971546000000007</v>
      </c>
      <c r="R73" s="7" t="s">
        <v>187</v>
      </c>
      <c r="S73" s="3" t="s">
        <v>96</v>
      </c>
    </row>
    <row r="74" spans="1:19" x14ac:dyDescent="0.25">
      <c r="A74" s="3" t="s">
        <v>21</v>
      </c>
      <c r="B74" s="3" t="s">
        <v>12</v>
      </c>
      <c r="C74" s="4" t="s">
        <v>23</v>
      </c>
      <c r="D74">
        <v>1</v>
      </c>
      <c r="E74">
        <v>48</v>
      </c>
      <c r="F74">
        <v>12</v>
      </c>
      <c r="G74">
        <v>36</v>
      </c>
      <c r="H74">
        <v>0.25</v>
      </c>
      <c r="I74">
        <v>40</v>
      </c>
      <c r="J74">
        <v>2</v>
      </c>
      <c r="K74">
        <v>38</v>
      </c>
      <c r="L74">
        <v>0.05</v>
      </c>
      <c r="M74" s="3" t="s">
        <v>90</v>
      </c>
      <c r="N74" s="12">
        <v>6.2190000000000003</v>
      </c>
      <c r="O74" s="12" t="s">
        <v>183</v>
      </c>
      <c r="P74" s="7" t="s">
        <v>178</v>
      </c>
      <c r="Q74" s="7">
        <f>1.252934-61.07919</f>
        <v>-59.826255999999994</v>
      </c>
      <c r="R74" s="7" t="s">
        <v>186</v>
      </c>
      <c r="S74" s="3" t="s">
        <v>95</v>
      </c>
    </row>
    <row r="75" spans="1:19" x14ac:dyDescent="0.25">
      <c r="A75" s="3" t="s">
        <v>21</v>
      </c>
      <c r="B75" s="3" t="s">
        <v>12</v>
      </c>
      <c r="C75" s="4" t="s">
        <v>23</v>
      </c>
      <c r="D75">
        <v>1</v>
      </c>
      <c r="E75">
        <v>72</v>
      </c>
      <c r="F75">
        <v>14</v>
      </c>
      <c r="G75">
        <v>58</v>
      </c>
      <c r="H75">
        <v>0.19444444444444445</v>
      </c>
      <c r="I75">
        <v>58</v>
      </c>
      <c r="J75">
        <v>5</v>
      </c>
      <c r="K75">
        <v>53</v>
      </c>
      <c r="L75">
        <v>8.6206896551724144E-2</v>
      </c>
      <c r="M75" s="3" t="s">
        <v>91</v>
      </c>
      <c r="N75" s="12">
        <v>2.5409999999999999</v>
      </c>
      <c r="O75" s="12" t="s">
        <v>183</v>
      </c>
      <c r="P75" s="7" t="s">
        <v>139</v>
      </c>
      <c r="Q75" s="7">
        <f>0.7959975-9.6448894</f>
        <v>-8.8488918999999999</v>
      </c>
      <c r="R75" s="7" t="s">
        <v>187</v>
      </c>
      <c r="S75" s="3" t="s">
        <v>96</v>
      </c>
    </row>
    <row r="76" spans="1:19" x14ac:dyDescent="0.25">
      <c r="A76" s="3" t="s">
        <v>21</v>
      </c>
      <c r="B76" s="3" t="s">
        <v>12</v>
      </c>
      <c r="C76" s="4" t="s">
        <v>23</v>
      </c>
      <c r="D76">
        <v>1</v>
      </c>
      <c r="E76">
        <v>5</v>
      </c>
      <c r="F76">
        <v>2</v>
      </c>
      <c r="G76">
        <v>3</v>
      </c>
      <c r="H76">
        <v>0.4</v>
      </c>
      <c r="I76">
        <v>5</v>
      </c>
      <c r="J76">
        <v>2</v>
      </c>
      <c r="K76">
        <v>3</v>
      </c>
      <c r="L76">
        <v>0.4</v>
      </c>
      <c r="M76" s="6">
        <v>1</v>
      </c>
      <c r="N76" s="12">
        <v>1</v>
      </c>
      <c r="O76" s="12" t="s">
        <v>184</v>
      </c>
      <c r="P76" s="7" t="s">
        <v>140</v>
      </c>
      <c r="Q76" s="7">
        <f>0.04224561-23.67109868</f>
        <v>-23.628853070000002</v>
      </c>
      <c r="R76" s="7" t="s">
        <v>186</v>
      </c>
      <c r="S76" s="3" t="s">
        <v>96</v>
      </c>
    </row>
    <row r="77" spans="1:19" x14ac:dyDescent="0.25">
      <c r="A77" s="3" t="s">
        <v>21</v>
      </c>
      <c r="B77" s="3" t="s">
        <v>2</v>
      </c>
      <c r="C77" s="4" t="s">
        <v>24</v>
      </c>
      <c r="D77">
        <v>0</v>
      </c>
      <c r="E77">
        <v>23</v>
      </c>
      <c r="F77">
        <v>7</v>
      </c>
      <c r="G77">
        <v>16</v>
      </c>
      <c r="H77">
        <v>0.30434782608695654</v>
      </c>
      <c r="I77">
        <v>24</v>
      </c>
      <c r="J77">
        <v>8</v>
      </c>
      <c r="K77">
        <v>16</v>
      </c>
      <c r="L77">
        <v>0.33333333333333331</v>
      </c>
      <c r="M77" s="6">
        <v>1</v>
      </c>
      <c r="N77" s="9">
        <v>0.877</v>
      </c>
      <c r="O77" s="9" t="s">
        <v>184</v>
      </c>
      <c r="P77" s="7" t="s">
        <v>141</v>
      </c>
      <c r="Q77" s="7">
        <f>0.2131443-3.5430524</f>
        <v>-3.3299080999999999</v>
      </c>
      <c r="R77" s="7" t="s">
        <v>187</v>
      </c>
      <c r="S77" s="3" t="s">
        <v>96</v>
      </c>
    </row>
    <row r="78" spans="1:19" x14ac:dyDescent="0.25">
      <c r="A78" s="3" t="s">
        <v>21</v>
      </c>
      <c r="B78" s="3" t="s">
        <v>4</v>
      </c>
      <c r="C78" s="4" t="s">
        <v>23</v>
      </c>
      <c r="D78">
        <v>1</v>
      </c>
      <c r="E78">
        <v>143</v>
      </c>
      <c r="F78">
        <v>5</v>
      </c>
      <c r="G78">
        <v>138</v>
      </c>
      <c r="H78">
        <v>3.4965034965034968E-2</v>
      </c>
      <c r="I78">
        <v>63</v>
      </c>
      <c r="J78">
        <v>2</v>
      </c>
      <c r="K78">
        <v>61</v>
      </c>
      <c r="L78">
        <v>3.1746031746031744E-2</v>
      </c>
      <c r="M78" s="5">
        <v>1</v>
      </c>
      <c r="N78" s="12">
        <v>1.1040000000000001</v>
      </c>
      <c r="O78" s="12" t="s">
        <v>184</v>
      </c>
      <c r="P78" s="7" t="s">
        <v>142</v>
      </c>
      <c r="Q78" s="7">
        <f>0.1749015-11.90465</f>
        <v>-11.729748499999999</v>
      </c>
      <c r="R78" s="7" t="s">
        <v>185</v>
      </c>
      <c r="S78" t="s">
        <v>96</v>
      </c>
    </row>
    <row r="79" spans="1:19" x14ac:dyDescent="0.25">
      <c r="A79" s="3" t="s">
        <v>21</v>
      </c>
      <c r="B79" s="3" t="s">
        <v>12</v>
      </c>
      <c r="C79" s="4" t="s">
        <v>23</v>
      </c>
      <c r="D79">
        <v>1</v>
      </c>
      <c r="E79">
        <v>11</v>
      </c>
      <c r="F79">
        <v>4</v>
      </c>
      <c r="G79">
        <v>7</v>
      </c>
      <c r="H79">
        <v>0.36363636363636365</v>
      </c>
      <c r="I79">
        <v>8</v>
      </c>
      <c r="J79">
        <v>1</v>
      </c>
      <c r="K79">
        <v>7</v>
      </c>
      <c r="L79">
        <v>0.125</v>
      </c>
      <c r="M79" s="3" t="s">
        <v>92</v>
      </c>
      <c r="N79" s="12">
        <v>3.7330000000000001</v>
      </c>
      <c r="O79" s="12" t="s">
        <v>183</v>
      </c>
      <c r="P79" s="7" t="s">
        <v>143</v>
      </c>
      <c r="Q79" s="7">
        <f>0.271195-224.265605</f>
        <v>-223.99440999999999</v>
      </c>
      <c r="R79" s="7" t="s">
        <v>186</v>
      </c>
      <c r="S79" s="3" t="s">
        <v>96</v>
      </c>
    </row>
    <row r="80" spans="1:19" x14ac:dyDescent="0.25">
      <c r="A80" s="3" t="s">
        <v>21</v>
      </c>
      <c r="B80" s="3" t="s">
        <v>12</v>
      </c>
      <c r="C80" s="4" t="s">
        <v>23</v>
      </c>
      <c r="D80">
        <v>1</v>
      </c>
      <c r="E80">
        <v>173</v>
      </c>
      <c r="F80">
        <v>55</v>
      </c>
      <c r="G80">
        <v>118</v>
      </c>
      <c r="H80">
        <v>0.31791907514450868</v>
      </c>
      <c r="I80">
        <v>196</v>
      </c>
      <c r="J80">
        <v>32</v>
      </c>
      <c r="K80">
        <v>164</v>
      </c>
      <c r="L80">
        <v>0.16326530612244897</v>
      </c>
      <c r="M80" s="3" t="s">
        <v>93</v>
      </c>
      <c r="N80" s="12">
        <v>2.383</v>
      </c>
      <c r="O80" s="12" t="s">
        <v>183</v>
      </c>
      <c r="P80" s="7" t="s">
        <v>144</v>
      </c>
      <c r="Q80" s="7">
        <f>1.416005-4.062078</f>
        <v>-2.6460729999999995</v>
      </c>
      <c r="R80" s="7" t="s">
        <v>187</v>
      </c>
      <c r="S80" s="3" t="s">
        <v>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2021-06-08T21:32:19Z</dcterms:created>
  <dcterms:modified xsi:type="dcterms:W3CDTF">2021-06-21T04:53:41Z</dcterms:modified>
</cp:coreProperties>
</file>