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GO\Gerenciamento de Projeto\"/>
    </mc:Choice>
  </mc:AlternateContent>
  <bookViews>
    <workbookView xWindow="360" yWindow="90" windowWidth="7635" windowHeight="7485" tabRatio="687" activeTab="5"/>
  </bookViews>
  <sheets>
    <sheet name="Estimativa" sheetId="12" r:id="rId1"/>
    <sheet name="Equipe" sheetId="10" r:id="rId2"/>
    <sheet name="Backlog Produto" sheetId="3" r:id="rId3"/>
    <sheet name="Planejamento" sheetId="4" r:id="rId4"/>
    <sheet name="Monitoramento e controle" sheetId="11" r:id="rId5"/>
    <sheet name="Sprint1" sheetId="5" r:id="rId6"/>
  </sheets>
  <definedNames>
    <definedName name="_xlnm._FilterDatabase" localSheetId="0" hidden="1">Estimativa!$A$1:$D$3</definedName>
    <definedName name="Restante">OFFSET(Sprint1!$B$12,0,0,1,COUNT(Sprint1!$B$12:$L$12))</definedName>
    <definedName name="Restante2">OFFSET(#REF!,0,0,1,COUNT(#REF!))</definedName>
  </definedNames>
  <calcPr calcId="162913"/>
  <fileRecoveryPr autoRecover="0"/>
</workbook>
</file>

<file path=xl/calcChain.xml><?xml version="1.0" encoding="utf-8"?>
<calcChain xmlns="http://schemas.openxmlformats.org/spreadsheetml/2006/main">
  <c r="J6" i="11" l="1"/>
  <c r="J7" i="11"/>
  <c r="J8" i="11"/>
  <c r="J9" i="11"/>
  <c r="J10" i="11"/>
  <c r="J11" i="11"/>
  <c r="J12" i="11"/>
  <c r="J13" i="11"/>
  <c r="J14" i="1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" i="3"/>
  <c r="L5" i="12" l="1"/>
  <c r="L6" i="12"/>
  <c r="L7" i="12"/>
  <c r="L8" i="12"/>
  <c r="L9" i="12"/>
  <c r="L12" i="12"/>
  <c r="L10" i="12" l="1"/>
  <c r="L13" i="12" s="1"/>
  <c r="G10" i="4" l="1"/>
  <c r="B8" i="4" l="1"/>
  <c r="I15" i="11"/>
  <c r="E15" i="11"/>
  <c r="J5" i="11"/>
  <c r="B16" i="5" l="1"/>
  <c r="M13" i="4"/>
  <c r="K13" i="4"/>
  <c r="I13" i="4"/>
  <c r="G13" i="4"/>
  <c r="M10" i="4"/>
  <c r="K10" i="4"/>
  <c r="I10" i="4"/>
  <c r="G14" i="4" l="1"/>
  <c r="M14" i="4"/>
  <c r="I14" i="4"/>
  <c r="K14" i="4"/>
  <c r="C2" i="11"/>
  <c r="B12" i="5" l="1"/>
  <c r="C12" i="5" l="1"/>
  <c r="D12" i="5" s="1"/>
  <c r="E12" i="5" s="1"/>
  <c r="F12" i="5" s="1"/>
  <c r="G12" i="5" s="1"/>
  <c r="H12" i="5" s="1"/>
  <c r="I12" i="5" s="1"/>
  <c r="J12" i="5" s="1"/>
  <c r="K12" i="5" s="1"/>
  <c r="L12" i="5" s="1"/>
  <c r="B13" i="5"/>
  <c r="C13" i="5" l="1"/>
  <c r="D13" i="5" s="1"/>
  <c r="E13" i="5" s="1"/>
  <c r="F13" i="5" s="1"/>
  <c r="G13" i="5" s="1"/>
  <c r="H13" i="5" s="1"/>
  <c r="I13" i="5" s="1"/>
  <c r="J13" i="5" s="1"/>
  <c r="K13" i="5" s="1"/>
  <c r="L13" i="5" s="1"/>
  <c r="B14" i="5"/>
  <c r="B15" i="5" s="1"/>
  <c r="L14" i="5"/>
  <c r="L15" i="5" s="1"/>
  <c r="F14" i="5"/>
  <c r="F15" i="5" s="1"/>
  <c r="H14" i="5"/>
  <c r="H15" i="5" s="1"/>
  <c r="C14" i="5"/>
  <c r="C15" i="5" s="1"/>
  <c r="E14" i="5"/>
  <c r="E15" i="5" s="1"/>
  <c r="K14" i="5"/>
  <c r="K15" i="5" s="1"/>
  <c r="J14" i="5"/>
  <c r="J15" i="5" s="1"/>
  <c r="G14" i="5"/>
  <c r="G15" i="5" s="1"/>
  <c r="I14" i="5"/>
  <c r="I15" i="5" s="1"/>
  <c r="D14" i="5"/>
  <c r="D15" i="5" s="1"/>
  <c r="D56" i="3"/>
  <c r="E56" i="3" l="1"/>
  <c r="F3" i="3" l="1"/>
  <c r="B2" i="4" l="1"/>
  <c r="B4" i="4" s="1"/>
  <c r="K2" i="11" l="1"/>
  <c r="B9" i="4"/>
  <c r="B22" i="4"/>
  <c r="B23" i="4" s="1"/>
  <c r="F4" i="4"/>
  <c r="B14" i="4"/>
  <c r="B16" i="4" s="1"/>
  <c r="B17" i="4" s="1"/>
  <c r="B19" i="4" s="1"/>
  <c r="B20" i="4" s="1"/>
  <c r="L4" i="4"/>
  <c r="J4" i="4"/>
  <c r="H4" i="4"/>
  <c r="B10" i="4" l="1"/>
  <c r="B11" i="4"/>
  <c r="F2" i="11" s="1"/>
  <c r="H12" i="4"/>
  <c r="H8" i="4"/>
  <c r="H5" i="4"/>
  <c r="H9" i="4"/>
  <c r="H6" i="4"/>
  <c r="H11" i="4"/>
  <c r="H7" i="4"/>
  <c r="J12" i="4"/>
  <c r="J6" i="4"/>
  <c r="J11" i="4"/>
  <c r="J7" i="4"/>
  <c r="J8" i="4"/>
  <c r="J9" i="4"/>
  <c r="J5" i="4"/>
  <c r="L12" i="4"/>
  <c r="L9" i="4"/>
  <c r="L5" i="4"/>
  <c r="L6" i="4"/>
  <c r="L8" i="4"/>
  <c r="L7" i="4"/>
  <c r="L11" i="4"/>
  <c r="F12" i="4"/>
  <c r="F5" i="4"/>
  <c r="F9" i="4"/>
  <c r="F6" i="4"/>
  <c r="F11" i="4"/>
  <c r="F7" i="4"/>
  <c r="F8" i="4"/>
  <c r="F13" i="4" l="1"/>
  <c r="H13" i="4"/>
  <c r="F10" i="4"/>
  <c r="H10" i="4"/>
  <c r="J10" i="4"/>
  <c r="J13" i="4"/>
  <c r="L13" i="4"/>
  <c r="L10" i="4"/>
  <c r="J22" i="4" l="1"/>
  <c r="J21" i="4"/>
  <c r="L14" i="4"/>
  <c r="H14" i="4"/>
  <c r="F14" i="4"/>
  <c r="J14" i="4"/>
  <c r="J23" i="4" l="1"/>
</calcChain>
</file>

<file path=xl/comments1.xml><?xml version="1.0" encoding="utf-8"?>
<comments xmlns="http://schemas.openxmlformats.org/spreadsheetml/2006/main">
  <authors>
    <author>Murakami Edson</author>
  </authors>
  <commentList>
    <comment ref="A2" authorId="0" shapeId="0">
      <text>
        <r>
          <rPr>
            <b/>
            <sz val="12"/>
            <color indexed="81"/>
            <rFont val="Segoe UI"/>
            <family val="2"/>
          </rPr>
          <t xml:space="preserve">Backlog do Produto
</t>
        </r>
        <r>
          <rPr>
            <sz val="12"/>
            <color indexed="81"/>
            <rFont val="Segoe UI"/>
            <family val="2"/>
          </rPr>
          <t>Depois de preenchida classificar por prioridade.
A prioridade deve se basear nos resultados do Metodo Kano de Priorização de Requisitos (ver guia)</t>
        </r>
      </text>
    </comment>
  </commentList>
</comments>
</file>

<file path=xl/comments2.xml><?xml version="1.0" encoding="utf-8"?>
<comments xmlns="http://schemas.openxmlformats.org/spreadsheetml/2006/main">
  <authors>
    <author>Murakami Edson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comments3.xml><?xml version="1.0" encoding="utf-8"?>
<comments xmlns="http://schemas.openxmlformats.org/spreadsheetml/2006/main">
  <authors>
    <author>Murakami Edson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Data de início do sprint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Segoe UI"/>
            <family val="2"/>
          </rPr>
          <t xml:space="preserve">O esforço total do Sprint não pode ultrapassar a capacidade do time.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<sst xmlns="http://schemas.openxmlformats.org/spreadsheetml/2006/main" count="204" uniqueCount="152">
  <si>
    <t>Iniciação</t>
  </si>
  <si>
    <t>Elaboração</t>
  </si>
  <si>
    <t>Construção</t>
  </si>
  <si>
    <t>Transição</t>
  </si>
  <si>
    <t>Requisitos</t>
  </si>
  <si>
    <t>Análise e Design</t>
  </si>
  <si>
    <t>Implementação</t>
  </si>
  <si>
    <t>Teste</t>
  </si>
  <si>
    <t>Implantação</t>
  </si>
  <si>
    <t>Gerenciamento de Configuração</t>
  </si>
  <si>
    <t>Gerenciamento de Projeto</t>
  </si>
  <si>
    <t>DISCIPLINAS</t>
  </si>
  <si>
    <t>Horas</t>
  </si>
  <si>
    <t>horas</t>
  </si>
  <si>
    <t>Análise Financeira</t>
  </si>
  <si>
    <t>Custo direto</t>
  </si>
  <si>
    <t>Custo indireto</t>
  </si>
  <si>
    <t>Valor hora média desenvolvedor</t>
  </si>
  <si>
    <t>Desenvolvimento</t>
  </si>
  <si>
    <t>Gerenciamento do Projeto</t>
  </si>
  <si>
    <t>Totais</t>
  </si>
  <si>
    <t>- Somente as células em amarelo pode ser editadas.</t>
  </si>
  <si>
    <t>Total</t>
  </si>
  <si>
    <t>Esforço (hs)</t>
  </si>
  <si>
    <t>Percentual do custo indireto</t>
  </si>
  <si>
    <t>Percentual de lucro desejado</t>
  </si>
  <si>
    <t>Custo total</t>
  </si>
  <si>
    <t>Valor lucro</t>
  </si>
  <si>
    <t>Preço final</t>
  </si>
  <si>
    <t>Prioridade</t>
  </si>
  <si>
    <t>Qde de pessoas (Desenvolvedores)</t>
  </si>
  <si>
    <t>Qde de semanas estimada</t>
  </si>
  <si>
    <t>semanas</t>
  </si>
  <si>
    <t>horas/semana</t>
  </si>
  <si>
    <t>Restante</t>
  </si>
  <si>
    <t>Estimado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</si>
  <si>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</si>
  <si>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</si>
  <si>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</si>
  <si>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</si>
  <si>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</si>
  <si>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</si>
  <si>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</si>
  <si>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</si>
  <si>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</si>
  <si>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Backlog Sprint</t>
  </si>
  <si>
    <t>Nome da Planilha</t>
  </si>
  <si>
    <t>Equipe</t>
  </si>
  <si>
    <t>Scrum Master</t>
  </si>
  <si>
    <t>Owner</t>
  </si>
  <si>
    <t>Desenvolvedor</t>
  </si>
  <si>
    <t>Papel</t>
  </si>
  <si>
    <t>Nome</t>
  </si>
  <si>
    <t>E-mail</t>
  </si>
  <si>
    <t>Sprints</t>
  </si>
  <si>
    <t>Sprint</t>
  </si>
  <si>
    <t>Prazo Ideal</t>
  </si>
  <si>
    <t>Equipe Média Ideal</t>
  </si>
  <si>
    <t>Método de Estimtiva COCOMO</t>
  </si>
  <si>
    <t>meses</t>
  </si>
  <si>
    <t>pessoas</t>
  </si>
  <si>
    <t>Status</t>
  </si>
  <si>
    <t>Objetivo</t>
  </si>
  <si>
    <t>% de erro</t>
  </si>
  <si>
    <t>Qde de meses estimada</t>
  </si>
  <si>
    <t>Planejamento Estimado</t>
  </si>
  <si>
    <r>
      <t xml:space="preserve">Jornada de trabalho </t>
    </r>
    <r>
      <rPr>
        <b/>
        <sz val="11"/>
        <color theme="1"/>
        <rFont val="Calibri"/>
        <family val="2"/>
        <scheme val="minor"/>
      </rPr>
      <t>(semanal</t>
    </r>
    <r>
      <rPr>
        <sz val="11"/>
        <color theme="1"/>
        <rFont val="Calibri"/>
        <family val="2"/>
        <scheme val="minor"/>
      </rPr>
      <t xml:space="preserve"> por desenvolvedor)</t>
    </r>
  </si>
  <si>
    <t>Número de semanas por sprint</t>
  </si>
  <si>
    <t>Qde de Sprints</t>
  </si>
  <si>
    <t>Pontos Estimados</t>
  </si>
  <si>
    <t>Backlog do Produto</t>
  </si>
  <si>
    <t>Data Fim</t>
  </si>
  <si>
    <t>Data Início</t>
  </si>
  <si>
    <t>Diferença estimado/planejado</t>
  </si>
  <si>
    <t>Percentual executado</t>
  </si>
  <si>
    <t>Horas estimadas</t>
  </si>
  <si>
    <t>Total:</t>
  </si>
  <si>
    <t>Esforço por ponto (em horas):</t>
  </si>
  <si>
    <t>Capacidade estimada do time/sprint</t>
  </si>
  <si>
    <t>Capacidade do Time</t>
  </si>
  <si>
    <t>Total do Projeto</t>
  </si>
  <si>
    <t>Template - Planejamento e Controle do Projeto.xltx'!Restante</t>
  </si>
  <si>
    <t>Monitoramento e Controle do Projeto</t>
  </si>
  <si>
    <t>Revisão (versão)</t>
  </si>
  <si>
    <t>Revision 4509</t>
  </si>
  <si>
    <t>Data Término</t>
  </si>
  <si>
    <t>REALIZADO</t>
  </si>
  <si>
    <t>PREVISTO</t>
  </si>
  <si>
    <t>Diferença (hs)</t>
  </si>
  <si>
    <t>Entregar escopo e plano</t>
  </si>
  <si>
    <t>Número de semanas por Sprint</t>
  </si>
  <si>
    <t>Carga Horária Total</t>
  </si>
  <si>
    <t>Estimativa de distribuição de esforço por Fase (horas)</t>
  </si>
  <si>
    <t>Ajuste base histórica (margem de erro)</t>
  </si>
  <si>
    <t>Esforço total ajustado</t>
  </si>
  <si>
    <t>Esforço total estimado</t>
  </si>
  <si>
    <t>Definição e testes da arquitetura</t>
  </si>
  <si>
    <t>Atividades</t>
  </si>
  <si>
    <t>Implementar UC01</t>
  </si>
  <si>
    <t>Funcionalidades (Casos de Uso/Histórias)</t>
  </si>
  <si>
    <t>SGO - Sistema para Gestão de Obras</t>
  </si>
  <si>
    <t>Edson Murakami</t>
  </si>
  <si>
    <t>Claudemir Florentino</t>
  </si>
  <si>
    <t>Felipe Florentino</t>
  </si>
  <si>
    <t>Implementar UC02</t>
  </si>
  <si>
    <t>Implementar UC03</t>
  </si>
  <si>
    <t>Implementar UC04</t>
  </si>
  <si>
    <t>Implementar UC05</t>
  </si>
  <si>
    <t>Implementar UC06</t>
  </si>
  <si>
    <t>Implementar UC07</t>
  </si>
  <si>
    <t>UC01 - Manter Obras</t>
  </si>
  <si>
    <t>UC02 - Manter Funcionários</t>
  </si>
  <si>
    <t>UC03 - Gerar Gráficos</t>
  </si>
  <si>
    <t>claudemirflorentino2015@gmail.com</t>
  </si>
  <si>
    <t>felipe.florentino01@gmail.com</t>
  </si>
  <si>
    <t>murakami@ifsp.edu.br</t>
  </si>
  <si>
    <t>UC04 - Manter Clientes</t>
  </si>
  <si>
    <t>UC05 - Gerar Relatório de Gastos</t>
  </si>
  <si>
    <t>UC06 - Efetuar Login</t>
  </si>
  <si>
    <t>UC07 - Gerenciar Etapas</t>
  </si>
  <si>
    <t>Média</t>
  </si>
  <si>
    <t>CE</t>
  </si>
  <si>
    <t>SE</t>
  </si>
  <si>
    <t>EE</t>
  </si>
  <si>
    <t>USE CASE 04 - Manter Clientes</t>
  </si>
  <si>
    <t>Simples</t>
  </si>
  <si>
    <t>USE CASE 09 - Gerenciar Etapas</t>
  </si>
  <si>
    <t>USE CASE 03 - Gerar Gráficos</t>
  </si>
  <si>
    <t>PFA</t>
  </si>
  <si>
    <t>VFA</t>
  </si>
  <si>
    <t>NIT</t>
  </si>
  <si>
    <t>PFNA</t>
  </si>
  <si>
    <t>USE CASE 08 - Efetuar Login</t>
  </si>
  <si>
    <t>USE CASE 02 - Manter Funcionários</t>
  </si>
  <si>
    <t>AIE</t>
  </si>
  <si>
    <t>Complexa</t>
  </si>
  <si>
    <t>ALI</t>
  </si>
  <si>
    <t>USE CASE 05 - Gerar Relatório de Gastos</t>
  </si>
  <si>
    <t>USE CASE 01 - Manter Obras</t>
  </si>
  <si>
    <t>Análise de Pontos de Função</t>
  </si>
  <si>
    <t>CC</t>
  </si>
  <si>
    <t>C</t>
  </si>
  <si>
    <t>Quantidade</t>
  </si>
  <si>
    <t>Definir escopo</t>
  </si>
  <si>
    <t>Planejamento e Estimativa</t>
  </si>
  <si>
    <t>Em execução</t>
  </si>
  <si>
    <t>Entregue</t>
  </si>
  <si>
    <t>Revision 7607</t>
  </si>
  <si>
    <t>Implementação - Iteração 1</t>
  </si>
  <si>
    <t>Implementação - Iteração 2</t>
  </si>
  <si>
    <t>Planejado</t>
  </si>
  <si>
    <t>Revision 7692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</si>
</sst>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Segoe UI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indexed="81"/>
      <name val="Segoe UI"/>
      <family val="2"/>
    </font>
    <font>
      <sz val="12"/>
      <color indexed="81"/>
      <name val="Segoe UI"/>
      <family val="2"/>
    </font>
    <font>
      <b/>
      <sz val="16"/>
      <name val="Segoe UI"/>
      <family val="2"/>
    </font>
    <font>
      <b/>
      <sz val="16"/>
      <color theme="0"/>
      <name val="Segoe UI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30">
    <xf numFmtId="0" fontId="0" fillId="0" borderId="0" xfId="0"/>
    <xf numFmtId="0" fontId="7" fillId="0" borderId="0" xfId="0" applyFont="1"/>
    <xf numFmtId="0" fontId="7" fillId="3" borderId="1" xfId="0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3" borderId="1" xfId="0" applyFont="1" applyFill="1" applyBorder="1"/>
    <xf numFmtId="44" fontId="7" fillId="3" borderId="1" xfId="1" applyFont="1" applyFill="1" applyBorder="1" applyAlignment="1">
      <alignment horizontal="center"/>
    </xf>
    <xf numFmtId="44" fontId="7" fillId="3" borderId="1" xfId="0" applyNumberFormat="1" applyFont="1" applyFill="1" applyBorder="1" applyAlignment="1">
      <alignment horizontal="center"/>
    </xf>
    <xf numFmtId="44" fontId="7" fillId="3" borderId="1" xfId="0" applyNumberFormat="1" applyFont="1" applyFill="1" applyBorder="1"/>
    <xf numFmtId="164" fontId="7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8" fillId="3" borderId="1" xfId="0" applyFont="1" applyFill="1" applyBorder="1"/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15" fillId="5" borderId="1" xfId="0" applyFont="1" applyFill="1" applyBorder="1"/>
    <xf numFmtId="0" fontId="2" fillId="5" borderId="1" xfId="0" applyFont="1" applyFill="1" applyBorder="1" applyAlignment="1" applyProtection="1">
      <alignment horizontal="center" vertical="center" wrapText="1"/>
    </xf>
    <xf numFmtId="0" fontId="15" fillId="5" borderId="0" xfId="0" applyFont="1" applyFill="1" applyBorder="1"/>
    <xf numFmtId="0" fontId="0" fillId="4" borderId="1" xfId="0" applyFill="1" applyBorder="1" applyAlignment="1" applyProtection="1">
      <alignment horizontal="center"/>
      <protection locked="0"/>
    </xf>
    <xf numFmtId="44" fontId="6" fillId="4" borderId="1" xfId="1" applyFont="1" applyFill="1" applyBorder="1" applyAlignment="1" applyProtection="1">
      <alignment horizontal="center"/>
      <protection locked="0"/>
    </xf>
    <xf numFmtId="9" fontId="7" fillId="4" borderId="1" xfId="2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 applyProtection="1">
      <alignment vertical="center"/>
      <protection locked="0"/>
    </xf>
    <xf numFmtId="0" fontId="5" fillId="4" borderId="1" xfId="0" applyFont="1" applyFill="1" applyBorder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16" fillId="4" borderId="1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wrapText="1"/>
    </xf>
    <xf numFmtId="0" fontId="4" fillId="3" borderId="1" xfId="0" applyFont="1" applyFill="1" applyBorder="1" applyAlignment="1" applyProtection="1">
      <alignment horizontal="center" wrapText="1"/>
    </xf>
    <xf numFmtId="0" fontId="3" fillId="3" borderId="1" xfId="0" applyFont="1" applyFill="1" applyBorder="1" applyAlignment="1" applyProtection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3" fillId="3" borderId="4" xfId="0" applyFont="1" applyFill="1" applyBorder="1" applyAlignment="1" applyProtection="1">
      <alignment horizontal="center" wrapText="1"/>
    </xf>
    <xf numFmtId="0" fontId="14" fillId="3" borderId="1" xfId="0" applyFont="1" applyFill="1" applyBorder="1"/>
    <xf numFmtId="44" fontId="14" fillId="3" borderId="1" xfId="0" applyNumberFormat="1" applyFont="1" applyFill="1" applyBorder="1"/>
    <xf numFmtId="9" fontId="7" fillId="4" borderId="1" xfId="0" applyNumberFormat="1" applyFont="1" applyFill="1" applyBorder="1" applyAlignment="1" applyProtection="1">
      <alignment horizontal="center"/>
      <protection locked="0"/>
    </xf>
    <xf numFmtId="0" fontId="19" fillId="3" borderId="1" xfId="0" applyFont="1" applyFill="1" applyBorder="1"/>
    <xf numFmtId="164" fontId="19" fillId="3" borderId="1" xfId="0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 applyProtection="1">
      <alignment horizontal="center"/>
      <protection locked="0"/>
    </xf>
    <xf numFmtId="0" fontId="7" fillId="0" borderId="7" xfId="0" applyFont="1" applyBorder="1"/>
    <xf numFmtId="0" fontId="25" fillId="4" borderId="1" xfId="0" applyFon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0" fontId="26" fillId="3" borderId="1" xfId="0" applyNumberFormat="1" applyFont="1" applyFill="1" applyBorder="1" applyAlignment="1" applyProtection="1">
      <alignment horizontal="center"/>
      <protection locked="0"/>
    </xf>
    <xf numFmtId="0" fontId="26" fillId="4" borderId="1" xfId="0" applyNumberFormat="1" applyFont="1" applyFill="1" applyBorder="1" applyAlignment="1" applyProtection="1">
      <alignment horizontal="left"/>
      <protection locked="0"/>
    </xf>
    <xf numFmtId="0" fontId="26" fillId="4" borderId="1" xfId="0" applyFont="1" applyFill="1" applyBorder="1" applyAlignment="1" applyProtection="1">
      <alignment horizontal="center"/>
      <protection locked="0"/>
    </xf>
    <xf numFmtId="0" fontId="0" fillId="8" borderId="0" xfId="0" applyFill="1"/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/>
    </xf>
    <xf numFmtId="1" fontId="16" fillId="7" borderId="1" xfId="0" applyNumberFormat="1" applyFont="1" applyFill="1" applyBorder="1" applyAlignment="1">
      <alignment horizontal="center"/>
    </xf>
    <xf numFmtId="0" fontId="16" fillId="8" borderId="1" xfId="0" applyFont="1" applyFill="1" applyBorder="1"/>
    <xf numFmtId="0" fontId="16" fillId="8" borderId="1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/>
    </xf>
    <xf numFmtId="9" fontId="9" fillId="5" borderId="1" xfId="2" applyFont="1" applyFill="1" applyBorder="1" applyAlignment="1">
      <alignment horizontal="center"/>
    </xf>
    <xf numFmtId="0" fontId="27" fillId="5" borderId="4" xfId="0" applyFont="1" applyFill="1" applyBorder="1" applyAlignment="1" applyProtection="1">
      <alignment horizontal="center" wrapText="1"/>
    </xf>
    <xf numFmtId="0" fontId="15" fillId="5" borderId="1" xfId="0" applyFont="1" applyFill="1" applyBorder="1" applyAlignment="1" applyProtection="1">
      <alignment horizontal="center"/>
    </xf>
    <xf numFmtId="16" fontId="16" fillId="4" borderId="1" xfId="0" applyNumberFormat="1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right" wrapText="1"/>
    </xf>
    <xf numFmtId="0" fontId="13" fillId="5" borderId="1" xfId="0" applyFont="1" applyFill="1" applyBorder="1"/>
    <xf numFmtId="1" fontId="19" fillId="2" borderId="1" xfId="0" applyNumberFormat="1" applyFont="1" applyFill="1" applyBorder="1" applyAlignment="1">
      <alignment horizontal="center"/>
    </xf>
    <xf numFmtId="1" fontId="19" fillId="2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1" fontId="8" fillId="3" borderId="1" xfId="0" applyNumberFormat="1" applyFont="1" applyFill="1" applyBorder="1" applyAlignment="1">
      <alignment horizontal="center"/>
    </xf>
    <xf numFmtId="0" fontId="0" fillId="0" borderId="0" xfId="0" quotePrefix="1"/>
    <xf numFmtId="0" fontId="18" fillId="7" borderId="8" xfId="0" applyFont="1" applyFill="1" applyBorder="1" applyAlignment="1">
      <alignment horizontal="left"/>
    </xf>
    <xf numFmtId="1" fontId="18" fillId="7" borderId="5" xfId="0" applyNumberFormat="1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7" fillId="0" borderId="0" xfId="0" applyFont="1" applyBorder="1"/>
    <xf numFmtId="165" fontId="7" fillId="0" borderId="7" xfId="0" applyNumberFormat="1" applyFont="1" applyBorder="1"/>
    <xf numFmtId="0" fontId="18" fillId="7" borderId="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/>
    </xf>
    <xf numFmtId="1" fontId="18" fillId="5" borderId="1" xfId="0" applyNumberFormat="1" applyFont="1" applyFill="1" applyBorder="1" applyAlignment="1">
      <alignment horizontal="center"/>
    </xf>
    <xf numFmtId="14" fontId="26" fillId="10" borderId="1" xfId="0" applyNumberFormat="1" applyFont="1" applyFill="1" applyBorder="1" applyAlignment="1" applyProtection="1">
      <alignment horizontal="center"/>
      <protection locked="0"/>
    </xf>
    <xf numFmtId="165" fontId="26" fillId="10" borderId="1" xfId="3" applyNumberFormat="1" applyFont="1" applyFill="1" applyBorder="1" applyAlignment="1" applyProtection="1">
      <alignment horizontal="center" vertical="center"/>
      <protection locked="0"/>
    </xf>
    <xf numFmtId="166" fontId="26" fillId="10" borderId="1" xfId="3" applyNumberFormat="1" applyFont="1" applyFill="1" applyBorder="1" applyAlignment="1" applyProtection="1">
      <alignment horizontal="center" vertical="center"/>
      <protection locked="0"/>
    </xf>
    <xf numFmtId="1" fontId="12" fillId="7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center"/>
    </xf>
    <xf numFmtId="9" fontId="6" fillId="2" borderId="1" xfId="2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8" fillId="4" borderId="1" xfId="4" applyFill="1" applyBorder="1" applyProtection="1">
      <protection locked="0"/>
    </xf>
    <xf numFmtId="165" fontId="26" fillId="9" borderId="1" xfId="3" applyNumberFormat="1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center"/>
      <protection locked="0"/>
    </xf>
    <xf numFmtId="0" fontId="7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/>
    <xf numFmtId="0" fontId="5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>
      <alignment horizontal="center" wrapText="1"/>
    </xf>
    <xf numFmtId="0" fontId="3" fillId="3" borderId="4" xfId="0" applyFont="1" applyFill="1" applyBorder="1" applyAlignment="1" applyProtection="1">
      <alignment horizontal="center" wrapText="1"/>
    </xf>
    <xf numFmtId="0" fontId="4" fillId="3" borderId="2" xfId="0" applyFont="1" applyFill="1" applyBorder="1" applyAlignment="1" applyProtection="1">
      <alignment horizontal="right" wrapText="1"/>
    </xf>
    <xf numFmtId="0" fontId="4" fillId="3" borderId="3" xfId="0" applyFont="1" applyFill="1" applyBorder="1" applyAlignment="1" applyProtection="1">
      <alignment horizontal="right" wrapText="1"/>
    </xf>
    <xf numFmtId="0" fontId="4" fillId="3" borderId="4" xfId="0" applyFont="1" applyFill="1" applyBorder="1" applyAlignment="1" applyProtection="1">
      <alignment horizontal="right" wrapText="1"/>
    </xf>
    <xf numFmtId="0" fontId="24" fillId="5" borderId="9" xfId="0" applyFont="1" applyFill="1" applyBorder="1" applyAlignment="1" applyProtection="1">
      <alignment horizontal="center" vertical="center" wrapText="1"/>
    </xf>
    <xf numFmtId="0" fontId="24" fillId="5" borderId="0" xfId="0" applyFont="1" applyFill="1" applyBorder="1" applyAlignment="1" applyProtection="1">
      <alignment horizontal="center" vertical="center" wrapText="1"/>
    </xf>
    <xf numFmtId="49" fontId="3" fillId="6" borderId="8" xfId="0" applyNumberFormat="1" applyFont="1" applyFill="1" applyBorder="1" applyAlignment="1" applyProtection="1">
      <alignment horizontal="center" vertical="top" wrapText="1"/>
    </xf>
    <xf numFmtId="49" fontId="3" fillId="6" borderId="5" xfId="0" applyNumberFormat="1" applyFont="1" applyFill="1" applyBorder="1" applyAlignment="1" applyProtection="1">
      <alignment horizontal="center" vertical="top" wrapText="1"/>
    </xf>
    <xf numFmtId="0" fontId="12" fillId="5" borderId="0" xfId="0" applyFont="1" applyFill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1" fontId="18" fillId="5" borderId="1" xfId="0" applyNumberFormat="1" applyFont="1" applyFill="1" applyBorder="1" applyAlignment="1">
      <alignment horizontal="right"/>
    </xf>
    <xf numFmtId="0" fontId="18" fillId="5" borderId="2" xfId="0" applyFont="1" applyFill="1" applyBorder="1" applyAlignment="1">
      <alignment horizontal="right"/>
    </xf>
    <xf numFmtId="0" fontId="18" fillId="5" borderId="3" xfId="0" applyFont="1" applyFill="1" applyBorder="1" applyAlignment="1">
      <alignment horizontal="right"/>
    </xf>
    <xf numFmtId="0" fontId="18" fillId="5" borderId="4" xfId="0" applyFont="1" applyFill="1" applyBorder="1" applyAlignment="1">
      <alignment horizontal="right"/>
    </xf>
    <xf numFmtId="1" fontId="18" fillId="7" borderId="1" xfId="0" applyNumberFormat="1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5">
    <cellStyle name="Hiperlink" xfId="4" builtinId="8"/>
    <cellStyle name="Moeda" xfId="1" builtinId="4"/>
    <cellStyle name="Normal" xfId="0" builtinId="0"/>
    <cellStyle name="Porcentagem" xfId="2" builtinId="5"/>
    <cellStyle name="Vírgula" xfId="3" builtinId="3"/>
  </cellStyles>
  <dxfs count="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1" defaultTableStyle="TableStyleMedium9" defaultPivotStyle="PivotStyleLight16">
    <tableStyle name="MySqlDefault" pivot="0" table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Sprint1!$B$1:$L$1</c:f>
              <c:strCache>
                <c:ptCount val="11"/>
                <c:pt idx="0">
                  <c:v>Horas estimadas</c:v>
                </c:pt>
                <c:pt idx="1">
                  <c:v>08/ago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10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7.9</c:v>
                </c:pt>
                <c:pt idx="5">
                  <c:v>7.8000000000000007</c:v>
                </c:pt>
                <c:pt idx="6">
                  <c:v>7.7000000000000011</c:v>
                </c:pt>
                <c:pt idx="7">
                  <c:v>6.7000000000000011</c:v>
                </c:pt>
                <c:pt idx="8">
                  <c:v>1.2000000000000011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48CA-9EE5-0F2855324CF5}"/>
            </c:ext>
          </c:extLst>
        </c:ser>
        <c:ser>
          <c:idx val="1"/>
          <c:order val="1"/>
          <c:tx>
            <c:strRef>
              <c:f>Sprint1!$A$13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Sprint1!$B$1:$L$1</c:f>
              <c:strCache>
                <c:ptCount val="11"/>
                <c:pt idx="0">
                  <c:v>Horas estimadas</c:v>
                </c:pt>
                <c:pt idx="1">
                  <c:v>08/ago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Sprint1!$B$13:$L$13</c:f>
              <c:numCache>
                <c:formatCode>0</c:formatCode>
                <c:ptCount val="11"/>
                <c:pt idx="0" formatCode="General">
                  <c:v>16</c:v>
                </c:pt>
                <c:pt idx="1">
                  <c:v>14.4</c:v>
                </c:pt>
                <c:pt idx="2">
                  <c:v>12.8</c:v>
                </c:pt>
                <c:pt idx="3">
                  <c:v>11.200000000000001</c:v>
                </c:pt>
                <c:pt idx="4">
                  <c:v>9.6000000000000014</c:v>
                </c:pt>
                <c:pt idx="5">
                  <c:v>8.0000000000000018</c:v>
                </c:pt>
                <c:pt idx="6">
                  <c:v>6.4000000000000021</c:v>
                </c:pt>
                <c:pt idx="7">
                  <c:v>4.8000000000000025</c:v>
                </c:pt>
                <c:pt idx="8">
                  <c:v>3.2000000000000024</c:v>
                </c:pt>
                <c:pt idx="9">
                  <c:v>1.6000000000000023</c:v>
                </c:pt>
                <c:pt idx="10">
                  <c:v>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5-48CA-9EE5-0F285532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64512"/>
        <c:axId val="305164840"/>
      </c:lineChart>
      <c:catAx>
        <c:axId val="3051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64840"/>
        <c:crosses val="autoZero"/>
        <c:auto val="1"/>
        <c:lblAlgn val="ctr"/>
        <c:lblOffset val="100"/>
        <c:noMultiLvlLbl val="0"/>
      </c:catAx>
      <c:valAx>
        <c:axId val="3051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Sprint1!$B$1:$L$1</c:f>
              <c:strCache>
                <c:ptCount val="11"/>
                <c:pt idx="0">
                  <c:v>Horas estimadas</c:v>
                </c:pt>
                <c:pt idx="1">
                  <c:v>08/ago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10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7.9</c:v>
                </c:pt>
                <c:pt idx="5">
                  <c:v>7.8000000000000007</c:v>
                </c:pt>
                <c:pt idx="6">
                  <c:v>7.7000000000000011</c:v>
                </c:pt>
                <c:pt idx="7">
                  <c:v>6.7000000000000011</c:v>
                </c:pt>
                <c:pt idx="8">
                  <c:v>1.2000000000000011</c:v>
                </c:pt>
                <c:pt idx="9">
                  <c:v>0.20000000000000107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1DB-B734-B3A12F8606BB}"/>
            </c:ext>
          </c:extLst>
        </c:ser>
        <c:ser>
          <c:idx val="1"/>
          <c:order val="1"/>
          <c:tx>
            <c:strRef>
              <c:f>Sprint1!$A$13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Sprint1!$B$1:$L$1</c:f>
              <c:strCache>
                <c:ptCount val="11"/>
                <c:pt idx="0">
                  <c:v>Horas estimadas</c:v>
                </c:pt>
                <c:pt idx="1">
                  <c:v>08/ago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Sprint1!$B$13:$L$13</c:f>
              <c:numCache>
                <c:formatCode>0</c:formatCode>
                <c:ptCount val="11"/>
                <c:pt idx="0" formatCode="General">
                  <c:v>16</c:v>
                </c:pt>
                <c:pt idx="1">
                  <c:v>14.4</c:v>
                </c:pt>
                <c:pt idx="2">
                  <c:v>12.8</c:v>
                </c:pt>
                <c:pt idx="3">
                  <c:v>11.200000000000001</c:v>
                </c:pt>
                <c:pt idx="4">
                  <c:v>9.6000000000000014</c:v>
                </c:pt>
                <c:pt idx="5">
                  <c:v>8.0000000000000018</c:v>
                </c:pt>
                <c:pt idx="6">
                  <c:v>6.4000000000000021</c:v>
                </c:pt>
                <c:pt idx="7">
                  <c:v>4.8000000000000025</c:v>
                </c:pt>
                <c:pt idx="8">
                  <c:v>3.2000000000000024</c:v>
                </c:pt>
                <c:pt idx="9">
                  <c:v>1.6000000000000023</c:v>
                </c:pt>
                <c:pt idx="10">
                  <c:v>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E-41DB-B734-B3A12F86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64512"/>
        <c:axId val="305164840"/>
      </c:lineChart>
      <c:catAx>
        <c:axId val="3051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64840"/>
        <c:crosses val="autoZero"/>
        <c:auto val="1"/>
        <c:lblAlgn val="ctr"/>
        <c:lblOffset val="100"/>
        <c:noMultiLvlLbl val="0"/>
      </c:catAx>
      <c:valAx>
        <c:axId val="3051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16</xdr:row>
      <xdr:rowOff>76200</xdr:rowOff>
    </xdr:from>
    <xdr:to>
      <xdr:col>12</xdr:col>
      <xdr:colOff>485776</xdr:colOff>
      <xdr:row>18</xdr:row>
      <xdr:rowOff>38100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7BEF04F-0A2D-4637-88D2-EEF4A260EF97}"/>
            </a:ext>
          </a:extLst>
        </xdr:cNvPr>
        <xdr:cNvSpPr/>
      </xdr:nvSpPr>
      <xdr:spPr>
        <a:xfrm>
          <a:off x="5067300" y="3257550"/>
          <a:ext cx="6181726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/>
            <a:t>Observar</a:t>
          </a:r>
          <a:r>
            <a:rPr lang="pt-BR" sz="1600" baseline="0"/>
            <a:t> a capacidade do time para dimensionar o esforço nos sprints.</a:t>
          </a:r>
          <a:endParaRPr lang="pt-BR" sz="1600"/>
        </a:p>
      </xdr:txBody>
    </xdr:sp>
    <xdr:clientData/>
  </xdr:twoCellAnchor>
  <xdr:twoCellAnchor>
    <xdr:from>
      <xdr:col>1</xdr:col>
      <xdr:colOff>638175</xdr:colOff>
      <xdr:row>7</xdr:row>
      <xdr:rowOff>123825</xdr:rowOff>
    </xdr:from>
    <xdr:to>
      <xdr:col>7</xdr:col>
      <xdr:colOff>242888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D94D33E4-5933-4011-BCC3-B356CF97BECE}"/>
            </a:ext>
          </a:extLst>
        </xdr:cNvPr>
        <xdr:cNvCxnSpPr>
          <a:stCxn id="3" idx="0"/>
        </xdr:cNvCxnSpPr>
      </xdr:nvCxnSpPr>
      <xdr:spPr>
        <a:xfrm flipH="1" flipV="1">
          <a:off x="3705225" y="1514475"/>
          <a:ext cx="4452938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14</xdr:row>
      <xdr:rowOff>38100</xdr:rowOff>
    </xdr:from>
    <xdr:to>
      <xdr:col>7</xdr:col>
      <xdr:colOff>242888</xdr:colOff>
      <xdr:row>16</xdr:row>
      <xdr:rowOff>76200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7BC1432-5583-489F-9B9E-1BDD98AD464F}"/>
            </a:ext>
          </a:extLst>
        </xdr:cNvPr>
        <xdr:cNvCxnSpPr>
          <a:stCxn id="3" idx="0"/>
        </xdr:cNvCxnSpPr>
      </xdr:nvCxnSpPr>
      <xdr:spPr>
        <a:xfrm flipH="1" flipV="1">
          <a:off x="7239000" y="2838450"/>
          <a:ext cx="919163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14</xdr:row>
      <xdr:rowOff>28575</xdr:rowOff>
    </xdr:from>
    <xdr:to>
      <xdr:col>7</xdr:col>
      <xdr:colOff>276225</xdr:colOff>
      <xdr:row>16</xdr:row>
      <xdr:rowOff>76200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2063F1DF-3A03-417A-A2AE-0F81C9327FE8}"/>
            </a:ext>
          </a:extLst>
        </xdr:cNvPr>
        <xdr:cNvCxnSpPr>
          <a:stCxn id="3" idx="0"/>
        </xdr:cNvCxnSpPr>
      </xdr:nvCxnSpPr>
      <xdr:spPr>
        <a:xfrm flipV="1">
          <a:off x="8158163" y="2828925"/>
          <a:ext cx="3333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14</xdr:row>
      <xdr:rowOff>76200</xdr:rowOff>
    </xdr:from>
    <xdr:to>
      <xdr:col>9</xdr:col>
      <xdr:colOff>285750</xdr:colOff>
      <xdr:row>16</xdr:row>
      <xdr:rowOff>76200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319EEA5-42E1-428A-9C01-33A66A160256}"/>
            </a:ext>
          </a:extLst>
        </xdr:cNvPr>
        <xdr:cNvCxnSpPr>
          <a:stCxn id="3" idx="0"/>
        </xdr:cNvCxnSpPr>
      </xdr:nvCxnSpPr>
      <xdr:spPr>
        <a:xfrm flipV="1">
          <a:off x="8158163" y="2876550"/>
          <a:ext cx="1195387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14</xdr:row>
      <xdr:rowOff>76200</xdr:rowOff>
    </xdr:from>
    <xdr:to>
      <xdr:col>11</xdr:col>
      <xdr:colOff>238125</xdr:colOff>
      <xdr:row>16</xdr:row>
      <xdr:rowOff>76200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1F250729-6545-4FDB-8F1B-3DB04E1D8827}"/>
            </a:ext>
          </a:extLst>
        </xdr:cNvPr>
        <xdr:cNvCxnSpPr>
          <a:stCxn id="3" idx="0"/>
        </xdr:cNvCxnSpPr>
      </xdr:nvCxnSpPr>
      <xdr:spPr>
        <a:xfrm flipV="1">
          <a:off x="8158163" y="2876550"/>
          <a:ext cx="2300287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20</xdr:col>
      <xdr:colOff>352425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444BF-56C1-454E-963A-7A74D4EB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19050</xdr:rowOff>
    </xdr:from>
    <xdr:to>
      <xdr:col>20</xdr:col>
      <xdr:colOff>352425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5444BF-56C1-454E-963A-7A74D4EB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urakami@ifsp.edu.br" TargetMode="External"/><Relationship Id="rId2" Type="http://schemas.openxmlformats.org/officeDocument/2006/relationships/hyperlink" Target="mailto:felipe.florentino01@gmail.com" TargetMode="External"/><Relationship Id="rId1" Type="http://schemas.openxmlformats.org/officeDocument/2006/relationships/hyperlink" Target="mailto:claudemirflorentino2015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G22" sqref="G22"/>
    </sheetView>
  </sheetViews>
  <sheetFormatPr defaultRowHeight="15" x14ac:dyDescent="0.25"/>
  <cols>
    <col min="1" max="1" width="8.5703125" customWidth="1"/>
    <col min="2" max="4" width="14.28515625" customWidth="1"/>
    <col min="6" max="6" width="8.5703125" customWidth="1"/>
    <col min="7" max="9" width="14.28515625" customWidth="1"/>
    <col min="11" max="11" width="10.7109375" customWidth="1"/>
    <col min="12" max="12" width="14.42578125" customWidth="1"/>
    <col min="13" max="14" width="14.28515625" customWidth="1"/>
  </cols>
  <sheetData>
    <row r="1" spans="1:28" x14ac:dyDescent="0.25">
      <c r="B1" s="93" t="s">
        <v>142</v>
      </c>
      <c r="C1" s="93" t="s">
        <v>141</v>
      </c>
      <c r="D1" s="93" t="s">
        <v>140</v>
      </c>
    </row>
    <row r="2" spans="1:28" x14ac:dyDescent="0.25">
      <c r="A2" s="94" t="s">
        <v>136</v>
      </c>
      <c r="B2" s="93">
        <v>7</v>
      </c>
      <c r="C2" s="93" t="s">
        <v>125</v>
      </c>
      <c r="D2" s="93">
        <v>7</v>
      </c>
      <c r="F2" s="128" t="s">
        <v>139</v>
      </c>
      <c r="G2" s="128"/>
      <c r="H2" s="128"/>
      <c r="I2" s="128"/>
      <c r="J2" s="128"/>
      <c r="K2" s="128"/>
      <c r="L2" s="128"/>
      <c r="M2" s="128"/>
      <c r="N2" s="128"/>
    </row>
    <row r="3" spans="1:28" x14ac:dyDescent="0.25">
      <c r="A3" s="94" t="s">
        <v>134</v>
      </c>
      <c r="B3" s="93">
        <v>1</v>
      </c>
      <c r="C3" s="93" t="s">
        <v>125</v>
      </c>
      <c r="D3" s="93">
        <v>5</v>
      </c>
      <c r="F3" s="129"/>
      <c r="G3" s="129"/>
      <c r="H3" s="129"/>
      <c r="I3" s="129"/>
      <c r="J3" s="129"/>
      <c r="K3" s="129"/>
      <c r="L3" s="129"/>
      <c r="M3" s="129"/>
      <c r="N3" s="129"/>
    </row>
    <row r="4" spans="1:28" x14ac:dyDescent="0.25">
      <c r="D4" s="98"/>
    </row>
    <row r="5" spans="1:28" x14ac:dyDescent="0.25">
      <c r="A5" s="128" t="s">
        <v>138</v>
      </c>
      <c r="B5" s="128"/>
      <c r="C5" s="128"/>
      <c r="D5" s="128"/>
      <c r="E5" s="98"/>
      <c r="F5" s="128" t="s">
        <v>137</v>
      </c>
      <c r="G5" s="128"/>
      <c r="H5" s="128"/>
      <c r="I5" s="128"/>
      <c r="J5" s="98"/>
      <c r="K5" s="94" t="s">
        <v>136</v>
      </c>
      <c r="L5" s="94">
        <f>B2*D2</f>
        <v>49</v>
      </c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</row>
    <row r="6" spans="1:28" x14ac:dyDescent="0.25">
      <c r="A6" s="94" t="s">
        <v>123</v>
      </c>
      <c r="B6" s="93">
        <v>1</v>
      </c>
      <c r="C6" s="93" t="s">
        <v>135</v>
      </c>
      <c r="D6" s="93">
        <v>6</v>
      </c>
      <c r="F6" s="94" t="s">
        <v>123</v>
      </c>
      <c r="G6" s="93">
        <v>0</v>
      </c>
      <c r="H6" s="93"/>
      <c r="I6" s="93"/>
      <c r="K6" s="97" t="s">
        <v>134</v>
      </c>
      <c r="L6" s="94">
        <f>B3*D3</f>
        <v>5</v>
      </c>
    </row>
    <row r="7" spans="1:28" x14ac:dyDescent="0.25">
      <c r="A7" s="94" t="s">
        <v>122</v>
      </c>
      <c r="B7" s="93">
        <v>0</v>
      </c>
      <c r="C7" s="93"/>
      <c r="D7" s="93"/>
      <c r="F7" s="94" t="s">
        <v>122</v>
      </c>
      <c r="G7" s="93">
        <v>0</v>
      </c>
      <c r="H7" s="93"/>
      <c r="I7" s="93"/>
      <c r="K7" s="97" t="s">
        <v>123</v>
      </c>
      <c r="L7" s="94">
        <f>D6+D11+D21+I11+I16</f>
        <v>20</v>
      </c>
    </row>
    <row r="8" spans="1:28" x14ac:dyDescent="0.25">
      <c r="A8" s="94" t="s">
        <v>121</v>
      </c>
      <c r="B8" s="93">
        <v>1</v>
      </c>
      <c r="C8" s="93" t="s">
        <v>120</v>
      </c>
      <c r="D8" s="93">
        <v>4</v>
      </c>
      <c r="F8" s="94" t="s">
        <v>121</v>
      </c>
      <c r="G8" s="93">
        <v>1</v>
      </c>
      <c r="H8" s="93" t="s">
        <v>125</v>
      </c>
      <c r="I8" s="93">
        <v>3</v>
      </c>
      <c r="K8" s="97" t="s">
        <v>122</v>
      </c>
      <c r="L8" s="94">
        <f>D17+I7</f>
        <v>0</v>
      </c>
    </row>
    <row r="9" spans="1:28" x14ac:dyDescent="0.25">
      <c r="K9" s="97" t="s">
        <v>121</v>
      </c>
      <c r="L9" s="94">
        <f>D8+D13+D18+D23+I8+I13+I18</f>
        <v>25</v>
      </c>
    </row>
    <row r="10" spans="1:28" x14ac:dyDescent="0.25">
      <c r="A10" s="128" t="s">
        <v>133</v>
      </c>
      <c r="B10" s="128"/>
      <c r="C10" s="128"/>
      <c r="D10" s="128"/>
      <c r="F10" s="128" t="s">
        <v>132</v>
      </c>
      <c r="G10" s="128"/>
      <c r="H10" s="128"/>
      <c r="I10" s="128"/>
      <c r="K10" s="97" t="s">
        <v>131</v>
      </c>
      <c r="L10" s="94">
        <f>SUM(L5:L9)</f>
        <v>99</v>
      </c>
      <c r="M10" s="98"/>
      <c r="N10" s="98"/>
    </row>
    <row r="11" spans="1:28" x14ac:dyDescent="0.25">
      <c r="A11" s="94" t="s">
        <v>123</v>
      </c>
      <c r="B11" s="93">
        <v>1</v>
      </c>
      <c r="C11" s="93" t="s">
        <v>120</v>
      </c>
      <c r="D11" s="93">
        <v>4</v>
      </c>
      <c r="F11" s="94" t="s">
        <v>123</v>
      </c>
      <c r="G11" s="93">
        <v>0</v>
      </c>
      <c r="H11" s="93"/>
      <c r="I11" s="93"/>
      <c r="K11" s="94" t="s">
        <v>130</v>
      </c>
      <c r="L11" s="94">
        <v>13</v>
      </c>
      <c r="M11" s="96"/>
      <c r="N11" s="96"/>
    </row>
    <row r="12" spans="1:28" x14ac:dyDescent="0.25">
      <c r="A12" s="94" t="s">
        <v>122</v>
      </c>
      <c r="B12" s="93">
        <v>0</v>
      </c>
      <c r="C12" s="93"/>
      <c r="D12" s="93"/>
      <c r="F12" s="94" t="s">
        <v>122</v>
      </c>
      <c r="G12" s="93">
        <v>0</v>
      </c>
      <c r="H12" s="93"/>
      <c r="I12" s="93"/>
      <c r="K12" s="97" t="s">
        <v>129</v>
      </c>
      <c r="L12" s="94">
        <f>(L11*0.01)+0.65</f>
        <v>0.78</v>
      </c>
      <c r="M12" s="96"/>
      <c r="N12" s="96"/>
    </row>
    <row r="13" spans="1:28" x14ac:dyDescent="0.25">
      <c r="A13" s="94" t="s">
        <v>121</v>
      </c>
      <c r="B13" s="93">
        <v>1</v>
      </c>
      <c r="C13" s="93" t="s">
        <v>120</v>
      </c>
      <c r="D13" s="93">
        <v>4</v>
      </c>
      <c r="F13" s="94" t="s">
        <v>121</v>
      </c>
      <c r="G13" s="93">
        <v>1</v>
      </c>
      <c r="H13" s="93" t="s">
        <v>125</v>
      </c>
      <c r="I13" s="93">
        <v>3</v>
      </c>
      <c r="K13" s="97" t="s">
        <v>128</v>
      </c>
      <c r="L13" s="94">
        <f xml:space="preserve"> L10 * L12</f>
        <v>77.22</v>
      </c>
      <c r="M13" s="96"/>
      <c r="N13" s="96"/>
    </row>
    <row r="15" spans="1:28" x14ac:dyDescent="0.25">
      <c r="A15" s="128" t="s">
        <v>127</v>
      </c>
      <c r="B15" s="128"/>
      <c r="C15" s="128"/>
      <c r="D15" s="128"/>
      <c r="F15" s="128" t="s">
        <v>126</v>
      </c>
      <c r="G15" s="128"/>
      <c r="H15" s="128"/>
      <c r="I15" s="128"/>
      <c r="N15" s="95"/>
      <c r="O15" s="95"/>
    </row>
    <row r="16" spans="1:28" x14ac:dyDescent="0.25">
      <c r="A16" s="94" t="s">
        <v>123</v>
      </c>
      <c r="B16" s="93">
        <v>0</v>
      </c>
      <c r="C16" s="93"/>
      <c r="D16" s="93"/>
      <c r="F16" s="94" t="s">
        <v>123</v>
      </c>
      <c r="G16" s="93">
        <v>1</v>
      </c>
      <c r="H16" s="93" t="s">
        <v>135</v>
      </c>
      <c r="I16" s="93">
        <v>6</v>
      </c>
      <c r="N16" s="95"/>
      <c r="O16" s="95"/>
    </row>
    <row r="17" spans="1:9" x14ac:dyDescent="0.25">
      <c r="A17" s="94" t="s">
        <v>122</v>
      </c>
      <c r="B17" s="93">
        <v>0</v>
      </c>
      <c r="C17" s="93"/>
      <c r="D17" s="93"/>
      <c r="F17" s="94" t="s">
        <v>122</v>
      </c>
      <c r="G17" s="93">
        <v>0</v>
      </c>
      <c r="H17" s="93"/>
      <c r="I17" s="93"/>
    </row>
    <row r="18" spans="1:9" x14ac:dyDescent="0.25">
      <c r="A18" s="94" t="s">
        <v>121</v>
      </c>
      <c r="B18" s="93">
        <v>1</v>
      </c>
      <c r="C18" s="93" t="s">
        <v>125</v>
      </c>
      <c r="D18" s="93">
        <v>3</v>
      </c>
      <c r="F18" s="94" t="s">
        <v>121</v>
      </c>
      <c r="G18" s="93">
        <v>1</v>
      </c>
      <c r="H18" s="93" t="s">
        <v>120</v>
      </c>
      <c r="I18" s="93">
        <v>4</v>
      </c>
    </row>
    <row r="20" spans="1:9" x14ac:dyDescent="0.25">
      <c r="A20" s="128" t="s">
        <v>124</v>
      </c>
      <c r="B20" s="128"/>
      <c r="C20" s="128"/>
      <c r="D20" s="128"/>
    </row>
    <row r="21" spans="1:9" x14ac:dyDescent="0.25">
      <c r="A21" s="94" t="s">
        <v>123</v>
      </c>
      <c r="B21" s="93">
        <v>1</v>
      </c>
      <c r="C21" s="93" t="s">
        <v>120</v>
      </c>
      <c r="D21" s="93">
        <v>4</v>
      </c>
    </row>
    <row r="22" spans="1:9" x14ac:dyDescent="0.25">
      <c r="A22" s="94" t="s">
        <v>122</v>
      </c>
      <c r="B22" s="93">
        <v>0</v>
      </c>
      <c r="C22" s="93"/>
      <c r="D22" s="93"/>
    </row>
    <row r="23" spans="1:9" x14ac:dyDescent="0.25">
      <c r="A23" s="94" t="s">
        <v>121</v>
      </c>
      <c r="B23" s="93">
        <v>1</v>
      </c>
      <c r="C23" s="93" t="s">
        <v>120</v>
      </c>
      <c r="D23" s="93">
        <v>4</v>
      </c>
    </row>
  </sheetData>
  <mergeCells count="9">
    <mergeCell ref="A20:D20"/>
    <mergeCell ref="F15:I15"/>
    <mergeCell ref="F2:N2"/>
    <mergeCell ref="F3:N3"/>
    <mergeCell ref="F10:I10"/>
    <mergeCell ref="F5:I5"/>
    <mergeCell ref="A15:D15"/>
    <mergeCell ref="A10:D10"/>
    <mergeCell ref="A5:D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1" sqref="B21"/>
    </sheetView>
  </sheetViews>
  <sheetFormatPr defaultRowHeight="15" x14ac:dyDescent="0.25"/>
  <cols>
    <col min="1" max="1" width="23.28515625" customWidth="1"/>
    <col min="2" max="2" width="48.140625" customWidth="1"/>
    <col min="3" max="3" width="35.7109375" customWidth="1"/>
  </cols>
  <sheetData>
    <row r="1" spans="1:3" x14ac:dyDescent="0.25">
      <c r="A1" s="100" t="s">
        <v>47</v>
      </c>
      <c r="B1" s="100"/>
      <c r="C1" s="100"/>
    </row>
    <row r="2" spans="1:3" ht="25.5" x14ac:dyDescent="0.25">
      <c r="A2" s="101" t="s">
        <v>100</v>
      </c>
      <c r="B2" s="101"/>
      <c r="C2" s="101"/>
    </row>
    <row r="3" spans="1:3" x14ac:dyDescent="0.25">
      <c r="A3" s="16" t="s">
        <v>51</v>
      </c>
      <c r="B3" s="16" t="s">
        <v>52</v>
      </c>
      <c r="C3" s="16" t="s">
        <v>53</v>
      </c>
    </row>
    <row r="4" spans="1:3" x14ac:dyDescent="0.25">
      <c r="A4" s="22" t="s">
        <v>48</v>
      </c>
      <c r="B4" s="22" t="s">
        <v>101</v>
      </c>
      <c r="C4" s="89" t="s">
        <v>115</v>
      </c>
    </row>
    <row r="5" spans="1:3" x14ac:dyDescent="0.25">
      <c r="A5" s="22" t="s">
        <v>49</v>
      </c>
      <c r="B5" s="22" t="s">
        <v>102</v>
      </c>
      <c r="C5" s="89" t="s">
        <v>113</v>
      </c>
    </row>
    <row r="6" spans="1:3" x14ac:dyDescent="0.25">
      <c r="A6" s="22" t="s">
        <v>50</v>
      </c>
      <c r="B6" s="22" t="s">
        <v>103</v>
      </c>
      <c r="C6" s="89" t="s">
        <v>114</v>
      </c>
    </row>
    <row r="7" spans="1:3" x14ac:dyDescent="0.25">
      <c r="A7" s="22"/>
      <c r="B7" s="22"/>
      <c r="C7" s="22"/>
    </row>
    <row r="8" spans="1:3" x14ac:dyDescent="0.25">
      <c r="A8" s="22"/>
      <c r="B8" s="22"/>
      <c r="C8" s="22"/>
    </row>
    <row r="9" spans="1:3" x14ac:dyDescent="0.25">
      <c r="A9" s="22"/>
      <c r="B9" s="22"/>
      <c r="C9" s="22"/>
    </row>
    <row r="10" spans="1:3" x14ac:dyDescent="0.25">
      <c r="A10" s="22"/>
      <c r="B10" s="22"/>
      <c r="C10" s="22"/>
    </row>
    <row r="11" spans="1:3" x14ac:dyDescent="0.25">
      <c r="A11" s="22"/>
      <c r="B11" s="22"/>
      <c r="C11" s="22"/>
    </row>
    <row r="12" spans="1:3" x14ac:dyDescent="0.25">
      <c r="A12" s="22"/>
      <c r="B12" s="22"/>
      <c r="C12" s="22"/>
    </row>
    <row r="13" spans="1:3" x14ac:dyDescent="0.25">
      <c r="A13" s="22"/>
      <c r="B13" s="22"/>
      <c r="C13" s="22"/>
    </row>
    <row r="14" spans="1:3" x14ac:dyDescent="0.25">
      <c r="A14" s="22"/>
      <c r="B14" s="22"/>
      <c r="C14" s="22"/>
    </row>
    <row r="15" spans="1:3" x14ac:dyDescent="0.25">
      <c r="A15" s="22"/>
      <c r="B15" s="22"/>
      <c r="C15" s="22"/>
    </row>
    <row r="16" spans="1:3" x14ac:dyDescent="0.25">
      <c r="A16" s="22"/>
      <c r="B16" s="22"/>
      <c r="C16" s="22"/>
    </row>
    <row r="17" spans="1:3" x14ac:dyDescent="0.25">
      <c r="A17" s="22"/>
      <c r="B17" s="22"/>
      <c r="C17" s="22"/>
    </row>
  </sheetData>
  <mergeCells count="2">
    <mergeCell ref="A1:C1"/>
    <mergeCell ref="A2:C2"/>
  </mergeCells>
  <hyperlinks>
    <hyperlink ref="C5" r:id="rId1"/>
    <hyperlink ref="C6" r:id="rId2"/>
    <hyperlink ref="C4" r:id="rId3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6"/>
  <sheetViews>
    <sheetView workbookViewId="0">
      <selection activeCell="D8" sqref="D8"/>
    </sheetView>
  </sheetViews>
  <sheetFormatPr defaultRowHeight="15" x14ac:dyDescent="0.25"/>
  <cols>
    <col min="1" max="1" width="39.42578125" customWidth="1"/>
    <col min="2" max="2" width="11.42578125" customWidth="1"/>
    <col min="3" max="3" width="44.85546875" bestFit="1" customWidth="1"/>
    <col min="4" max="4" width="16.7109375" style="4" customWidth="1"/>
    <col min="5" max="5" width="11.28515625" bestFit="1" customWidth="1"/>
    <col min="6" max="6" width="9.5703125" customWidth="1"/>
    <col min="7" max="7" width="11.28515625" bestFit="1" customWidth="1"/>
  </cols>
  <sheetData>
    <row r="1" spans="1:6" ht="25.5" x14ac:dyDescent="0.25">
      <c r="A1" s="108" t="s">
        <v>70</v>
      </c>
      <c r="B1" s="109"/>
      <c r="C1" s="109"/>
      <c r="D1" s="109"/>
      <c r="E1" s="109"/>
      <c r="F1" s="109"/>
    </row>
    <row r="2" spans="1:6" ht="15" customHeight="1" x14ac:dyDescent="0.25">
      <c r="A2" s="110" t="s">
        <v>21</v>
      </c>
      <c r="B2" s="111"/>
      <c r="C2" s="111"/>
      <c r="D2" s="111"/>
      <c r="E2" s="111"/>
      <c r="F2" s="111"/>
    </row>
    <row r="3" spans="1:6" ht="15" customHeight="1" x14ac:dyDescent="0.25">
      <c r="A3" s="105" t="s">
        <v>77</v>
      </c>
      <c r="B3" s="106"/>
      <c r="C3" s="107"/>
      <c r="D3" s="41">
        <v>10</v>
      </c>
      <c r="E3" s="60" t="s">
        <v>76</v>
      </c>
      <c r="F3" s="57">
        <f>E56</f>
        <v>450</v>
      </c>
    </row>
    <row r="4" spans="1:6" ht="26.25" x14ac:dyDescent="0.25">
      <c r="A4" s="25" t="s">
        <v>97</v>
      </c>
      <c r="B4" s="25" t="s">
        <v>29</v>
      </c>
      <c r="C4" s="25" t="s">
        <v>99</v>
      </c>
      <c r="D4" s="26" t="s">
        <v>69</v>
      </c>
      <c r="E4" s="26" t="s">
        <v>23</v>
      </c>
      <c r="F4" s="25" t="s">
        <v>61</v>
      </c>
    </row>
    <row r="5" spans="1:6" x14ac:dyDescent="0.25">
      <c r="A5" s="21" t="s">
        <v>98</v>
      </c>
      <c r="B5" s="21"/>
      <c r="C5" s="22" t="s">
        <v>110</v>
      </c>
      <c r="D5" s="18">
        <v>10</v>
      </c>
      <c r="E5" s="11">
        <f>D5*$D$3</f>
        <v>100</v>
      </c>
      <c r="F5" s="22"/>
    </row>
    <row r="6" spans="1:6" x14ac:dyDescent="0.25">
      <c r="A6" s="21" t="s">
        <v>104</v>
      </c>
      <c r="B6" s="21"/>
      <c r="C6" s="22" t="s">
        <v>111</v>
      </c>
      <c r="D6" s="18">
        <v>8</v>
      </c>
      <c r="E6" s="11">
        <f t="shared" ref="E6:E55" si="0">D6*$D$3</f>
        <v>80</v>
      </c>
      <c r="F6" s="22"/>
    </row>
    <row r="7" spans="1:6" x14ac:dyDescent="0.25">
      <c r="A7" s="22" t="s">
        <v>105</v>
      </c>
      <c r="B7" s="21"/>
      <c r="C7" s="22" t="s">
        <v>112</v>
      </c>
      <c r="D7" s="18">
        <v>3</v>
      </c>
      <c r="E7" s="11">
        <f t="shared" si="0"/>
        <v>30</v>
      </c>
      <c r="F7" s="22"/>
    </row>
    <row r="8" spans="1:6" x14ac:dyDescent="0.25">
      <c r="A8" s="22" t="s">
        <v>106</v>
      </c>
      <c r="B8" s="21"/>
      <c r="C8" s="22" t="s">
        <v>116</v>
      </c>
      <c r="D8" s="18">
        <v>8</v>
      </c>
      <c r="E8" s="11">
        <f t="shared" si="0"/>
        <v>80</v>
      </c>
      <c r="F8" s="22"/>
    </row>
    <row r="9" spans="1:6" x14ac:dyDescent="0.25">
      <c r="A9" s="22" t="s">
        <v>107</v>
      </c>
      <c r="B9" s="21"/>
      <c r="C9" s="22" t="s">
        <v>117</v>
      </c>
      <c r="D9" s="18">
        <v>3</v>
      </c>
      <c r="E9" s="11">
        <f t="shared" si="0"/>
        <v>30</v>
      </c>
      <c r="F9" s="22"/>
    </row>
    <row r="10" spans="1:6" x14ac:dyDescent="0.25">
      <c r="A10" s="22" t="s">
        <v>108</v>
      </c>
      <c r="B10" s="21"/>
      <c r="C10" s="22" t="s">
        <v>118</v>
      </c>
      <c r="D10" s="18">
        <v>3</v>
      </c>
      <c r="E10" s="11">
        <f t="shared" si="0"/>
        <v>30</v>
      </c>
      <c r="F10" s="22"/>
    </row>
    <row r="11" spans="1:6" x14ac:dyDescent="0.25">
      <c r="A11" s="22" t="s">
        <v>109</v>
      </c>
      <c r="B11" s="22"/>
      <c r="C11" s="22" t="s">
        <v>119</v>
      </c>
      <c r="D11" s="99">
        <v>10</v>
      </c>
      <c r="E11" s="11">
        <f t="shared" si="0"/>
        <v>100</v>
      </c>
      <c r="F11" s="22"/>
    </row>
    <row r="12" spans="1:6" x14ac:dyDescent="0.25">
      <c r="A12" s="22"/>
      <c r="B12" s="22"/>
      <c r="C12" s="22"/>
      <c r="D12" s="99"/>
      <c r="E12" s="11">
        <f t="shared" si="0"/>
        <v>0</v>
      </c>
      <c r="F12" s="22"/>
    </row>
    <row r="13" spans="1:6" x14ac:dyDescent="0.25">
      <c r="A13" s="22"/>
      <c r="B13" s="22"/>
      <c r="C13" s="22"/>
      <c r="D13" s="99"/>
      <c r="E13" s="11">
        <f t="shared" si="0"/>
        <v>0</v>
      </c>
      <c r="F13" s="22"/>
    </row>
    <row r="14" spans="1:6" x14ac:dyDescent="0.25">
      <c r="A14" s="21"/>
      <c r="B14" s="21"/>
      <c r="C14" s="21"/>
      <c r="D14" s="18"/>
      <c r="E14" s="11">
        <f t="shared" si="0"/>
        <v>0</v>
      </c>
      <c r="F14" s="22"/>
    </row>
    <row r="15" spans="1:6" x14ac:dyDescent="0.25">
      <c r="A15" s="22"/>
      <c r="B15" s="21"/>
      <c r="C15" s="22"/>
      <c r="D15" s="18"/>
      <c r="E15" s="11">
        <f t="shared" si="0"/>
        <v>0</v>
      </c>
      <c r="F15" s="22"/>
    </row>
    <row r="16" spans="1:6" x14ac:dyDescent="0.25">
      <c r="A16" s="22"/>
      <c r="B16" s="21"/>
      <c r="C16" s="22"/>
      <c r="D16" s="18"/>
      <c r="E16" s="11">
        <f t="shared" si="0"/>
        <v>0</v>
      </c>
      <c r="F16" s="22"/>
    </row>
    <row r="17" spans="1:6" x14ac:dyDescent="0.25">
      <c r="A17" s="22"/>
      <c r="B17" s="21"/>
      <c r="C17" s="22"/>
      <c r="D17" s="18"/>
      <c r="E17" s="11">
        <f t="shared" si="0"/>
        <v>0</v>
      </c>
      <c r="F17" s="22"/>
    </row>
    <row r="18" spans="1:6" x14ac:dyDescent="0.25">
      <c r="A18" s="22"/>
      <c r="B18" s="21"/>
      <c r="C18" s="22"/>
      <c r="D18" s="18"/>
      <c r="E18" s="11">
        <f t="shared" si="0"/>
        <v>0</v>
      </c>
      <c r="F18" s="22"/>
    </row>
    <row r="19" spans="1:6" x14ac:dyDescent="0.25">
      <c r="A19" s="22"/>
      <c r="B19" s="21"/>
      <c r="C19" s="22"/>
      <c r="D19" s="18"/>
      <c r="E19" s="11">
        <f t="shared" si="0"/>
        <v>0</v>
      </c>
      <c r="F19" s="22"/>
    </row>
    <row r="20" spans="1:6" x14ac:dyDescent="0.25">
      <c r="A20" s="22"/>
      <c r="B20" s="21"/>
      <c r="C20" s="22"/>
      <c r="D20" s="18"/>
      <c r="E20" s="11">
        <f t="shared" si="0"/>
        <v>0</v>
      </c>
      <c r="F20" s="22"/>
    </row>
    <row r="21" spans="1:6" x14ac:dyDescent="0.25">
      <c r="A21" s="22"/>
      <c r="B21" s="21"/>
      <c r="C21" s="22"/>
      <c r="D21" s="18"/>
      <c r="E21" s="11">
        <f t="shared" si="0"/>
        <v>0</v>
      </c>
      <c r="F21" s="22"/>
    </row>
    <row r="22" spans="1:6" x14ac:dyDescent="0.25">
      <c r="A22" s="22"/>
      <c r="B22" s="21"/>
      <c r="C22" s="22"/>
      <c r="D22" s="18"/>
      <c r="E22" s="11">
        <f t="shared" si="0"/>
        <v>0</v>
      </c>
      <c r="F22" s="22"/>
    </row>
    <row r="23" spans="1:6" x14ac:dyDescent="0.25">
      <c r="A23" s="22"/>
      <c r="B23" s="21"/>
      <c r="C23" s="22"/>
      <c r="D23" s="18"/>
      <c r="E23" s="11">
        <f t="shared" si="0"/>
        <v>0</v>
      </c>
      <c r="F23" s="22"/>
    </row>
    <row r="24" spans="1:6" x14ac:dyDescent="0.25">
      <c r="A24" s="22"/>
      <c r="B24" s="21"/>
      <c r="C24" s="22"/>
      <c r="D24" s="18"/>
      <c r="E24" s="11">
        <f t="shared" si="0"/>
        <v>0</v>
      </c>
      <c r="F24" s="22"/>
    </row>
    <row r="25" spans="1:6" x14ac:dyDescent="0.25">
      <c r="A25" s="22"/>
      <c r="B25" s="21"/>
      <c r="C25" s="22"/>
      <c r="D25" s="18"/>
      <c r="E25" s="11">
        <f t="shared" si="0"/>
        <v>0</v>
      </c>
      <c r="F25" s="22"/>
    </row>
    <row r="26" spans="1:6" x14ac:dyDescent="0.25">
      <c r="A26" s="22"/>
      <c r="B26" s="21"/>
      <c r="C26" s="22"/>
      <c r="D26" s="18"/>
      <c r="E26" s="11">
        <f t="shared" si="0"/>
        <v>0</v>
      </c>
      <c r="F26" s="22"/>
    </row>
    <row r="27" spans="1:6" x14ac:dyDescent="0.25">
      <c r="A27" s="22"/>
      <c r="B27" s="21"/>
      <c r="C27" s="22"/>
      <c r="D27" s="18"/>
      <c r="E27" s="11">
        <f t="shared" si="0"/>
        <v>0</v>
      </c>
      <c r="F27" s="22"/>
    </row>
    <row r="28" spans="1:6" x14ac:dyDescent="0.25">
      <c r="A28" s="22"/>
      <c r="B28" s="21"/>
      <c r="C28" s="22"/>
      <c r="D28" s="18"/>
      <c r="E28" s="11">
        <f t="shared" si="0"/>
        <v>0</v>
      </c>
      <c r="F28" s="22"/>
    </row>
    <row r="29" spans="1:6" x14ac:dyDescent="0.25">
      <c r="A29" s="22"/>
      <c r="B29" s="21"/>
      <c r="C29" s="22"/>
      <c r="D29" s="18"/>
      <c r="E29" s="11">
        <f t="shared" si="0"/>
        <v>0</v>
      </c>
      <c r="F29" s="22"/>
    </row>
    <row r="30" spans="1:6" x14ac:dyDescent="0.25">
      <c r="A30" s="22"/>
      <c r="B30" s="21"/>
      <c r="C30" s="22"/>
      <c r="D30" s="18"/>
      <c r="E30" s="11">
        <f t="shared" si="0"/>
        <v>0</v>
      </c>
      <c r="F30" s="22"/>
    </row>
    <row r="31" spans="1:6" x14ac:dyDescent="0.25">
      <c r="A31" s="22"/>
      <c r="B31" s="21"/>
      <c r="C31" s="22"/>
      <c r="D31" s="18"/>
      <c r="E31" s="11">
        <f t="shared" si="0"/>
        <v>0</v>
      </c>
      <c r="F31" s="22"/>
    </row>
    <row r="32" spans="1:6" x14ac:dyDescent="0.25">
      <c r="A32" s="22"/>
      <c r="B32" s="21"/>
      <c r="C32" s="22"/>
      <c r="D32" s="18"/>
      <c r="E32" s="11">
        <f t="shared" si="0"/>
        <v>0</v>
      </c>
      <c r="F32" s="22"/>
    </row>
    <row r="33" spans="1:6" x14ac:dyDescent="0.25">
      <c r="A33" s="22"/>
      <c r="B33" s="21"/>
      <c r="C33" s="22"/>
      <c r="D33" s="18"/>
      <c r="E33" s="11">
        <f t="shared" si="0"/>
        <v>0</v>
      </c>
      <c r="F33" s="22"/>
    </row>
    <row r="34" spans="1:6" x14ac:dyDescent="0.25">
      <c r="A34" s="22"/>
      <c r="B34" s="21"/>
      <c r="C34" s="22"/>
      <c r="D34" s="18"/>
      <c r="E34" s="11">
        <f t="shared" si="0"/>
        <v>0</v>
      </c>
      <c r="F34" s="22"/>
    </row>
    <row r="35" spans="1:6" x14ac:dyDescent="0.25">
      <c r="A35" s="22"/>
      <c r="B35" s="21"/>
      <c r="C35" s="22"/>
      <c r="D35" s="18"/>
      <c r="E35" s="11">
        <f t="shared" si="0"/>
        <v>0</v>
      </c>
      <c r="F35" s="22"/>
    </row>
    <row r="36" spans="1:6" x14ac:dyDescent="0.25">
      <c r="A36" s="22"/>
      <c r="B36" s="21"/>
      <c r="C36" s="22"/>
      <c r="D36" s="18"/>
      <c r="E36" s="11">
        <f t="shared" si="0"/>
        <v>0</v>
      </c>
      <c r="F36" s="22"/>
    </row>
    <row r="37" spans="1:6" x14ac:dyDescent="0.25">
      <c r="A37" s="22"/>
      <c r="B37" s="21"/>
      <c r="C37" s="22"/>
      <c r="D37" s="18"/>
      <c r="E37" s="11">
        <f t="shared" si="0"/>
        <v>0</v>
      </c>
      <c r="F37" s="22"/>
    </row>
    <row r="38" spans="1:6" x14ac:dyDescent="0.25">
      <c r="A38" s="22"/>
      <c r="B38" s="21"/>
      <c r="C38" s="22"/>
      <c r="D38" s="18"/>
      <c r="E38" s="11">
        <f t="shared" si="0"/>
        <v>0</v>
      </c>
      <c r="F38" s="22"/>
    </row>
    <row r="39" spans="1:6" x14ac:dyDescent="0.25">
      <c r="A39" s="22"/>
      <c r="B39" s="21"/>
      <c r="C39" s="22"/>
      <c r="D39" s="18"/>
      <c r="E39" s="11">
        <f t="shared" si="0"/>
        <v>0</v>
      </c>
      <c r="F39" s="22"/>
    </row>
    <row r="40" spans="1:6" x14ac:dyDescent="0.25">
      <c r="A40" s="22"/>
      <c r="B40" s="21"/>
      <c r="C40" s="22"/>
      <c r="D40" s="18"/>
      <c r="E40" s="11">
        <f t="shared" si="0"/>
        <v>0</v>
      </c>
      <c r="F40" s="22"/>
    </row>
    <row r="41" spans="1:6" x14ac:dyDescent="0.25">
      <c r="A41" s="22"/>
      <c r="B41" s="21"/>
      <c r="C41" s="22"/>
      <c r="D41" s="18"/>
      <c r="E41" s="11">
        <f t="shared" si="0"/>
        <v>0</v>
      </c>
      <c r="F41" s="22"/>
    </row>
    <row r="42" spans="1:6" x14ac:dyDescent="0.25">
      <c r="A42" s="22"/>
      <c r="B42" s="21"/>
      <c r="C42" s="22"/>
      <c r="D42" s="18"/>
      <c r="E42" s="11">
        <f t="shared" si="0"/>
        <v>0</v>
      </c>
      <c r="F42" s="22"/>
    </row>
    <row r="43" spans="1:6" x14ac:dyDescent="0.25">
      <c r="A43" s="22"/>
      <c r="B43" s="21"/>
      <c r="C43" s="22"/>
      <c r="D43" s="18"/>
      <c r="E43" s="11">
        <f t="shared" si="0"/>
        <v>0</v>
      </c>
      <c r="F43" s="22"/>
    </row>
    <row r="44" spans="1:6" x14ac:dyDescent="0.25">
      <c r="A44" s="22"/>
      <c r="B44" s="21"/>
      <c r="C44" s="22"/>
      <c r="D44" s="18"/>
      <c r="E44" s="11">
        <f t="shared" si="0"/>
        <v>0</v>
      </c>
      <c r="F44" s="22"/>
    </row>
    <row r="45" spans="1:6" x14ac:dyDescent="0.25">
      <c r="A45" s="22"/>
      <c r="B45" s="21"/>
      <c r="C45" s="22"/>
      <c r="D45" s="18"/>
      <c r="E45" s="11">
        <f t="shared" si="0"/>
        <v>0</v>
      </c>
      <c r="F45" s="22"/>
    </row>
    <row r="46" spans="1:6" x14ac:dyDescent="0.25">
      <c r="A46" s="22"/>
      <c r="B46" s="21"/>
      <c r="C46" s="22"/>
      <c r="D46" s="18"/>
      <c r="E46" s="11">
        <f t="shared" si="0"/>
        <v>0</v>
      </c>
      <c r="F46" s="22"/>
    </row>
    <row r="47" spans="1:6" x14ac:dyDescent="0.25">
      <c r="A47" s="22"/>
      <c r="B47" s="21"/>
      <c r="C47" s="22"/>
      <c r="D47" s="18"/>
      <c r="E47" s="11">
        <f t="shared" si="0"/>
        <v>0</v>
      </c>
      <c r="F47" s="22"/>
    </row>
    <row r="48" spans="1:6" x14ac:dyDescent="0.25">
      <c r="A48" s="22"/>
      <c r="B48" s="21"/>
      <c r="C48" s="22"/>
      <c r="D48" s="18"/>
      <c r="E48" s="11">
        <f t="shared" si="0"/>
        <v>0</v>
      </c>
      <c r="F48" s="22"/>
    </row>
    <row r="49" spans="1:6" x14ac:dyDescent="0.25">
      <c r="A49" s="22"/>
      <c r="B49" s="21"/>
      <c r="C49" s="22"/>
      <c r="D49" s="18"/>
      <c r="E49" s="11">
        <f t="shared" si="0"/>
        <v>0</v>
      </c>
      <c r="F49" s="22"/>
    </row>
    <row r="50" spans="1:6" x14ac:dyDescent="0.25">
      <c r="A50" s="22"/>
      <c r="B50" s="21"/>
      <c r="C50" s="22"/>
      <c r="D50" s="18"/>
      <c r="E50" s="11">
        <f t="shared" si="0"/>
        <v>0</v>
      </c>
      <c r="F50" s="22"/>
    </row>
    <row r="51" spans="1:6" x14ac:dyDescent="0.25">
      <c r="A51" s="22"/>
      <c r="B51" s="21"/>
      <c r="C51" s="22"/>
      <c r="D51" s="18"/>
      <c r="E51" s="11">
        <f t="shared" si="0"/>
        <v>0</v>
      </c>
      <c r="F51" s="22"/>
    </row>
    <row r="52" spans="1:6" x14ac:dyDescent="0.25">
      <c r="A52" s="22"/>
      <c r="B52" s="21"/>
      <c r="C52" s="22"/>
      <c r="D52" s="18"/>
      <c r="E52" s="11">
        <f t="shared" si="0"/>
        <v>0</v>
      </c>
      <c r="F52" s="22"/>
    </row>
    <row r="53" spans="1:6" x14ac:dyDescent="0.25">
      <c r="A53" s="22"/>
      <c r="B53" s="21"/>
      <c r="C53" s="22"/>
      <c r="D53" s="18"/>
      <c r="E53" s="11">
        <f t="shared" si="0"/>
        <v>0</v>
      </c>
      <c r="F53" s="22"/>
    </row>
    <row r="54" spans="1:6" x14ac:dyDescent="0.25">
      <c r="A54" s="22"/>
      <c r="B54" s="21"/>
      <c r="C54" s="22"/>
      <c r="D54" s="18"/>
      <c r="E54" s="11">
        <f t="shared" si="0"/>
        <v>0</v>
      </c>
      <c r="F54" s="22"/>
    </row>
    <row r="55" spans="1:6" x14ac:dyDescent="0.25">
      <c r="A55" s="22"/>
      <c r="B55" s="21"/>
      <c r="C55" s="22"/>
      <c r="D55" s="18"/>
      <c r="E55" s="11">
        <f t="shared" si="0"/>
        <v>0</v>
      </c>
      <c r="F55" s="22"/>
    </row>
    <row r="56" spans="1:6" x14ac:dyDescent="0.25">
      <c r="A56" s="102" t="s">
        <v>22</v>
      </c>
      <c r="B56" s="103"/>
      <c r="C56" s="104"/>
      <c r="D56" s="27">
        <f>SUM(D5:D55)</f>
        <v>45</v>
      </c>
      <c r="E56" s="27">
        <f>SUM(E5:E55)</f>
        <v>450</v>
      </c>
      <c r="F56" s="31"/>
    </row>
  </sheetData>
  <mergeCells count="4">
    <mergeCell ref="A56:C56"/>
    <mergeCell ref="A3:C3"/>
    <mergeCell ref="A1:F1"/>
    <mergeCell ref="A2:F2"/>
  </mergeCells>
  <dataValidations count="2">
    <dataValidation type="list" allowBlank="1" showInputMessage="1" showErrorMessage="1" sqref="F5:F55">
      <formula1>"Concluído,Iniciado,Não Iniciado"</formula1>
    </dataValidation>
    <dataValidation type="list" allowBlank="1" showInputMessage="1" showErrorMessage="1" sqref="B16:B55 B5:B11">
      <formula1>"Mandatório,Linear,Indiferente,Reverso,Questionável"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workbookViewId="0">
      <selection activeCell="E21" sqref="E21"/>
    </sheetView>
  </sheetViews>
  <sheetFormatPr defaultRowHeight="15" x14ac:dyDescent="0.25"/>
  <cols>
    <col min="1" max="1" width="46" bestFit="1" customWidth="1"/>
    <col min="2" max="2" width="15.42578125" style="4" customWidth="1"/>
    <col min="3" max="3" width="13.7109375" bestFit="1" customWidth="1"/>
    <col min="4" max="4" width="1.140625" customWidth="1"/>
    <col min="5" max="5" width="27.5703125" bestFit="1" customWidth="1"/>
    <col min="6" max="6" width="9.140625" customWidth="1"/>
    <col min="7" max="7" width="7.5703125" bestFit="1" customWidth="1"/>
    <col min="8" max="8" width="9.7109375" customWidth="1"/>
    <col min="9" max="9" width="7.5703125" bestFit="1" customWidth="1"/>
    <col min="10" max="10" width="9.7109375" bestFit="1" customWidth="1"/>
    <col min="11" max="11" width="7.5703125" bestFit="1" customWidth="1"/>
    <col min="12" max="12" width="8.140625" bestFit="1" customWidth="1"/>
    <col min="13" max="13" width="7.5703125" bestFit="1" customWidth="1"/>
    <col min="14" max="14" width="13.42578125" customWidth="1"/>
  </cols>
  <sheetData>
    <row r="1" spans="1:14" ht="18.75" x14ac:dyDescent="0.3">
      <c r="A1" s="115" t="s">
        <v>65</v>
      </c>
      <c r="B1" s="115"/>
      <c r="C1" s="115"/>
      <c r="E1" s="114" t="s">
        <v>92</v>
      </c>
      <c r="F1" s="114"/>
      <c r="G1" s="114"/>
      <c r="H1" s="114"/>
      <c r="I1" s="114"/>
      <c r="J1" s="114"/>
      <c r="K1" s="114"/>
      <c r="L1" s="114"/>
      <c r="M1" s="114"/>
    </row>
    <row r="2" spans="1:14" x14ac:dyDescent="0.25">
      <c r="A2" s="12" t="s">
        <v>95</v>
      </c>
      <c r="B2" s="11">
        <f>'Backlog Produto'!F3</f>
        <v>450</v>
      </c>
      <c r="C2" s="10" t="s">
        <v>13</v>
      </c>
      <c r="E2" s="116" t="s">
        <v>11</v>
      </c>
      <c r="F2" s="117" t="s">
        <v>0</v>
      </c>
      <c r="G2" s="117"/>
      <c r="H2" s="117" t="s">
        <v>1</v>
      </c>
      <c r="I2" s="117"/>
      <c r="J2" s="117" t="s">
        <v>2</v>
      </c>
      <c r="K2" s="117"/>
      <c r="L2" s="117" t="s">
        <v>3</v>
      </c>
      <c r="M2" s="117"/>
    </row>
    <row r="3" spans="1:14" x14ac:dyDescent="0.25">
      <c r="A3" s="86" t="s">
        <v>93</v>
      </c>
      <c r="B3" s="34">
        <v>0.1</v>
      </c>
      <c r="C3" s="2" t="s">
        <v>63</v>
      </c>
      <c r="E3" s="116"/>
      <c r="F3" s="117" t="s">
        <v>12</v>
      </c>
      <c r="G3" s="117"/>
      <c r="H3" s="117" t="s">
        <v>12</v>
      </c>
      <c r="I3" s="117"/>
      <c r="J3" s="117" t="s">
        <v>12</v>
      </c>
      <c r="K3" s="117"/>
      <c r="L3" s="117" t="s">
        <v>12</v>
      </c>
      <c r="M3" s="117"/>
    </row>
    <row r="4" spans="1:14" x14ac:dyDescent="0.25">
      <c r="A4" s="85" t="s">
        <v>94</v>
      </c>
      <c r="B4" s="88">
        <f>B2+(B2*B3)</f>
        <v>495</v>
      </c>
      <c r="C4" s="2" t="s">
        <v>13</v>
      </c>
      <c r="E4" s="116"/>
      <c r="F4" s="3">
        <f>B4*G4</f>
        <v>24.75</v>
      </c>
      <c r="G4" s="20">
        <v>0.05</v>
      </c>
      <c r="H4" s="3">
        <f>B2*I4</f>
        <v>90</v>
      </c>
      <c r="I4" s="20">
        <v>0.2</v>
      </c>
      <c r="J4" s="3">
        <f>B2*K4</f>
        <v>292.5</v>
      </c>
      <c r="K4" s="20">
        <v>0.65</v>
      </c>
      <c r="L4" s="3">
        <f>B2*M4</f>
        <v>45</v>
      </c>
      <c r="M4" s="20">
        <v>0.1</v>
      </c>
    </row>
    <row r="5" spans="1:14" x14ac:dyDescent="0.25">
      <c r="A5" s="10" t="s">
        <v>30</v>
      </c>
      <c r="B5" s="18">
        <v>1</v>
      </c>
      <c r="C5" s="10"/>
      <c r="E5" s="5" t="s">
        <v>4</v>
      </c>
      <c r="F5" s="9">
        <f>F4*G5</f>
        <v>13.612500000000001</v>
      </c>
      <c r="G5" s="20">
        <v>0.55000000000000004</v>
      </c>
      <c r="H5" s="9">
        <f>H4*I5</f>
        <v>27</v>
      </c>
      <c r="I5" s="20">
        <v>0.3</v>
      </c>
      <c r="J5" s="9">
        <f>J4*K5</f>
        <v>35.1</v>
      </c>
      <c r="K5" s="20">
        <v>0.12</v>
      </c>
      <c r="L5" s="9">
        <f>L4*M5</f>
        <v>2.25</v>
      </c>
      <c r="M5" s="20">
        <v>0.05</v>
      </c>
    </row>
    <row r="6" spans="1:14" x14ac:dyDescent="0.25">
      <c r="A6" s="10" t="s">
        <v>66</v>
      </c>
      <c r="B6" s="18">
        <v>16</v>
      </c>
      <c r="C6" s="10" t="s">
        <v>33</v>
      </c>
      <c r="E6" s="5" t="s">
        <v>5</v>
      </c>
      <c r="F6" s="9">
        <f>F4*G6</f>
        <v>3.7124999999999999</v>
      </c>
      <c r="G6" s="20">
        <v>0.15</v>
      </c>
      <c r="H6" s="9">
        <f>H4*I6</f>
        <v>18</v>
      </c>
      <c r="I6" s="20">
        <v>0.2</v>
      </c>
      <c r="J6" s="9">
        <f>J4*K6</f>
        <v>29.25</v>
      </c>
      <c r="K6" s="20">
        <v>0.1</v>
      </c>
      <c r="L6" s="9">
        <f>L4*M6</f>
        <v>2.25</v>
      </c>
      <c r="M6" s="20">
        <v>0.05</v>
      </c>
    </row>
    <row r="7" spans="1:14" x14ac:dyDescent="0.25">
      <c r="A7" s="38" t="s">
        <v>67</v>
      </c>
      <c r="B7" s="39">
        <v>2</v>
      </c>
      <c r="C7" s="38" t="s">
        <v>32</v>
      </c>
      <c r="E7" s="5" t="s">
        <v>6</v>
      </c>
      <c r="F7" s="9">
        <f>F4*G7</f>
        <v>0.495</v>
      </c>
      <c r="G7" s="20">
        <v>0.02</v>
      </c>
      <c r="H7" s="9">
        <f>H4*I7</f>
        <v>18</v>
      </c>
      <c r="I7" s="20">
        <v>0.2</v>
      </c>
      <c r="J7" s="9">
        <f>J4*K7</f>
        <v>117</v>
      </c>
      <c r="K7" s="20">
        <v>0.4</v>
      </c>
      <c r="L7" s="9">
        <f>L4*M7</f>
        <v>6.75</v>
      </c>
      <c r="M7" s="20">
        <v>0.15</v>
      </c>
    </row>
    <row r="8" spans="1:14" ht="15.75" x14ac:dyDescent="0.25">
      <c r="A8" s="13" t="s">
        <v>78</v>
      </c>
      <c r="B8" s="14">
        <f>(B5*B6)*B7</f>
        <v>32</v>
      </c>
      <c r="C8" s="13" t="s">
        <v>13</v>
      </c>
      <c r="E8" s="5" t="s">
        <v>7</v>
      </c>
      <c r="F8" s="9">
        <f>F4*G8</f>
        <v>1.2375</v>
      </c>
      <c r="G8" s="20">
        <v>0.05</v>
      </c>
      <c r="H8" s="9">
        <f>H4*I8</f>
        <v>7.2</v>
      </c>
      <c r="I8" s="20">
        <v>0.08</v>
      </c>
      <c r="J8" s="9">
        <f>J4*K8</f>
        <v>29.25</v>
      </c>
      <c r="K8" s="20">
        <v>0.1</v>
      </c>
      <c r="L8" s="9">
        <f>L4*M8</f>
        <v>4.5</v>
      </c>
      <c r="M8" s="20">
        <v>0.1</v>
      </c>
    </row>
    <row r="9" spans="1:14" x14ac:dyDescent="0.25">
      <c r="A9" s="12" t="s">
        <v>31</v>
      </c>
      <c r="B9" s="65">
        <f>B4/B8*2</f>
        <v>30.9375</v>
      </c>
      <c r="C9" s="12" t="s">
        <v>32</v>
      </c>
      <c r="E9" s="5" t="s">
        <v>8</v>
      </c>
      <c r="F9" s="9">
        <f>F4*G9</f>
        <v>0</v>
      </c>
      <c r="G9" s="20">
        <v>0</v>
      </c>
      <c r="H9" s="9">
        <f>H4*I9</f>
        <v>1.8</v>
      </c>
      <c r="I9" s="20">
        <v>0.02</v>
      </c>
      <c r="J9" s="9">
        <f>J4*K9</f>
        <v>14.625</v>
      </c>
      <c r="K9" s="20">
        <v>0.05</v>
      </c>
      <c r="L9" s="9">
        <f>L4*M9</f>
        <v>4.5</v>
      </c>
      <c r="M9" s="20">
        <v>0.1</v>
      </c>
    </row>
    <row r="10" spans="1:14" x14ac:dyDescent="0.25">
      <c r="A10" s="12" t="s">
        <v>64</v>
      </c>
      <c r="B10" s="65">
        <f>B9/4</f>
        <v>7.734375</v>
      </c>
      <c r="C10" s="12" t="s">
        <v>59</v>
      </c>
      <c r="E10" s="82" t="s">
        <v>18</v>
      </c>
      <c r="F10" s="83">
        <f>SUM(F5:F9)</f>
        <v>19.057500000000001</v>
      </c>
      <c r="G10" s="84">
        <f t="shared" ref="G10:M10" si="0">SUM(G5:G9)</f>
        <v>0.77000000000000013</v>
      </c>
      <c r="H10" s="83">
        <f t="shared" si="0"/>
        <v>72</v>
      </c>
      <c r="I10" s="84">
        <f t="shared" si="0"/>
        <v>0.79999999999999993</v>
      </c>
      <c r="J10" s="83">
        <f t="shared" si="0"/>
        <v>225.22499999999999</v>
      </c>
      <c r="K10" s="84">
        <f t="shared" si="0"/>
        <v>0.77</v>
      </c>
      <c r="L10" s="83">
        <f t="shared" si="0"/>
        <v>20.25</v>
      </c>
      <c r="M10" s="84">
        <f t="shared" si="0"/>
        <v>0.44999999999999996</v>
      </c>
    </row>
    <row r="11" spans="1:14" ht="15.75" x14ac:dyDescent="0.25">
      <c r="A11" s="13" t="s">
        <v>68</v>
      </c>
      <c r="B11" s="81">
        <f>B9/B7</f>
        <v>15.46875</v>
      </c>
      <c r="C11" s="13" t="s">
        <v>54</v>
      </c>
      <c r="E11" s="5" t="s">
        <v>9</v>
      </c>
      <c r="F11" s="9">
        <f>F4*G11</f>
        <v>0.74249999999999994</v>
      </c>
      <c r="G11" s="20">
        <v>0.03</v>
      </c>
      <c r="H11" s="9">
        <f>H4*I11</f>
        <v>7.2</v>
      </c>
      <c r="I11" s="20">
        <v>0.08</v>
      </c>
      <c r="J11" s="9">
        <f>J4*K11</f>
        <v>38.024999999999999</v>
      </c>
      <c r="K11" s="20">
        <v>0.13</v>
      </c>
      <c r="L11" s="9">
        <f>L4*M11</f>
        <v>13.5</v>
      </c>
      <c r="M11" s="20">
        <v>0.3</v>
      </c>
    </row>
    <row r="12" spans="1:14" ht="15.75" x14ac:dyDescent="0.25">
      <c r="A12" s="112" t="s">
        <v>14</v>
      </c>
      <c r="B12" s="112"/>
      <c r="C12" s="112"/>
      <c r="E12" s="5" t="s">
        <v>10</v>
      </c>
      <c r="F12" s="9">
        <f>F4*G12</f>
        <v>4.95</v>
      </c>
      <c r="G12" s="20">
        <v>0.2</v>
      </c>
      <c r="H12" s="9">
        <f>H4*I12</f>
        <v>10.799999999999999</v>
      </c>
      <c r="I12" s="20">
        <v>0.12</v>
      </c>
      <c r="J12" s="9">
        <f>J4*K12</f>
        <v>29.25</v>
      </c>
      <c r="K12" s="20">
        <v>0.1</v>
      </c>
      <c r="L12" s="9">
        <f>L4*M12</f>
        <v>11.25</v>
      </c>
      <c r="M12" s="20">
        <v>0.25</v>
      </c>
    </row>
    <row r="13" spans="1:14" x14ac:dyDescent="0.25">
      <c r="A13" s="38" t="s">
        <v>17</v>
      </c>
      <c r="B13" s="19">
        <v>20</v>
      </c>
      <c r="C13" s="2"/>
      <c r="E13" s="82" t="s">
        <v>19</v>
      </c>
      <c r="F13" s="83">
        <f>SUM(F11:F12)</f>
        <v>5.6924999999999999</v>
      </c>
      <c r="G13" s="84">
        <f t="shared" ref="G13:M13" si="1">SUM(G11:G12)</f>
        <v>0.23</v>
      </c>
      <c r="H13" s="83">
        <f t="shared" si="1"/>
        <v>18</v>
      </c>
      <c r="I13" s="84">
        <f t="shared" si="1"/>
        <v>0.2</v>
      </c>
      <c r="J13" s="83">
        <f t="shared" si="1"/>
        <v>67.275000000000006</v>
      </c>
      <c r="K13" s="84">
        <f t="shared" si="1"/>
        <v>0.23</v>
      </c>
      <c r="L13" s="83">
        <f t="shared" si="1"/>
        <v>24.75</v>
      </c>
      <c r="M13" s="84">
        <f t="shared" si="1"/>
        <v>0.55000000000000004</v>
      </c>
    </row>
    <row r="14" spans="1:14" ht="18.75" x14ac:dyDescent="0.3">
      <c r="A14" s="38" t="s">
        <v>15</v>
      </c>
      <c r="B14" s="6">
        <f>B4*B13</f>
        <v>9900</v>
      </c>
      <c r="C14" s="2"/>
      <c r="E14" s="35" t="s">
        <v>20</v>
      </c>
      <c r="F14" s="36">
        <f>F10+F13</f>
        <v>24.75</v>
      </c>
      <c r="G14" s="37">
        <f t="shared" ref="G14:M14" si="2">G10+G13</f>
        <v>1.0000000000000002</v>
      </c>
      <c r="H14" s="36">
        <f t="shared" si="2"/>
        <v>90</v>
      </c>
      <c r="I14" s="37">
        <f t="shared" si="2"/>
        <v>1</v>
      </c>
      <c r="J14" s="36">
        <f t="shared" si="2"/>
        <v>292.5</v>
      </c>
      <c r="K14" s="37">
        <f t="shared" si="2"/>
        <v>1</v>
      </c>
      <c r="L14" s="36">
        <f t="shared" si="2"/>
        <v>45</v>
      </c>
      <c r="M14" s="37">
        <f t="shared" si="2"/>
        <v>1</v>
      </c>
      <c r="N14" s="1"/>
    </row>
    <row r="15" spans="1:14" x14ac:dyDescent="0.25">
      <c r="A15" s="38" t="s">
        <v>24</v>
      </c>
      <c r="B15" s="34">
        <v>0.2</v>
      </c>
      <c r="C15" s="2"/>
      <c r="N15" s="1"/>
    </row>
    <row r="16" spans="1:14" x14ac:dyDescent="0.25">
      <c r="A16" s="38" t="s">
        <v>16</v>
      </c>
      <c r="B16" s="7">
        <f>B14*B15</f>
        <v>1980</v>
      </c>
      <c r="C16" s="2"/>
      <c r="L16" s="1"/>
      <c r="N16" s="1"/>
    </row>
    <row r="17" spans="1:14" x14ac:dyDescent="0.25">
      <c r="A17" s="38" t="s">
        <v>26</v>
      </c>
      <c r="B17" s="8">
        <f>B14+B16</f>
        <v>11880</v>
      </c>
      <c r="C17" s="2"/>
      <c r="N17" s="1"/>
    </row>
    <row r="18" spans="1:14" x14ac:dyDescent="0.25">
      <c r="A18" s="38" t="s">
        <v>25</v>
      </c>
      <c r="B18" s="34">
        <v>0.2</v>
      </c>
      <c r="C18" s="2"/>
      <c r="L18" s="1"/>
      <c r="N18" s="1"/>
    </row>
    <row r="19" spans="1:14" x14ac:dyDescent="0.25">
      <c r="A19" s="38" t="s">
        <v>27</v>
      </c>
      <c r="B19" s="8">
        <f>B17*B18</f>
        <v>2376</v>
      </c>
      <c r="C19" s="2"/>
      <c r="N19" s="1"/>
    </row>
    <row r="20" spans="1:14" ht="15.75" x14ac:dyDescent="0.25">
      <c r="A20" s="32" t="s">
        <v>28</v>
      </c>
      <c r="B20" s="33">
        <f>B17+B19</f>
        <v>14256</v>
      </c>
      <c r="C20" s="2"/>
      <c r="N20" s="1"/>
    </row>
    <row r="21" spans="1:14" ht="18.75" x14ac:dyDescent="0.3">
      <c r="A21" s="112" t="s">
        <v>58</v>
      </c>
      <c r="B21" s="112"/>
      <c r="C21" s="112"/>
      <c r="F21" s="113" t="s">
        <v>18</v>
      </c>
      <c r="G21" s="113"/>
      <c r="H21" s="113"/>
      <c r="I21" s="113"/>
      <c r="J21" s="62">
        <f>F10+H10+J10+L10</f>
        <v>336.53250000000003</v>
      </c>
      <c r="K21" s="63" t="s">
        <v>13</v>
      </c>
    </row>
    <row r="22" spans="1:14" ht="18.75" x14ac:dyDescent="0.3">
      <c r="A22" s="38" t="s">
        <v>56</v>
      </c>
      <c r="B22" s="87">
        <f>2.5*POWER((B4/168), 0.38)</f>
        <v>3.7694020048562975</v>
      </c>
      <c r="C22" s="86" t="s">
        <v>59</v>
      </c>
      <c r="F22" s="64" t="s">
        <v>19</v>
      </c>
      <c r="G22" s="64"/>
      <c r="H22" s="64"/>
      <c r="I22" s="64"/>
      <c r="J22" s="62">
        <f>F13+H13+J13+L13</f>
        <v>115.7175</v>
      </c>
      <c r="K22" s="63" t="s">
        <v>13</v>
      </c>
    </row>
    <row r="23" spans="1:14" ht="18.75" x14ac:dyDescent="0.3">
      <c r="A23" s="38" t="s">
        <v>57</v>
      </c>
      <c r="B23" s="87">
        <f>(B4/168/B22)</f>
        <v>0.78167002819878306</v>
      </c>
      <c r="C23" s="86" t="s">
        <v>60</v>
      </c>
      <c r="F23" s="113" t="s">
        <v>80</v>
      </c>
      <c r="G23" s="113"/>
      <c r="H23" s="113"/>
      <c r="I23" s="113"/>
      <c r="J23" s="62">
        <f>J21+J22</f>
        <v>452.25</v>
      </c>
      <c r="K23" s="63" t="s">
        <v>13</v>
      </c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</sheetData>
  <mergeCells count="15">
    <mergeCell ref="A21:C21"/>
    <mergeCell ref="F21:I21"/>
    <mergeCell ref="F23:I23"/>
    <mergeCell ref="A12:C12"/>
    <mergeCell ref="E1:M1"/>
    <mergeCell ref="A1:C1"/>
    <mergeCell ref="E2:E4"/>
    <mergeCell ref="F2:G2"/>
    <mergeCell ref="H2:I2"/>
    <mergeCell ref="J2:K2"/>
    <mergeCell ref="L2:M2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18" sqref="G18"/>
    </sheetView>
  </sheetViews>
  <sheetFormatPr defaultRowHeight="12" x14ac:dyDescent="0.2"/>
  <cols>
    <col min="1" max="1" width="6.5703125" style="30" customWidth="1"/>
    <col min="2" max="2" width="47.28515625" style="29" bestFit="1" customWidth="1"/>
    <col min="3" max="3" width="12.85546875" style="30" customWidth="1"/>
    <col min="4" max="5" width="14.140625" style="29" customWidth="1"/>
    <col min="6" max="6" width="14" style="30" bestFit="1" customWidth="1"/>
    <col min="7" max="9" width="14" style="29" customWidth="1"/>
    <col min="10" max="10" width="14" style="75" customWidth="1"/>
    <col min="11" max="11" width="15.7109375" style="29" bestFit="1" customWidth="1"/>
    <col min="12" max="16384" width="9.140625" style="29"/>
  </cols>
  <sheetData>
    <row r="1" spans="1:11" ht="21" x14ac:dyDescent="0.35">
      <c r="A1" s="118" t="s">
        <v>82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1" x14ac:dyDescent="0.35">
      <c r="A2" s="121" t="s">
        <v>90</v>
      </c>
      <c r="B2" s="123"/>
      <c r="C2" s="76">
        <f>Planejamento!B7</f>
        <v>2</v>
      </c>
      <c r="D2" s="120" t="s">
        <v>68</v>
      </c>
      <c r="E2" s="120"/>
      <c r="F2" s="77">
        <f>Planejamento!B11</f>
        <v>15.46875</v>
      </c>
      <c r="G2" s="121" t="s">
        <v>91</v>
      </c>
      <c r="H2" s="122"/>
      <c r="I2" s="122"/>
      <c r="J2" s="123"/>
      <c r="K2" s="76">
        <f>Planejamento!$B$4</f>
        <v>495</v>
      </c>
    </row>
    <row r="3" spans="1:11" ht="21" x14ac:dyDescent="0.35">
      <c r="A3" s="67"/>
      <c r="B3" s="68"/>
      <c r="C3" s="124" t="s">
        <v>87</v>
      </c>
      <c r="D3" s="124"/>
      <c r="E3" s="124"/>
      <c r="F3" s="69"/>
      <c r="G3" s="125" t="s">
        <v>86</v>
      </c>
      <c r="H3" s="126"/>
      <c r="I3" s="127"/>
      <c r="J3" s="72"/>
      <c r="K3" s="69"/>
    </row>
    <row r="4" spans="1:11" ht="15" x14ac:dyDescent="0.25">
      <c r="A4" s="44" t="s">
        <v>55</v>
      </c>
      <c r="B4" s="44" t="s">
        <v>62</v>
      </c>
      <c r="C4" s="44" t="s">
        <v>72</v>
      </c>
      <c r="D4" s="44" t="s">
        <v>71</v>
      </c>
      <c r="E4" s="44" t="s">
        <v>12</v>
      </c>
      <c r="F4" s="44" t="s">
        <v>61</v>
      </c>
      <c r="G4" s="44" t="s">
        <v>72</v>
      </c>
      <c r="H4" s="44" t="s">
        <v>85</v>
      </c>
      <c r="I4" s="44" t="s">
        <v>12</v>
      </c>
      <c r="J4" s="73" t="s">
        <v>88</v>
      </c>
      <c r="K4" s="44" t="s">
        <v>83</v>
      </c>
    </row>
    <row r="5" spans="1:11" ht="15" x14ac:dyDescent="0.25">
      <c r="A5" s="45">
        <v>1</v>
      </c>
      <c r="B5" s="46" t="s">
        <v>89</v>
      </c>
      <c r="C5" s="78">
        <v>43685</v>
      </c>
      <c r="D5" s="78">
        <v>43699</v>
      </c>
      <c r="E5" s="79">
        <v>24</v>
      </c>
      <c r="F5" s="91" t="s">
        <v>146</v>
      </c>
      <c r="G5" s="78">
        <v>43685</v>
      </c>
      <c r="H5" s="78">
        <v>43706</v>
      </c>
      <c r="I5" s="79">
        <v>30</v>
      </c>
      <c r="J5" s="90">
        <f>E5-I5</f>
        <v>-6</v>
      </c>
      <c r="K5" s="47" t="s">
        <v>84</v>
      </c>
    </row>
    <row r="6" spans="1:11" ht="15" x14ac:dyDescent="0.25">
      <c r="A6" s="45">
        <v>2</v>
      </c>
      <c r="B6" s="46" t="s">
        <v>96</v>
      </c>
      <c r="C6" s="78">
        <v>43706</v>
      </c>
      <c r="D6" s="78">
        <v>43720</v>
      </c>
      <c r="E6" s="80">
        <v>18</v>
      </c>
      <c r="F6" s="91" t="s">
        <v>146</v>
      </c>
      <c r="G6" s="78">
        <v>43706</v>
      </c>
      <c r="H6" s="78">
        <v>43713</v>
      </c>
      <c r="I6" s="80">
        <v>12</v>
      </c>
      <c r="J6" s="90">
        <f t="shared" ref="J6:J14" si="0">E6-I6</f>
        <v>6</v>
      </c>
      <c r="K6" s="47" t="s">
        <v>147</v>
      </c>
    </row>
    <row r="7" spans="1:11" ht="15" x14ac:dyDescent="0.25">
      <c r="A7" s="45">
        <v>3</v>
      </c>
      <c r="B7" s="46" t="s">
        <v>148</v>
      </c>
      <c r="C7" s="78">
        <v>43713</v>
      </c>
      <c r="D7" s="78">
        <v>43741</v>
      </c>
      <c r="E7" s="80">
        <v>96</v>
      </c>
      <c r="F7" s="91" t="s">
        <v>145</v>
      </c>
      <c r="G7" s="78">
        <v>43713</v>
      </c>
      <c r="H7" s="78">
        <v>43734</v>
      </c>
      <c r="I7" s="80">
        <v>36</v>
      </c>
      <c r="J7" s="90">
        <f t="shared" si="0"/>
        <v>60</v>
      </c>
      <c r="K7" s="47" t="s">
        <v>151</v>
      </c>
    </row>
    <row r="8" spans="1:11" ht="15" x14ac:dyDescent="0.25">
      <c r="A8" s="45">
        <v>4</v>
      </c>
      <c r="B8" s="46" t="s">
        <v>149</v>
      </c>
      <c r="C8" s="78">
        <v>43741</v>
      </c>
      <c r="D8" s="78">
        <v>43769</v>
      </c>
      <c r="E8" s="80">
        <v>45</v>
      </c>
      <c r="F8" s="91" t="s">
        <v>150</v>
      </c>
      <c r="G8" s="78"/>
      <c r="H8" s="78"/>
      <c r="I8" s="80"/>
      <c r="J8" s="90">
        <f t="shared" si="0"/>
        <v>45</v>
      </c>
      <c r="K8" s="47"/>
    </row>
    <row r="9" spans="1:11" ht="15" x14ac:dyDescent="0.25">
      <c r="A9" s="45">
        <v>5</v>
      </c>
      <c r="B9" s="46"/>
      <c r="C9" s="78"/>
      <c r="D9" s="78"/>
      <c r="E9" s="80"/>
      <c r="F9" s="91"/>
      <c r="G9" s="78"/>
      <c r="H9" s="78"/>
      <c r="I9" s="80"/>
      <c r="J9" s="90">
        <f t="shared" si="0"/>
        <v>0</v>
      </c>
      <c r="K9" s="47"/>
    </row>
    <row r="10" spans="1:11" ht="15" x14ac:dyDescent="0.25">
      <c r="A10" s="45">
        <v>6</v>
      </c>
      <c r="B10" s="46"/>
      <c r="C10" s="78"/>
      <c r="D10" s="78"/>
      <c r="E10" s="80"/>
      <c r="F10" s="91"/>
      <c r="G10" s="78"/>
      <c r="H10" s="78"/>
      <c r="I10" s="80"/>
      <c r="J10" s="90">
        <f t="shared" si="0"/>
        <v>0</v>
      </c>
      <c r="K10" s="47"/>
    </row>
    <row r="11" spans="1:11" ht="15" x14ac:dyDescent="0.25">
      <c r="A11" s="45">
        <v>7</v>
      </c>
      <c r="B11" s="46"/>
      <c r="C11" s="78"/>
      <c r="D11" s="78"/>
      <c r="E11" s="80"/>
      <c r="F11" s="91"/>
      <c r="G11" s="78"/>
      <c r="H11" s="78"/>
      <c r="I11" s="80"/>
      <c r="J11" s="90">
        <f t="shared" si="0"/>
        <v>0</v>
      </c>
      <c r="K11" s="47"/>
    </row>
    <row r="12" spans="1:11" ht="15" x14ac:dyDescent="0.25">
      <c r="A12" s="45">
        <v>8</v>
      </c>
      <c r="B12" s="46"/>
      <c r="C12" s="78"/>
      <c r="D12" s="78"/>
      <c r="E12" s="80"/>
      <c r="F12" s="91"/>
      <c r="G12" s="78"/>
      <c r="H12" s="78"/>
      <c r="I12" s="80"/>
      <c r="J12" s="90">
        <f t="shared" si="0"/>
        <v>0</v>
      </c>
      <c r="K12" s="47"/>
    </row>
    <row r="13" spans="1:11" ht="15" x14ac:dyDescent="0.25">
      <c r="A13" s="45">
        <v>9</v>
      </c>
      <c r="B13" s="46"/>
      <c r="C13" s="78"/>
      <c r="D13" s="78"/>
      <c r="E13" s="80"/>
      <c r="F13" s="91"/>
      <c r="G13" s="78"/>
      <c r="H13" s="78"/>
      <c r="I13" s="80"/>
      <c r="J13" s="90">
        <f t="shared" si="0"/>
        <v>0</v>
      </c>
      <c r="K13" s="47"/>
    </row>
    <row r="14" spans="1:11" ht="15" x14ac:dyDescent="0.25">
      <c r="A14" s="45">
        <v>10</v>
      </c>
      <c r="B14" s="46"/>
      <c r="C14" s="78"/>
      <c r="D14" s="78"/>
      <c r="E14" s="80"/>
      <c r="F14" s="91"/>
      <c r="G14" s="78"/>
      <c r="H14" s="78"/>
      <c r="I14" s="80"/>
      <c r="J14" s="90">
        <f t="shared" si="0"/>
        <v>0</v>
      </c>
      <c r="K14" s="47"/>
    </row>
    <row r="15" spans="1:11" ht="12.75" x14ac:dyDescent="0.2">
      <c r="A15" s="42"/>
      <c r="B15" s="40"/>
      <c r="C15" s="43"/>
      <c r="D15" s="40"/>
      <c r="E15" s="71">
        <f>SUM(E5:E14)</f>
        <v>183</v>
      </c>
      <c r="F15" s="92"/>
      <c r="G15" s="70"/>
      <c r="H15" s="70"/>
      <c r="I15" s="71">
        <f>SUM(I5:I14)</f>
        <v>78</v>
      </c>
      <c r="J15" s="74"/>
      <c r="K15" s="1"/>
    </row>
    <row r="16" spans="1:11" x14ac:dyDescent="0.2">
      <c r="A16" s="29"/>
      <c r="C16" s="29"/>
    </row>
  </sheetData>
  <mergeCells count="6">
    <mergeCell ref="A1:K1"/>
    <mergeCell ref="D2:E2"/>
    <mergeCell ref="G2:J2"/>
    <mergeCell ref="A2:B2"/>
    <mergeCell ref="C3:E3"/>
    <mergeCell ref="G3:I3"/>
  </mergeCells>
  <conditionalFormatting sqref="F5:F14">
    <cfRule type="expression" dxfId="6" priority="17" stopIfTrue="1">
      <formula>$F5="Planned"</formula>
    </cfRule>
    <cfRule type="expression" dxfId="5" priority="18" stopIfTrue="1">
      <formula>$F5="Ongoing"</formula>
    </cfRule>
    <cfRule type="cellIs" dxfId="4" priority="19" stopIfTrue="1" operator="equal">
      <formula>"Unplanned"</formula>
    </cfRule>
  </conditionalFormatting>
  <conditionalFormatting sqref="A5:D14">
    <cfRule type="expression" dxfId="3" priority="20" stopIfTrue="1">
      <formula>OR($F5="Planned",$F5="Unplanned")</formula>
    </cfRule>
    <cfRule type="expression" dxfId="2" priority="21" stopIfTrue="1">
      <formula>$F5="Ongoing"</formula>
    </cfRule>
  </conditionalFormatting>
  <conditionalFormatting sqref="G5:H14">
    <cfRule type="expression" dxfId="1" priority="1" stopIfTrue="1">
      <formula>OR($F5="Planned",$F5="Unplanned")</formula>
    </cfRule>
    <cfRule type="expression" dxfId="0" priority="2" stopIfTrue="1">
      <formula>$F5="Ongoing"</formula>
    </cfRule>
  </conditionalFormatting>
  <dataValidations count="1">
    <dataValidation type="list" allowBlank="1" showInputMessage="1" showErrorMessage="1" sqref="F5:F14">
      <formula1>"Planejado,Em execução,Entregue,Não planejado"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A20" sqref="A20"/>
    </sheetView>
  </sheetViews>
  <sheetFormatPr defaultRowHeight="15" x14ac:dyDescent="0.25"/>
  <cols>
    <col min="1" max="1" width="28.140625" bestFit="1" customWidth="1"/>
    <col min="2" max="2" width="10" style="4" customWidth="1"/>
    <col min="3" max="3" width="10.85546875" style="4" customWidth="1"/>
    <col min="4" max="4" width="8.7109375" style="4" bestFit="1" customWidth="1"/>
    <col min="5" max="11" width="7" style="4" customWidth="1"/>
    <col min="12" max="12" width="7.5703125" style="4" customWidth="1"/>
    <col min="13" max="13" width="1.42578125" customWidth="1"/>
    <col min="14" max="14" width="16.7109375" bestFit="1" customWidth="1"/>
  </cols>
  <sheetData>
    <row r="1" spans="1:13" ht="37.5" customHeight="1" x14ac:dyDescent="0.25">
      <c r="A1" s="15" t="s">
        <v>45</v>
      </c>
      <c r="B1" s="28" t="s">
        <v>75</v>
      </c>
      <c r="C1" s="59">
        <v>43685</v>
      </c>
      <c r="D1" s="58" t="s">
        <v>36</v>
      </c>
      <c r="E1" s="58" t="s">
        <v>37</v>
      </c>
      <c r="F1" s="58" t="s">
        <v>38</v>
      </c>
      <c r="G1" s="58" t="s">
        <v>39</v>
      </c>
      <c r="H1" s="58" t="s">
        <v>40</v>
      </c>
      <c r="I1" s="58" t="s">
        <v>41</v>
      </c>
      <c r="J1" s="58" t="s">
        <v>42</v>
      </c>
      <c r="K1" s="58" t="s">
        <v>43</v>
      </c>
      <c r="L1" s="58" t="s">
        <v>44</v>
      </c>
    </row>
    <row r="2" spans="1:13" x14ac:dyDescent="0.25">
      <c r="A2" s="23" t="s">
        <v>143</v>
      </c>
      <c r="B2" s="18">
        <v>12</v>
      </c>
      <c r="C2" s="18">
        <v>4</v>
      </c>
      <c r="D2" s="18">
        <v>0</v>
      </c>
      <c r="E2" s="18">
        <v>0</v>
      </c>
      <c r="F2" s="18">
        <v>0.1</v>
      </c>
      <c r="G2" s="18">
        <v>0.1</v>
      </c>
      <c r="H2" s="18">
        <v>0.1</v>
      </c>
      <c r="I2" s="18">
        <v>1</v>
      </c>
      <c r="J2" s="18">
        <v>5.5</v>
      </c>
      <c r="K2" s="18">
        <v>1</v>
      </c>
      <c r="L2" s="18"/>
    </row>
    <row r="3" spans="1:13" x14ac:dyDescent="0.25">
      <c r="A3" s="23" t="s">
        <v>144</v>
      </c>
      <c r="B3" s="18">
        <v>4</v>
      </c>
      <c r="C3" s="18">
        <v>1</v>
      </c>
      <c r="D3" s="18">
        <v>2</v>
      </c>
      <c r="E3" s="18">
        <v>1</v>
      </c>
      <c r="F3" s="18"/>
      <c r="G3" s="18"/>
      <c r="H3" s="18"/>
      <c r="I3" s="18"/>
      <c r="J3" s="18"/>
      <c r="K3" s="18"/>
      <c r="L3" s="18"/>
    </row>
    <row r="4" spans="1:13" x14ac:dyDescent="0.25">
      <c r="A4" s="2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3" x14ac:dyDescent="0.25">
      <c r="A5" s="23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x14ac:dyDescent="0.25">
      <c r="A6" s="23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3" x14ac:dyDescent="0.25">
      <c r="A7" s="23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3" x14ac:dyDescent="0.25">
      <c r="A8" s="23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3" x14ac:dyDescent="0.25">
      <c r="A9" s="24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3" x14ac:dyDescent="0.25">
      <c r="A10" s="24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3" x14ac:dyDescent="0.25">
      <c r="A11" s="24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3" x14ac:dyDescent="0.25">
      <c r="A12" s="52" t="s">
        <v>34</v>
      </c>
      <c r="B12" s="53">
        <f>SUM(B2:B11)</f>
        <v>16</v>
      </c>
      <c r="C12" s="53">
        <f>IF(SUM(C2:C11)&gt;0,B12-SUM(C2:C11), "")</f>
        <v>11</v>
      </c>
      <c r="D12" s="53">
        <f t="shared" ref="D12:K12" si="0">IF(SUM(D2:D11)&gt;0,C12-SUM(D2:D11), "")</f>
        <v>9</v>
      </c>
      <c r="E12" s="53">
        <f t="shared" si="0"/>
        <v>8</v>
      </c>
      <c r="F12" s="53">
        <f t="shared" si="0"/>
        <v>7.9</v>
      </c>
      <c r="G12" s="53">
        <f t="shared" si="0"/>
        <v>7.8000000000000007</v>
      </c>
      <c r="H12" s="53">
        <f t="shared" si="0"/>
        <v>7.7000000000000011</v>
      </c>
      <c r="I12" s="53">
        <f t="shared" si="0"/>
        <v>6.7000000000000011</v>
      </c>
      <c r="J12" s="53">
        <f t="shared" si="0"/>
        <v>1.2000000000000011</v>
      </c>
      <c r="K12" s="53">
        <f t="shared" si="0"/>
        <v>0.20000000000000107</v>
      </c>
      <c r="L12" s="53" t="str">
        <f>IF(SUM(L2:L11)&gt;0,K12-SUM(L2:L11), "")</f>
        <v/>
      </c>
      <c r="M12" s="48"/>
    </row>
    <row r="13" spans="1:13" x14ac:dyDescent="0.25">
      <c r="A13" s="49" t="s">
        <v>35</v>
      </c>
      <c r="B13" s="50">
        <f>B12</f>
        <v>16</v>
      </c>
      <c r="C13" s="51">
        <f>B13-($B$13/COUNTA($C$1:$L$1))</f>
        <v>14.4</v>
      </c>
      <c r="D13" s="51">
        <f t="shared" ref="D13:L13" si="1">C13-($B$13/COUNTA($C$1:$L$1))</f>
        <v>12.8</v>
      </c>
      <c r="E13" s="51">
        <f t="shared" si="1"/>
        <v>11.200000000000001</v>
      </c>
      <c r="F13" s="51">
        <f t="shared" si="1"/>
        <v>9.6000000000000014</v>
      </c>
      <c r="G13" s="51">
        <f t="shared" si="1"/>
        <v>8.0000000000000018</v>
      </c>
      <c r="H13" s="51">
        <f t="shared" si="1"/>
        <v>6.4000000000000021</v>
      </c>
      <c r="I13" s="51">
        <f t="shared" si="1"/>
        <v>4.8000000000000025</v>
      </c>
      <c r="J13" s="51">
        <f t="shared" si="1"/>
        <v>3.2000000000000024</v>
      </c>
      <c r="K13" s="51">
        <f t="shared" si="1"/>
        <v>1.6000000000000023</v>
      </c>
      <c r="L13" s="51">
        <f t="shared" si="1"/>
        <v>2.2204460492503131E-15</v>
      </c>
    </row>
    <row r="14" spans="1:13" x14ac:dyDescent="0.25">
      <c r="A14" s="54" t="s">
        <v>73</v>
      </c>
      <c r="B14" s="55">
        <f ca="1">OFFSET(Sprint1!$B$12,0,0,1,COUNT(Sprint1!$B$12:$L$12))</f>
        <v>16</v>
      </c>
      <c r="C14" s="55">
        <f ca="1">OFFSET(Sprint1!$B$12,0,0,1,COUNT(Sprint1!$B$12:$L$12))</f>
        <v>11</v>
      </c>
      <c r="D14" s="55">
        <f ca="1">OFFSET(Sprint1!$B$12,0,0,1,COUNT(Sprint1!$B$12:$L$12))</f>
        <v>9</v>
      </c>
      <c r="E14" s="55">
        <f ca="1">OFFSET(Sprint1!$B$12,0,0,1,COUNT(Sprint1!$B$12:$L$12))</f>
        <v>8</v>
      </c>
      <c r="F14" s="55">
        <f ca="1">OFFSET(Sprint1!$B$12,0,0,1,COUNT(Sprint1!$B$12:$L$12))</f>
        <v>7.9</v>
      </c>
      <c r="G14" s="55">
        <f ca="1">OFFSET(Sprint1!$B$12,0,0,1,COUNT(Sprint1!$B$12:$L$12))</f>
        <v>7.8000000000000007</v>
      </c>
      <c r="H14" s="55">
        <f ca="1">OFFSET(Sprint1!$B$12,0,0,1,COUNT(Sprint1!$B$12:$L$12))</f>
        <v>7.7000000000000011</v>
      </c>
      <c r="I14" s="55">
        <f ca="1">OFFSET(Sprint1!$B$12,0,0,1,COUNT(Sprint1!$B$12:$L$12))</f>
        <v>6.7000000000000011</v>
      </c>
      <c r="J14" s="55">
        <f ca="1">OFFSET(Sprint1!$B$12,0,0,1,COUNT(Sprint1!$B$12:$L$12))</f>
        <v>1.2000000000000011</v>
      </c>
      <c r="K14" s="55">
        <f ca="1">OFFSET(Sprint1!$B$12,0,0,1,COUNT(Sprint1!$B$12:$L$12))</f>
        <v>0.20000000000000107</v>
      </c>
      <c r="L14" s="55" t="e">
        <f ca="1">OFFSET(Sprint1!$B$12,0,0,1,COUNT(Sprint1!$B$12:$L$12))</f>
        <v>#VALUE!</v>
      </c>
    </row>
    <row r="15" spans="1:13" x14ac:dyDescent="0.25">
      <c r="A15" s="54" t="s">
        <v>74</v>
      </c>
      <c r="B15" s="56">
        <f ca="1">B14/$B$13</f>
        <v>1</v>
      </c>
      <c r="C15" s="56">
        <f ca="1">100%-(C14/$B$13)</f>
        <v>0.3125</v>
      </c>
      <c r="D15" s="56">
        <f t="shared" ref="D15:L15" ca="1" si="2">100%-(D14/$B$13)</f>
        <v>0.4375</v>
      </c>
      <c r="E15" s="56">
        <f t="shared" ca="1" si="2"/>
        <v>0.5</v>
      </c>
      <c r="F15" s="56">
        <f t="shared" ca="1" si="2"/>
        <v>0.50624999999999998</v>
      </c>
      <c r="G15" s="56">
        <f t="shared" ca="1" si="2"/>
        <v>0.51249999999999996</v>
      </c>
      <c r="H15" s="56">
        <f t="shared" ca="1" si="2"/>
        <v>0.51874999999999993</v>
      </c>
      <c r="I15" s="56">
        <f t="shared" ca="1" si="2"/>
        <v>0.58124999999999993</v>
      </c>
      <c r="J15" s="56">
        <f t="shared" ca="1" si="2"/>
        <v>0.92499999999999993</v>
      </c>
      <c r="K15" s="56">
        <f t="shared" ca="1" si="2"/>
        <v>0.98749999999999993</v>
      </c>
      <c r="L15" s="56" t="e">
        <f t="shared" ca="1" si="2"/>
        <v>#VALUE!</v>
      </c>
    </row>
    <row r="16" spans="1:13" ht="18.75" x14ac:dyDescent="0.3">
      <c r="A16" s="61" t="s">
        <v>79</v>
      </c>
      <c r="B16" s="61">
        <f>Planejamento!B8</f>
        <v>32</v>
      </c>
      <c r="C16" s="61" t="s">
        <v>12</v>
      </c>
    </row>
    <row r="19" spans="14:15" x14ac:dyDescent="0.25">
      <c r="N19" s="17" t="s">
        <v>46</v>
      </c>
      <c r="O19" s="66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Estimativa</vt:lpstr>
      <vt:lpstr>Equipe</vt:lpstr>
      <vt:lpstr>Backlog Produto</vt:lpstr>
      <vt:lpstr>Planejamento</vt:lpstr>
      <vt:lpstr>Monitoramento e controle</vt:lpstr>
      <vt:lpstr>Sprint1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Estimativas e Controle de Projeto</dc:title>
  <dc:creator>aluno</dc:creator>
  <cp:lastModifiedBy>Felipe Florentino</cp:lastModifiedBy>
  <dcterms:created xsi:type="dcterms:W3CDTF">2010-08-26T13:25:48Z</dcterms:created>
  <dcterms:modified xsi:type="dcterms:W3CDTF">2019-09-20T19:37:52Z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b0fcee18-cf1d-4aba-abfe-ef86e4f3a77d</vt:lpwstr>
  </property>
</Properties>
</file>