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11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drawings/drawing12.xml" ContentType="application/vnd.openxmlformats-officedocument.drawing+xml"/>
  <Override PartName="/xl/slicers/slicer3.xml" ContentType="application/vnd.ms-excel.slicer+xml"/>
  <Override PartName="/xl/pivotTables/pivotTable4.xml" ContentType="application/vnd.openxmlformats-officedocument.spreadsheetml.pivotTable+xml"/>
  <Override PartName="/xl/drawings/drawing13.xml" ContentType="application/vnd.openxmlformats-officedocument.drawing+xml"/>
  <Override PartName="/xl/slicers/slicer4.xml" ContentType="application/vnd.ms-excel.slicer+xml"/>
  <Override PartName="/xl/pivotTables/pivotTable5.xml" ContentType="application/vnd.openxmlformats-officedocument.spreadsheetml.pivotTable+xml"/>
  <Override PartName="/xl/drawings/drawing14.xml" ContentType="application/vnd.openxmlformats-officedocument.drawing+xml"/>
  <Override PartName="/xl/slicers/slicer5.xml" ContentType="application/vnd.ms-excel.slicer+xml"/>
  <Override PartName="/xl/drawings/drawing1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domhelder-my.sharepoint.com/personal/d21120_academico_domhelder_edu_br/Documents/Estudos/Excel/Seção 14/"/>
    </mc:Choice>
  </mc:AlternateContent>
  <xr:revisionPtr revIDLastSave="949" documentId="11_DBE5F2A18AAB3EE34541C99D88AFA24F012A697F" xr6:coauthVersionLast="47" xr6:coauthVersionMax="47" xr10:uidLastSave="{AF156046-B491-4272-8ABF-5FF71232E71A}"/>
  <bookViews>
    <workbookView xWindow="-108" yWindow="-108" windowWidth="23256" windowHeight="12456" firstSheet="14" activeTab="16" xr2:uid="{00000000-000D-0000-FFFF-FFFF00000000}"/>
  </bookViews>
  <sheets>
    <sheet name="Início" sheetId="1" r:id="rId1"/>
    <sheet name="Matriz" sheetId="2" state="hidden" r:id="rId2"/>
    <sheet name="PCEntradasN1" sheetId="3" r:id="rId3"/>
    <sheet name="PCEntradasN2" sheetId="4" r:id="rId4"/>
    <sheet name="PCSaídasN1" sheetId="5" r:id="rId5"/>
    <sheet name="PCSaídasN2" sheetId="6" r:id="rId6"/>
    <sheet name="RegistroEntradas" sheetId="7" r:id="rId7"/>
    <sheet name="RegistroSaídas" sheetId="8" r:id="rId8"/>
    <sheet name="FluxoCaixa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FinanceiroAtual" sheetId="15" r:id="rId15"/>
    <sheet name="DashBoardFinanceiroAtualD" sheetId="20" r:id="rId16"/>
    <sheet name="DashBoardFinanceiroAnual" sheetId="16" r:id="rId17"/>
    <sheet name="DashBoardFinanceiroAnualD" sheetId="18" state="hidden" r:id="rId18"/>
  </sheets>
  <externalReferences>
    <externalReference r:id="rId19"/>
    <externalReference r:id="rId20"/>
    <externalReference r:id="rId21"/>
    <externalReference r:id="rId22"/>
  </externalReferences>
  <definedNames>
    <definedName name="PCEntradasN1_Nível_1">TbPCEntradasN1[Nível 1]</definedName>
    <definedName name="PCEntradasN2_Nível_1">TbPCEntradasN2[Nível 1]</definedName>
    <definedName name="PCEntradasN2_Nível_2">TbPCEntradasN2[Nível 2]</definedName>
    <definedName name="PCSaídasN1_Nível_1">TbPCSaídasN1[Nível 1]</definedName>
    <definedName name="PCSaídasN2_Nível_1">TbPCSaídasN2[Nível 1]</definedName>
    <definedName name="PCSaídasN2_Nível_2">TbPCSaídasN2[Nível 2]</definedName>
    <definedName name="SegmentaçãodeDados_Ano_Competência">#N/A</definedName>
    <definedName name="SegmentaçãodeDados_Ano_Competência1">#N/A</definedName>
    <definedName name="SegmentaçãodeDados_Ano_Competência2">#N/A</definedName>
    <definedName name="SegmentaçãodeDados_Ano_Previsto">#N/A</definedName>
    <definedName name="SegmentaçãodeDados_Ano_Previsto1">#N/A</definedName>
    <definedName name="SegmentaçãodeDados_Mês_Competência">#N/A</definedName>
    <definedName name="SegmentaçãodeDados_Mês_Competência1">#N/A</definedName>
    <definedName name="SegmentaçãodeDados_Mês_Previsto">#N/A</definedName>
    <definedName name="SegmentaçãodeDados_Mês_Previsto1">#N/A</definedName>
  </definedNames>
  <calcPr calcId="191029"/>
  <pivotCaches>
    <pivotCache cacheId="25" r:id="rId23"/>
    <pivotCache cacheId="48" r:id="rId24"/>
  </pivotCaches>
  <extLst>
    <ext xmlns:x14="http://schemas.microsoft.com/office/spreadsheetml/2009/9/main" uri="{BBE1A952-AA13-448e-AADC-164F8A28A991}">
      <x14:slicerCaches>
        <x14:slicerCache r:id="rId25"/>
        <x14:slicerCache r:id="rId26"/>
        <x14:slicerCache r:id="rId27"/>
        <x14:slicerCache r:id="rId28"/>
        <x14:slicerCache r:id="rId29"/>
        <x14:slicerCache r:id="rId30"/>
        <x14:slicerCache r:id="rId31"/>
        <x14:slicerCache r:id="rId32"/>
        <x14:slicerCache r:id="rId3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0" l="1"/>
  <c r="B32" i="20" s="1"/>
  <c r="C5" i="20"/>
  <c r="H31" i="20"/>
  <c r="B16" i="15"/>
  <c r="I14" i="15"/>
  <c r="B11" i="15"/>
  <c r="K8" i="15"/>
  <c r="B8" i="15"/>
  <c r="B5" i="15"/>
  <c r="J4" i="20"/>
  <c r="G5" i="20" l="1"/>
  <c r="H6" i="20"/>
  <c r="D32" i="20"/>
  <c r="C32" i="20"/>
  <c r="C10" i="20"/>
  <c r="G10" i="20"/>
  <c r="G7" i="20"/>
  <c r="H10" i="20"/>
  <c r="G13" i="20"/>
  <c r="H7" i="20"/>
  <c r="D14" i="20"/>
  <c r="G14" i="20"/>
  <c r="B27" i="20"/>
  <c r="B22" i="20"/>
  <c r="H14" i="20"/>
  <c r="H13" i="20"/>
  <c r="L3" i="20"/>
  <c r="J13" i="20" s="1"/>
  <c r="K13" i="20" s="1"/>
  <c r="C8" i="20"/>
  <c r="G11" i="20"/>
  <c r="G8" i="20"/>
  <c r="H11" i="20"/>
  <c r="H8" i="20"/>
  <c r="G15" i="20"/>
  <c r="G27" i="20"/>
  <c r="H15" i="20"/>
  <c r="H39" i="20"/>
  <c r="G12" i="20"/>
  <c r="H5" i="20"/>
  <c r="C9" i="20"/>
  <c r="H12" i="20"/>
  <c r="J5" i="20"/>
  <c r="K5" i="20" s="1"/>
  <c r="G9" i="20"/>
  <c r="J12" i="20"/>
  <c r="K12" i="20" s="1"/>
  <c r="G16" i="20"/>
  <c r="H30" i="20"/>
  <c r="H35" i="20" s="1"/>
  <c r="H42" i="20"/>
  <c r="H9" i="20"/>
  <c r="H16" i="20"/>
  <c r="G6" i="20"/>
  <c r="D13" i="20"/>
  <c r="H32" i="20" l="1"/>
  <c r="H33" i="20"/>
  <c r="H36" i="20"/>
  <c r="H41" i="20"/>
  <c r="C11" i="20"/>
  <c r="J8" i="20"/>
  <c r="K8" i="20" s="1"/>
  <c r="D27" i="20"/>
  <c r="C27" i="20"/>
  <c r="I27" i="20"/>
  <c r="H27" i="20"/>
  <c r="J7" i="20"/>
  <c r="K7" i="20" s="1"/>
  <c r="H40" i="20"/>
  <c r="H38" i="20"/>
  <c r="H37" i="20"/>
  <c r="H34" i="20"/>
  <c r="J11" i="20"/>
  <c r="K11" i="20" s="1"/>
  <c r="J10" i="20"/>
  <c r="K10" i="20" s="1"/>
  <c r="J14" i="20"/>
  <c r="K14" i="20" s="1"/>
  <c r="J15" i="20"/>
  <c r="K15" i="20" s="1"/>
  <c r="J6" i="20"/>
  <c r="K6" i="20" s="1"/>
  <c r="H43" i="20"/>
  <c r="E32" i="20"/>
  <c r="J9" i="20"/>
  <c r="K9" i="20" s="1"/>
  <c r="D22" i="20"/>
  <c r="C22" i="20"/>
  <c r="J16" i="20"/>
  <c r="K16" i="20" s="1"/>
  <c r="E27" i="20" l="1"/>
  <c r="H44" i="20"/>
  <c r="K15" i="15" s="1"/>
  <c r="E22" i="20"/>
  <c r="J27" i="20"/>
  <c r="F16" i="15" l="1"/>
  <c r="G16" i="15"/>
  <c r="H31" i="1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C4" i="18"/>
  <c r="G27" i="18" s="1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J4" i="18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" i="14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K4" i="7"/>
  <c r="J4" i="7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I162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7" i="18" l="1"/>
  <c r="B32" i="18"/>
  <c r="H30" i="18"/>
  <c r="H33" i="18" s="1"/>
  <c r="B27" i="18"/>
  <c r="C10" i="18"/>
  <c r="H8" i="18"/>
  <c r="G13" i="18"/>
  <c r="G12" i="18"/>
  <c r="G10" i="18"/>
  <c r="G9" i="18"/>
  <c r="G8" i="18"/>
  <c r="H9" i="18"/>
  <c r="H6" i="18"/>
  <c r="L3" i="18"/>
  <c r="J7" i="18" s="1"/>
  <c r="K7" i="18" s="1"/>
  <c r="G11" i="18"/>
  <c r="H7" i="18"/>
  <c r="G7" i="18"/>
  <c r="G6" i="18"/>
  <c r="D13" i="18"/>
  <c r="B8" i="16" s="1"/>
  <c r="H5" i="18"/>
  <c r="D14" i="18"/>
  <c r="B11" i="16" s="1"/>
  <c r="H16" i="18"/>
  <c r="H15" i="18"/>
  <c r="H14" i="18"/>
  <c r="G5" i="18"/>
  <c r="H13" i="18"/>
  <c r="G16" i="18"/>
  <c r="H12" i="18"/>
  <c r="G15" i="18"/>
  <c r="H11" i="18"/>
  <c r="G14" i="18"/>
  <c r="H10" i="18"/>
  <c r="B22" i="18"/>
  <c r="C22" i="18" s="1"/>
  <c r="C8" i="18"/>
  <c r="C9" i="18"/>
  <c r="N17" i="9"/>
  <c r="N23" i="9" s="1"/>
  <c r="C17" i="9"/>
  <c r="C23" i="9" s="1"/>
  <c r="D17" i="9"/>
  <c r="D23" i="9" s="1"/>
  <c r="E17" i="9"/>
  <c r="E23" i="9" s="1"/>
  <c r="F17" i="9"/>
  <c r="F23" i="9" s="1"/>
  <c r="G17" i="9"/>
  <c r="G23" i="9" s="1"/>
  <c r="H17" i="9"/>
  <c r="H23" i="9" s="1"/>
  <c r="I17" i="9"/>
  <c r="I23" i="9" s="1"/>
  <c r="J17" i="9"/>
  <c r="J23" i="9" s="1"/>
  <c r="K17" i="9"/>
  <c r="K23" i="9" s="1"/>
  <c r="L17" i="9"/>
  <c r="L23" i="9" s="1"/>
  <c r="M17" i="9"/>
  <c r="M23" i="9" s="1"/>
  <c r="C15" i="9"/>
  <c r="L16" i="9"/>
  <c r="L22" i="9" s="1"/>
  <c r="C8" i="9"/>
  <c r="D16" i="9"/>
  <c r="M16" i="9"/>
  <c r="M22" i="9" s="1"/>
  <c r="N16" i="9"/>
  <c r="N22" i="9" s="1"/>
  <c r="C16" i="9"/>
  <c r="C22" i="9" s="1"/>
  <c r="H16" i="9"/>
  <c r="H22" i="9" s="1"/>
  <c r="E16" i="9"/>
  <c r="E22" i="9" s="1"/>
  <c r="F16" i="9"/>
  <c r="F22" i="9" s="1"/>
  <c r="G16" i="9"/>
  <c r="G22" i="9" s="1"/>
  <c r="I16" i="9"/>
  <c r="I22" i="9" s="1"/>
  <c r="J16" i="9"/>
  <c r="J22" i="9" s="1"/>
  <c r="K16" i="9"/>
  <c r="K22" i="9" s="1"/>
  <c r="K10" i="9"/>
  <c r="M10" i="9"/>
  <c r="N10" i="9"/>
  <c r="C10" i="9"/>
  <c r="D10" i="9"/>
  <c r="E10" i="9"/>
  <c r="F10" i="9"/>
  <c r="G10" i="9"/>
  <c r="H10" i="9"/>
  <c r="I10" i="9"/>
  <c r="J10" i="9"/>
  <c r="L10" i="9"/>
  <c r="H9" i="9"/>
  <c r="G9" i="9"/>
  <c r="I9" i="9"/>
  <c r="D9" i="9"/>
  <c r="J9" i="9"/>
  <c r="K9" i="9"/>
  <c r="L9" i="9"/>
  <c r="M9" i="9"/>
  <c r="N9" i="9"/>
  <c r="C9" i="9"/>
  <c r="E9" i="9"/>
  <c r="F9" i="9"/>
  <c r="C27" i="18" l="1"/>
  <c r="H27" i="18"/>
  <c r="J27" i="18" s="1"/>
  <c r="G16" i="16" s="1"/>
  <c r="H37" i="18"/>
  <c r="H40" i="18"/>
  <c r="H41" i="18"/>
  <c r="H34" i="18"/>
  <c r="H35" i="18"/>
  <c r="H36" i="18"/>
  <c r="H38" i="18"/>
  <c r="H39" i="18"/>
  <c r="H32" i="18"/>
  <c r="D32" i="18"/>
  <c r="C32" i="18"/>
  <c r="J13" i="18"/>
  <c r="K13" i="18" s="1"/>
  <c r="H42" i="18"/>
  <c r="H43" i="18"/>
  <c r="D22" i="18"/>
  <c r="E22" i="18" s="1"/>
  <c r="B16" i="16" s="1"/>
  <c r="D27" i="18"/>
  <c r="J8" i="18"/>
  <c r="K8" i="18" s="1"/>
  <c r="J5" i="18"/>
  <c r="K5" i="18" s="1"/>
  <c r="J9" i="18"/>
  <c r="K9" i="18" s="1"/>
  <c r="J14" i="18"/>
  <c r="K14" i="18" s="1"/>
  <c r="J15" i="18"/>
  <c r="K15" i="18" s="1"/>
  <c r="J11" i="18"/>
  <c r="K11" i="18" s="1"/>
  <c r="J12" i="18"/>
  <c r="K12" i="18" s="1"/>
  <c r="J6" i="18"/>
  <c r="K6" i="18" s="1"/>
  <c r="J10" i="18"/>
  <c r="K10" i="18" s="1"/>
  <c r="J16" i="18"/>
  <c r="K16" i="18" s="1"/>
  <c r="C11" i="18"/>
  <c r="B5" i="16" s="1"/>
  <c r="L25" i="9"/>
  <c r="C18" i="9"/>
  <c r="D15" i="9" s="1"/>
  <c r="D18" i="9" s="1"/>
  <c r="E15" i="9" s="1"/>
  <c r="E18" i="9" s="1"/>
  <c r="F15" i="9" s="1"/>
  <c r="F18" i="9" s="1"/>
  <c r="G15" i="9" s="1"/>
  <c r="G18" i="9" s="1"/>
  <c r="H15" i="9" s="1"/>
  <c r="H18" i="9" s="1"/>
  <c r="I15" i="9" s="1"/>
  <c r="I18" i="9" s="1"/>
  <c r="J15" i="9" s="1"/>
  <c r="J18" i="9" s="1"/>
  <c r="K15" i="9" s="1"/>
  <c r="K18" i="9" s="1"/>
  <c r="L15" i="9" s="1"/>
  <c r="L18" i="9" s="1"/>
  <c r="M15" i="9" s="1"/>
  <c r="M18" i="9" s="1"/>
  <c r="N15" i="9" s="1"/>
  <c r="N18" i="9" s="1"/>
  <c r="L24" i="9"/>
  <c r="K25" i="9"/>
  <c r="K24" i="9"/>
  <c r="J24" i="9"/>
  <c r="J25" i="9"/>
  <c r="I25" i="9"/>
  <c r="I24" i="9"/>
  <c r="G24" i="9"/>
  <c r="G25" i="9"/>
  <c r="F25" i="9"/>
  <c r="F24" i="9"/>
  <c r="E24" i="9"/>
  <c r="E25" i="9"/>
  <c r="H25" i="9"/>
  <c r="H24" i="9"/>
  <c r="C26" i="9"/>
  <c r="C24" i="9"/>
  <c r="C25" i="9"/>
  <c r="N25" i="9"/>
  <c r="N24" i="9"/>
  <c r="M25" i="9"/>
  <c r="M24" i="9"/>
  <c r="D22" i="9"/>
  <c r="C11" i="9"/>
  <c r="D8" i="9" s="1"/>
  <c r="D11" i="9" s="1"/>
  <c r="E8" i="9" s="1"/>
  <c r="E11" i="9" s="1"/>
  <c r="F8" i="9" s="1"/>
  <c r="F11" i="9" s="1"/>
  <c r="G8" i="9" s="1"/>
  <c r="G11" i="9" s="1"/>
  <c r="H8" i="9" s="1"/>
  <c r="H11" i="9" s="1"/>
  <c r="I8" i="9" s="1"/>
  <c r="I11" i="9" s="1"/>
  <c r="J8" i="9" s="1"/>
  <c r="J11" i="9" s="1"/>
  <c r="K8" i="9" s="1"/>
  <c r="K11" i="9" s="1"/>
  <c r="L8" i="9" s="1"/>
  <c r="L11" i="9" s="1"/>
  <c r="M8" i="9" s="1"/>
  <c r="M11" i="9" s="1"/>
  <c r="N8" i="9" s="1"/>
  <c r="N11" i="9" s="1"/>
  <c r="E27" i="18" l="1"/>
  <c r="F16" i="16" s="1"/>
  <c r="H44" i="18"/>
  <c r="K15" i="16" s="1"/>
  <c r="E32" i="18"/>
  <c r="I14" i="16" s="1"/>
  <c r="K8" i="16"/>
  <c r="D26" i="9"/>
  <c r="E26" i="9" s="1"/>
  <c r="F26" i="9" s="1"/>
  <c r="G26" i="9" s="1"/>
  <c r="H26" i="9" s="1"/>
  <c r="I26" i="9" s="1"/>
  <c r="J26" i="9" s="1"/>
  <c r="K26" i="9" s="1"/>
  <c r="L26" i="9" s="1"/>
  <c r="M26" i="9" s="1"/>
  <c r="N26" i="9" s="1"/>
  <c r="D24" i="9"/>
  <c r="D25" i="9"/>
</calcChain>
</file>

<file path=xl/sharedStrings.xml><?xml version="1.0" encoding="utf-8"?>
<sst xmlns="http://schemas.openxmlformats.org/spreadsheetml/2006/main" count="1808" uniqueCount="614">
  <si>
    <t>FLUXO DE CAIXA EMPRESARIAL</t>
  </si>
  <si>
    <t>Educandoweb</t>
  </si>
  <si>
    <t>Empresa</t>
  </si>
  <si>
    <t>LOJAS EDUCANDOWEB LTDA.</t>
  </si>
  <si>
    <t>Responsável</t>
  </si>
  <si>
    <t>Victor Von Doom</t>
  </si>
  <si>
    <t xml:space="preserve"> </t>
  </si>
  <si>
    <t>TÍTULO</t>
  </si>
  <si>
    <t>PLANO DE CONTAS DE ENTRADA - Nível 1</t>
  </si>
  <si>
    <t>PLANO DE CONTAS DE ENTRADA - Nível 2</t>
  </si>
  <si>
    <t>PLANO DE CONTAS DE SAÍDA - Nível 1</t>
  </si>
  <si>
    <t>PLANO DE CONTAS DE SAÍDA - Nível 2</t>
  </si>
  <si>
    <t>REGISTRO DAS ENTRADAS DE CAIXA</t>
  </si>
  <si>
    <t>REGISTRO DAS SAÍDAS DE CAIXA</t>
  </si>
  <si>
    <t>FLUXO DE CAIXA E RESULTADO MENSAL
REGIMES DE CAIXA E DE COMPETÊNCIA</t>
  </si>
  <si>
    <t>DETALHAMENTO DE RECEITA</t>
  </si>
  <si>
    <t>DETALHAMENTO DE DESPESA</t>
  </si>
  <si>
    <t>CONTAS A PAGAR</t>
  </si>
  <si>
    <t>CONTAS A RECEBER</t>
  </si>
  <si>
    <t>CONTAS E RECEBER VENCIDAS</t>
  </si>
  <si>
    <t>DASHBOARD FINANCEIRO - POSIÇÃO ATUAL</t>
  </si>
  <si>
    <t>PLANO DE CONTAS DE ENTRADAS NÍVEL 1</t>
  </si>
  <si>
    <t>Nível 1</t>
  </si>
  <si>
    <t>Empréstimos de curto prazo</t>
  </si>
  <si>
    <t>Financiamentos de longo prazo</t>
  </si>
  <si>
    <t>Receitas Financeiras</t>
  </si>
  <si>
    <t>Venda de ativos</t>
  </si>
  <si>
    <t>Vendas de mercadorias</t>
  </si>
  <si>
    <t>PLANO DE CONTAS DE ENTRADAS NÍVEL 2</t>
  </si>
  <si>
    <t>Nível 2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</si>
  <si>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</si>
  <si>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</si>
  <si>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</si>
  <si>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</si>
  <si>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</si>
  <si>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</si>
  <si>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</si>
  <si>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</si>
  <si>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SAÍDA NÍVEL 1</t>
  </si>
  <si>
    <t>Compra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</si>
  <si>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</si>
  <si>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</si>
  <si>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</si>
  <si>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</si>
  <si>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</si>
  <si>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PLANO DE CONTAS DE SAÍDAS NÍVEL 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</si>
  <si>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</si>
  <si>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</si>
  <si>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</si>
  <si>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</si>
  <si>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</si>
  <si>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</si>
  <si>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IR sobre o lucro presumido</t>
  </si>
  <si>
    <t>Data do Caixa Realizado</t>
  </si>
  <si>
    <t>Data da Competência</t>
  </si>
  <si>
    <t>Data do Caixa Previsto</t>
  </si>
  <si>
    <t>Conta Nível 1</t>
  </si>
  <si>
    <t>Conta Nível 2</t>
  </si>
  <si>
    <t>Histórico</t>
  </si>
  <si>
    <t>Valor</t>
  </si>
  <si>
    <t>Geral</t>
  </si>
  <si>
    <t>NF7238</t>
  </si>
  <si>
    <t>NF9147</t>
  </si>
  <si>
    <t>NF8005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</si>
  <si>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</si>
  <si>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</si>
  <si>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</si>
  <si>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</si>
  <si>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</si>
  <si>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</si>
  <si>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</si>
  <si>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</si>
  <si>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</si>
  <si>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</si>
  <si>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</si>
  <si>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</si>
  <si>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</si>
  <si>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</si>
  <si>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</si>
  <si>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</si>
  <si>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</si>
  <si>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</si>
  <si>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</si>
  <si>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</si>
  <si>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</si>
  <si>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</si>
  <si>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</si>
  <si>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</si>
  <si>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</si>
  <si>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</si>
  <si>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</si>
  <si>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</si>
  <si>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</si>
  <si>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</si>
  <si>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</si>
  <si>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</si>
  <si>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</si>
  <si>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</si>
  <si>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</si>
  <si>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</si>
  <si>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</si>
  <si>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</si>
  <si>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</si>
  <si>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</si>
  <si>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</si>
  <si>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</si>
  <si>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</si>
  <si>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</si>
  <si>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</si>
  <si>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</si>
  <si>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</si>
  <si>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</si>
  <si>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</si>
  <si>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</si>
  <si>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</si>
  <si>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</si>
  <si>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</si>
  <si>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</si>
  <si>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</si>
  <si>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</si>
  <si>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</si>
  <si>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</si>
  <si>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</si>
  <si>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</si>
  <si>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</si>
  <si>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</si>
  <si>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</si>
  <si>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</si>
  <si>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</si>
  <si>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</si>
  <si>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</si>
  <si>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</si>
  <si>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</si>
  <si>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</si>
  <si>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</si>
  <si>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</si>
  <si>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</si>
  <si>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</si>
  <si>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</si>
  <si>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</si>
  <si>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</si>
  <si>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</si>
  <si>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</si>
  <si>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</si>
  <si>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</si>
  <si>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</si>
  <si>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</si>
  <si>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</si>
  <si>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</si>
  <si>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</si>
  <si>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</si>
  <si>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</si>
  <si>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</si>
  <si>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</si>
  <si>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</si>
  <si>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</si>
  <si>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</si>
  <si>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</si>
  <si>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</si>
  <si>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</si>
  <si>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</si>
  <si>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</si>
  <si>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</si>
  <si>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</si>
  <si>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</si>
  <si>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</si>
  <si>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</si>
  <si>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</si>
  <si>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</si>
  <si>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</si>
  <si>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</si>
  <si>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</si>
  <si>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</si>
  <si>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</si>
  <si>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</si>
  <si>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</si>
  <si>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</si>
  <si>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</si>
  <si>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</si>
  <si>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</si>
  <si>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</si>
  <si>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</si>
  <si>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</si>
  <si>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</si>
  <si>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</si>
  <si>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</si>
  <si>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</si>
  <si>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</si>
  <si>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</si>
  <si>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</si>
  <si>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</si>
  <si>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</si>
  <si>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</si>
  <si>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</si>
  <si>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</si>
  <si>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</si>
  <si>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</si>
  <si>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</si>
  <si>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</si>
  <si>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</si>
  <si>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</si>
  <si>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</si>
  <si>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</si>
  <si>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</si>
  <si>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</si>
  <si>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</si>
  <si>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</si>
  <si>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</si>
  <si>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</si>
  <si>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</si>
  <si>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</si>
  <si>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</si>
  <si>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</si>
  <si>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</si>
  <si>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</si>
  <si>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</si>
  <si>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</si>
  <si>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</si>
  <si>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</si>
  <si>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</si>
  <si>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</si>
  <si>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</si>
  <si>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</si>
  <si>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</si>
  <si>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</si>
  <si>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</si>
  <si>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</si>
  <si>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</si>
  <si>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</si>
  <si>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</si>
  <si>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</si>
  <si>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</si>
  <si>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</si>
  <si>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</si>
  <si>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</si>
  <si>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</si>
  <si>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</si>
  <si>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</si>
  <si>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</si>
  <si>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</si>
  <si>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</si>
  <si>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</si>
  <si>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</si>
  <si>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</si>
  <si>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</si>
  <si>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</si>
  <si>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</si>
  <si>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</si>
  <si>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</si>
  <si>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</si>
  <si>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</si>
  <si>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</si>
  <si>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</si>
  <si>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</si>
  <si>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</si>
  <si>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</si>
  <si>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</si>
  <si>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</si>
  <si>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</si>
  <si>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</si>
  <si>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</si>
  <si>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</si>
  <si>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</si>
  <si>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</si>
  <si>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</si>
  <si>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</si>
  <si>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</si>
  <si>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</si>
  <si>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</si>
  <si>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</si>
  <si>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</si>
  <si>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</si>
  <si>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</si>
  <si>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</si>
  <si>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</si>
  <si>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</si>
  <si>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</si>
  <si>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</si>
  <si>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</si>
  <si>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</si>
  <si>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</si>
  <si>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</si>
  <si>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</si>
  <si>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</si>
  <si>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</si>
  <si>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</si>
  <si>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</si>
  <si>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</si>
  <si>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</si>
  <si>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</si>
  <si>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</si>
  <si>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</si>
  <si>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</si>
  <si>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</si>
  <si>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</si>
  <si>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</si>
  <si>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</si>
  <si>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</si>
  <si>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</si>
  <si>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</si>
  <si>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</si>
  <si>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</si>
  <si>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</si>
  <si>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</si>
  <si>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</si>
  <si>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</si>
  <si>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</si>
  <si>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</si>
  <si>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</si>
  <si>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</si>
  <si>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</si>
  <si>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</si>
  <si>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</si>
  <si>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</si>
  <si>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</si>
  <si>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</si>
  <si>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</si>
  <si>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</si>
  <si>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</si>
  <si>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</si>
  <si>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</si>
  <si>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</si>
  <si>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</si>
  <si>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</si>
  <si>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</si>
  <si>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</si>
  <si>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</si>
  <si>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</si>
  <si>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</si>
  <si>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</si>
  <si>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</si>
  <si>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</si>
  <si>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</si>
  <si>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</si>
  <si>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</si>
  <si>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</si>
  <si>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</si>
  <si>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</si>
  <si>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</si>
  <si>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</si>
  <si>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</si>
  <si>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</si>
  <si>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</si>
  <si>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</si>
  <si>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</si>
  <si>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</si>
  <si>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</si>
  <si>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</si>
  <si>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</si>
  <si>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</si>
  <si>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</si>
  <si>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</si>
  <si>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</si>
  <si>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</si>
  <si>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</si>
  <si>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</si>
  <si>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</si>
  <si>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</si>
  <si>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</si>
  <si>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</si>
  <si>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</si>
  <si>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</si>
  <si>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</si>
  <si>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</si>
  <si>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</si>
  <si>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</si>
  <si>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</si>
  <si>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</si>
  <si>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</si>
  <si>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</si>
  <si>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</si>
  <si>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</si>
  <si>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</si>
  <si>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</si>
  <si>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</si>
  <si>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</si>
  <si>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</si>
  <si>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</si>
  <si>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</si>
  <si>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</si>
  <si>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</si>
  <si>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</si>
  <si>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</si>
  <si>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</si>
  <si>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</si>
  <si>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</si>
  <si>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</si>
  <si>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</si>
  <si>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</si>
  <si>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</si>
  <si>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</si>
  <si>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</si>
  <si>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</si>
  <si>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</si>
  <si>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</si>
  <si>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</si>
  <si>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</si>
  <si>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</si>
  <si>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</si>
  <si>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</si>
  <si>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</si>
  <si>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</si>
  <si>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</si>
  <si>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</si>
  <si>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</si>
  <si>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</si>
  <si>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</si>
  <si>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</si>
  <si>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</si>
  <si>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</si>
  <si>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</si>
  <si>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</si>
  <si>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</si>
  <si>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</si>
  <si>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</si>
  <si>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</si>
  <si>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</si>
  <si>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</si>
  <si>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</si>
  <si>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</si>
  <si>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</si>
  <si>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</si>
  <si>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</si>
  <si>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</si>
  <si>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</si>
  <si>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</si>
  <si>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</si>
  <si>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</si>
  <si>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</si>
  <si>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</si>
  <si>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</si>
  <si>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</si>
  <si>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</si>
  <si>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</si>
  <si>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</si>
  <si>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</si>
  <si>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</si>
  <si>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</si>
  <si>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</si>
  <si>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</si>
  <si>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</si>
  <si>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</si>
  <si>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</si>
  <si>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</si>
  <si>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</si>
  <si>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</si>
  <si>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</si>
  <si>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</si>
  <si>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</si>
  <si>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</si>
  <si>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</si>
  <si>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</si>
  <si>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</si>
  <si>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</si>
  <si>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</si>
  <si>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</si>
  <si>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</si>
  <si>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</si>
  <si>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</si>
  <si>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</si>
  <si>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</si>
  <si>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</si>
  <si>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</si>
  <si>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</si>
  <si>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</si>
  <si>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</si>
  <si>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</si>
  <si>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</si>
  <si>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</si>
  <si>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</si>
  <si>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</si>
  <si>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</si>
  <si>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</si>
  <si>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</si>
  <si>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</si>
  <si>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</si>
  <si>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</si>
  <si>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</si>
  <si>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</si>
  <si>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</si>
  <si>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</si>
  <si>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</si>
  <si>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</si>
  <si>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</si>
  <si>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</si>
  <si>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</si>
  <si>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</si>
  <si>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</si>
  <si>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</si>
  <si>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</si>
  <si>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</si>
  <si>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</si>
  <si>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</si>
  <si>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</si>
  <si>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</si>
  <si>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</si>
  <si>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</si>
  <si>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</si>
  <si>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</si>
  <si>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</si>
  <si>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</si>
  <si>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</si>
  <si>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</si>
  <si>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</si>
  <si>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</si>
  <si>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</si>
  <si>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</si>
  <si>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</si>
  <si>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</si>
  <si>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</si>
  <si>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</si>
  <si>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</si>
  <si>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ANO&gt;&gt;&gt;</t>
  </si>
  <si>
    <t>FLUXO DE CAIXA - REGIME DE CAIXA (Realizado)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</si>
  <si>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</si>
  <si>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</si>
  <si>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</si>
  <si>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</si>
  <si>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</si>
  <si>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</si>
  <si>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</si>
  <si>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</si>
  <si>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</si>
  <si>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</si>
  <si>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</si>
  <si>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</si>
  <si>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</si>
  <si>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</si>
  <si>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</si>
  <si>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</si>
  <si>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</si>
  <si>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COMPETÊNCIA (Contábil)</t>
  </si>
  <si>
    <t>RESULTADO MENSAl - REGIME DE COMPETÊNCIA</t>
  </si>
  <si>
    <t>TOTAL DE ENTRADAS</t>
  </si>
  <si>
    <t>TOTAL DE SAÍDAS</t>
  </si>
  <si>
    <t>LUCRO</t>
  </si>
  <si>
    <t>PREJUÍZO</t>
  </si>
  <si>
    <t>ACUMULADO</t>
  </si>
  <si>
    <t>Mês Caixa</t>
  </si>
  <si>
    <t>Ano Caixa</t>
  </si>
  <si>
    <t>Mês Competência</t>
  </si>
  <si>
    <t>Ano Competência</t>
  </si>
  <si>
    <t>Rótulos de Linha</t>
  </si>
  <si>
    <t>Total Geral</t>
  </si>
  <si>
    <t>Rótulos de Coluna</t>
  </si>
  <si>
    <t>Soma de Valor</t>
  </si>
  <si>
    <t>Soma de Ano Competência</t>
  </si>
  <si>
    <t>Total Soma de Ano Competência</t>
  </si>
  <si>
    <t>Total Soma de Valor</t>
  </si>
  <si>
    <t>Ano Previsto</t>
  </si>
  <si>
    <t>Mês Previsto</t>
  </si>
  <si>
    <t>0 Total</t>
  </si>
  <si>
    <t>Conta Vencida</t>
  </si>
  <si>
    <t>Vencida</t>
  </si>
  <si>
    <t>Vencida Total</t>
  </si>
  <si>
    <t>Saldo de Caixa</t>
  </si>
  <si>
    <t>Contas a Pagar e a Receber Mensal</t>
  </si>
  <si>
    <t>Evolução de Vendas - Conta Nível 2</t>
  </si>
  <si>
    <t>Contas a Pagar</t>
  </si>
  <si>
    <t>Total</t>
  </si>
  <si>
    <t>Contas a Receber</t>
  </si>
  <si>
    <t>Perfil das Vendas</t>
  </si>
  <si>
    <t>Atraso médio das contas</t>
  </si>
  <si>
    <t>Resultado Acumulado</t>
  </si>
  <si>
    <t>Despesa Mensal - Conta Nível 2</t>
  </si>
  <si>
    <t>A Receber</t>
  </si>
  <si>
    <t>A Pagar</t>
  </si>
  <si>
    <t>Dias</t>
  </si>
  <si>
    <t>DASHBOARD FINANCEIRO - POSIÇÃO ANUAL</t>
  </si>
  <si>
    <t>DASHBOARD ANUAL</t>
  </si>
  <si>
    <t>Minigráficos de contas a Pagar e a Receber</t>
  </si>
  <si>
    <t>Evolução das vendas</t>
  </si>
  <si>
    <t>Ano:</t>
  </si>
  <si>
    <t>ANO:</t>
  </si>
  <si>
    <t>Mês</t>
  </si>
  <si>
    <t>Pagar Mensal</t>
  </si>
  <si>
    <t>Receber Mensal</t>
  </si>
  <si>
    <t>Gráfico</t>
  </si>
  <si>
    <t>Jan</t>
  </si>
  <si>
    <t>Fev</t>
  </si>
  <si>
    <t>Saldo do Caixa</t>
  </si>
  <si>
    <t>Mar</t>
  </si>
  <si>
    <t>Entradas</t>
  </si>
  <si>
    <t>Abr</t>
  </si>
  <si>
    <t>Saídas</t>
  </si>
  <si>
    <t>Mai</t>
  </si>
  <si>
    <t>Saldo</t>
  </si>
  <si>
    <t>Jun</t>
  </si>
  <si>
    <t>Jul</t>
  </si>
  <si>
    <t>Contas a pagar total</t>
  </si>
  <si>
    <t>Ago</t>
  </si>
  <si>
    <t>Contas a receber total</t>
  </si>
  <si>
    <t>Set</t>
  </si>
  <si>
    <t>Out</t>
  </si>
  <si>
    <t>Nov</t>
  </si>
  <si>
    <t>Dez</t>
  </si>
  <si>
    <t xml:space="preserve">Perfil das Vendas </t>
  </si>
  <si>
    <t>Ano</t>
  </si>
  <si>
    <t>À Vista</t>
  </si>
  <si>
    <t>A Prazo</t>
  </si>
  <si>
    <t>Atraso médio nas contas a receber</t>
  </si>
  <si>
    <t>Atraso médio nas contas a pagar</t>
  </si>
  <si>
    <t>Qtde.</t>
  </si>
  <si>
    <t>Média</t>
  </si>
  <si>
    <t>Resultado no Período</t>
  </si>
  <si>
    <t>Despesa Mensal</t>
  </si>
  <si>
    <t>Resultado</t>
  </si>
  <si>
    <t>Saldo Inicial</t>
  </si>
  <si>
    <t xml:space="preserve"> J   F   M   A   M   J   J   A    S   O   N   D </t>
  </si>
  <si>
    <t>Venda à Vista</t>
  </si>
  <si>
    <t>Dias de Atraso</t>
  </si>
  <si>
    <t xml:space="preserve">  J   F  M   A   M   J    J    A   S   O   N   D</t>
  </si>
  <si>
    <t>DASHBOARD ATUAL (NO ANO DADO ATÉ "HOJE")</t>
  </si>
  <si>
    <t>HOJE: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</si>
</sst>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R$&quot;\ #,##0;[Red]\-&quot;R$&quot;\ #,##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#,##0_ ;[Red]\-#,##0\ "/>
    <numFmt numFmtId="167" formatCode="&quot;R$&quot;\ #,##0"/>
    <numFmt numFmtId="168" formatCode="&quot;R$&quot;\ #,##0.00"/>
  </numFmts>
  <fonts count="33" x14ac:knownFonts="1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4" tint="-0.249977111117893"/>
      <name val="Calibri"/>
      <family val="2"/>
      <scheme val="minor"/>
    </font>
    <font>
      <b/>
      <sz val="24"/>
      <color theme="2" tint="-0.499984740745262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sz val="10.5"/>
      <color theme="2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0"/>
      <color theme="4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4"/>
      <color theme="2" tint="-0.49998474074526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28"/>
      <color theme="9" tint="-0.249977111117893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  <font>
      <b/>
      <sz val="20"/>
      <color theme="8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4472C4"/>
      <name val="Calibri"/>
      <family val="2"/>
    </font>
    <font>
      <sz val="11"/>
      <color rgb="FF548235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theme="7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/>
      <right/>
      <top style="thin">
        <color theme="2" tint="-0.24994659260841701"/>
      </top>
      <bottom/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theme="2" tint="-0.24994659260841701"/>
      </left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 style="thin">
        <color theme="3" tint="0.399945066682943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14548173467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/>
      <right/>
      <top style="thin">
        <color theme="3" tint="0.39994506668294322"/>
      </top>
      <bottom/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1454817346722"/>
      </left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/>
      <bottom/>
      <diagonal/>
    </border>
    <border>
      <left style="thin">
        <color theme="3" tint="0.39991454817346722"/>
      </left>
      <right style="thin">
        <color theme="3" tint="0.39988402966399123"/>
      </right>
      <top/>
      <bottom/>
      <diagonal/>
    </border>
    <border>
      <left style="thin">
        <color theme="3" tint="0.39991454817346722"/>
      </left>
      <right style="thin">
        <color theme="3" tint="0.39991454817346722"/>
      </right>
      <top/>
      <bottom/>
      <diagonal/>
    </border>
    <border>
      <left style="thin">
        <color theme="3" tint="0.39994506668294322"/>
      </left>
      <right/>
      <top/>
      <bottom style="thin">
        <color theme="3" tint="0.39994506668294322"/>
      </bottom>
      <diagonal/>
    </border>
    <border>
      <left/>
      <right/>
      <top/>
      <bottom style="thin">
        <color theme="3" tint="0.39994506668294322"/>
      </bottom>
      <diagonal/>
    </border>
    <border>
      <left style="thin">
        <color theme="3" tint="0.39991454817346722"/>
      </left>
      <right style="thin">
        <color theme="3" tint="0.39988402966399123"/>
      </right>
      <top/>
      <bottom style="thin">
        <color theme="3" tint="0.39991454817346722"/>
      </bottom>
      <diagonal/>
    </border>
    <border>
      <left style="thin">
        <color theme="3" tint="0.39991454817346722"/>
      </left>
      <right style="thin">
        <color theme="3" tint="0.39991454817346722"/>
      </right>
      <top/>
      <bottom style="thin">
        <color theme="3" tint="0.39994506668294322"/>
      </bottom>
      <diagonal/>
    </border>
    <border>
      <left/>
      <right/>
      <top style="thin">
        <color rgb="FFA6A6A6"/>
      </top>
      <bottom style="thin">
        <color rgb="FFA6A6A6"/>
      </bottom>
      <diagonal/>
    </border>
    <border>
      <left/>
      <right/>
      <top style="thin">
        <color rgb="FFA6A6A6"/>
      </top>
      <bottom/>
      <diagonal/>
    </border>
    <border>
      <left/>
      <right/>
      <top/>
      <bottom style="thin">
        <color rgb="FFA6A6A6"/>
      </bottom>
      <diagonal/>
    </border>
    <border>
      <left/>
      <right/>
      <top style="thin">
        <color rgb="FFA6A6A6"/>
      </top>
      <bottom style="thin">
        <color indexed="64"/>
      </bottom>
      <diagonal/>
    </border>
    <border>
      <left/>
      <right style="thin">
        <color rgb="FFA6A6A6"/>
      </right>
      <top style="thin">
        <color rgb="FFA6A6A6"/>
      </top>
      <bottom/>
      <diagonal/>
    </border>
    <border>
      <left/>
      <right style="thin">
        <color rgb="FFA6A6A6"/>
      </right>
      <top/>
      <bottom style="thin">
        <color rgb="FFA6A6A6"/>
      </bottom>
      <diagonal/>
    </border>
  </borders>
  <cellStyleXfs count="3">
    <xf numFmtId="0" fontId="0" fillId="0" borderId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</cellStyleXfs>
  <cellXfs count="160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0" borderId="0" xfId="0" applyFont="1"/>
    <xf numFmtId="0" fontId="0" fillId="4" borderId="0" xfId="0" applyFill="1"/>
    <xf numFmtId="0" fontId="0" fillId="3" borderId="0" xfId="0" applyFill="1"/>
    <xf numFmtId="0" fontId="5" fillId="3" borderId="1" xfId="0" applyFont="1" applyFill="1" applyBorder="1" applyAlignment="1">
      <alignment horizontal="center" vertical="center"/>
    </xf>
    <xf numFmtId="14" fontId="0" fillId="0" borderId="0" xfId="0" applyNumberFormat="1"/>
    <xf numFmtId="14" fontId="2" fillId="2" borderId="0" xfId="0" applyNumberFormat="1" applyFont="1" applyFill="1" applyAlignment="1">
      <alignment vertical="center"/>
    </xf>
    <xf numFmtId="14" fontId="0" fillId="2" borderId="0" xfId="0" applyNumberFormat="1" applyFill="1"/>
    <xf numFmtId="14" fontId="0" fillId="4" borderId="0" xfId="0" applyNumberFormat="1" applyFill="1"/>
    <xf numFmtId="44" fontId="1" fillId="2" borderId="0" xfId="0" applyNumberFormat="1" applyFont="1" applyFill="1" applyAlignment="1">
      <alignment horizontal="right" vertical="center"/>
    </xf>
    <xf numFmtId="44" fontId="0" fillId="4" borderId="0" xfId="0" applyNumberFormat="1" applyFill="1"/>
    <xf numFmtId="44" fontId="0" fillId="0" borderId="0" xfId="0" applyNumberFormat="1"/>
    <xf numFmtId="0" fontId="0" fillId="0" borderId="0" xfId="0" applyAlignment="1">
      <alignment vertical="top"/>
    </xf>
    <xf numFmtId="14" fontId="0" fillId="3" borderId="0" xfId="0" applyNumberFormat="1" applyFill="1" applyAlignment="1">
      <alignment vertical="top" wrapText="1"/>
    </xf>
    <xf numFmtId="0" fontId="0" fillId="3" borderId="0" xfId="0" applyFill="1" applyAlignment="1">
      <alignment vertical="top" wrapText="1"/>
    </xf>
    <xf numFmtId="44" fontId="0" fillId="3" borderId="0" xfId="0" applyNumberFormat="1" applyFill="1" applyAlignment="1">
      <alignment vertical="top" wrapText="1"/>
    </xf>
    <xf numFmtId="14" fontId="5" fillId="3" borderId="7" xfId="0" applyNumberFormat="1" applyFont="1" applyFill="1" applyBorder="1" applyAlignment="1">
      <alignment vertical="top" wrapText="1"/>
    </xf>
    <xf numFmtId="0" fontId="5" fillId="3" borderId="7" xfId="0" applyFont="1" applyFill="1" applyBorder="1" applyAlignment="1">
      <alignment vertical="top" wrapText="1"/>
    </xf>
    <xf numFmtId="44" fontId="5" fillId="3" borderId="7" xfId="0" applyNumberFormat="1" applyFont="1" applyFill="1" applyBorder="1" applyAlignment="1">
      <alignment vertical="top" wrapText="1"/>
    </xf>
    <xf numFmtId="0" fontId="6" fillId="0" borderId="0" xfId="0" applyFont="1"/>
    <xf numFmtId="0" fontId="7" fillId="4" borderId="1" xfId="0" applyFont="1" applyFill="1" applyBorder="1" applyAlignment="1">
      <alignment horizontal="center" vertical="center"/>
    </xf>
    <xf numFmtId="0" fontId="8" fillId="0" borderId="0" xfId="0" applyFont="1"/>
    <xf numFmtId="0" fontId="5" fillId="3" borderId="13" xfId="0" applyFont="1" applyFill="1" applyBorder="1" applyAlignment="1">
      <alignment horizontal="right" vertical="center"/>
    </xf>
    <xf numFmtId="0" fontId="5" fillId="3" borderId="3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9" xfId="0" applyNumberFormat="1" applyBorder="1" applyAlignment="1">
      <alignment vertical="center"/>
    </xf>
    <xf numFmtId="164" fontId="0" fillId="0" borderId="11" xfId="0" applyNumberFormat="1" applyBorder="1" applyAlignment="1">
      <alignment vertical="center"/>
    </xf>
    <xf numFmtId="164" fontId="0" fillId="0" borderId="12" xfId="0" applyNumberFormat="1" applyBorder="1" applyAlignment="1">
      <alignment vertical="center"/>
    </xf>
    <xf numFmtId="0" fontId="10" fillId="0" borderId="0" xfId="0" applyFont="1"/>
    <xf numFmtId="0" fontId="0" fillId="0" borderId="8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164" fontId="0" fillId="4" borderId="11" xfId="0" applyNumberFormat="1" applyFill="1" applyBorder="1" applyAlignment="1">
      <alignment vertical="center"/>
    </xf>
    <xf numFmtId="164" fontId="0" fillId="4" borderId="12" xfId="0" applyNumberFormat="1" applyFill="1" applyBorder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  <xf numFmtId="164" fontId="0" fillId="0" borderId="5" xfId="0" applyNumberFormat="1" applyBorder="1" applyAlignment="1">
      <alignment vertical="center"/>
    </xf>
    <xf numFmtId="164" fontId="13" fillId="4" borderId="6" xfId="0" applyNumberFormat="1" applyFont="1" applyFill="1" applyBorder="1" applyAlignment="1">
      <alignment vertical="center"/>
    </xf>
    <xf numFmtId="164" fontId="13" fillId="4" borderId="11" xfId="0" applyNumberFormat="1" applyFont="1" applyFill="1" applyBorder="1" applyAlignment="1">
      <alignment vertical="center"/>
    </xf>
    <xf numFmtId="164" fontId="13" fillId="4" borderId="5" xfId="0" applyNumberFormat="1" applyFont="1" applyFill="1" applyBorder="1" applyAlignment="1">
      <alignment vertical="center"/>
    </xf>
    <xf numFmtId="164" fontId="13" fillId="4" borderId="12" xfId="0" applyNumberFormat="1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0" fillId="5" borderId="0" xfId="0" applyFill="1"/>
    <xf numFmtId="44" fontId="0" fillId="5" borderId="0" xfId="0" applyNumberFormat="1" applyFill="1"/>
    <xf numFmtId="0" fontId="0" fillId="0" borderId="0" xfId="0" applyAlignment="1"/>
    <xf numFmtId="14" fontId="0" fillId="4" borderId="0" xfId="0" applyNumberFormat="1" applyFill="1" applyAlignment="1">
      <alignment vertical="center"/>
    </xf>
    <xf numFmtId="0" fontId="14" fillId="4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5" fillId="0" borderId="14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7" fillId="0" borderId="16" xfId="0" applyFont="1" applyBorder="1" applyAlignment="1">
      <alignment vertical="center"/>
    </xf>
    <xf numFmtId="0" fontId="15" fillId="0" borderId="16" xfId="0" applyFont="1" applyBorder="1" applyAlignment="1">
      <alignment horizontal="left" vertical="center"/>
    </xf>
    <xf numFmtId="0" fontId="17" fillId="6" borderId="17" xfId="0" applyFont="1" applyFill="1" applyBorder="1" applyAlignment="1" applyProtection="1">
      <alignment horizontal="center" vertical="center"/>
      <protection locked="0"/>
    </xf>
    <xf numFmtId="6" fontId="18" fillId="0" borderId="18" xfId="2" applyNumberFormat="1" applyFont="1" applyBorder="1" applyAlignment="1" applyProtection="1">
      <alignment horizontal="center" vertical="center"/>
    </xf>
    <xf numFmtId="0" fontId="19" fillId="0" borderId="18" xfId="0" quotePrefix="1" applyFont="1" applyBorder="1"/>
    <xf numFmtId="0" fontId="0" fillId="0" borderId="19" xfId="0" applyBorder="1"/>
    <xf numFmtId="0" fontId="15" fillId="0" borderId="0" xfId="0" applyFont="1" applyAlignment="1">
      <alignment vertical="center"/>
    </xf>
    <xf numFmtId="0" fontId="20" fillId="0" borderId="20" xfId="0" applyFont="1" applyBorder="1" applyAlignment="1">
      <alignment vertical="center" wrapText="1"/>
    </xf>
    <xf numFmtId="6" fontId="20" fillId="0" borderId="20" xfId="0" applyNumberFormat="1" applyFont="1" applyBorder="1" applyAlignment="1">
      <alignment horizontal="center" vertical="center"/>
    </xf>
    <xf numFmtId="6" fontId="21" fillId="0" borderId="18" xfId="2" applyNumberFormat="1" applyFont="1" applyBorder="1" applyAlignment="1" applyProtection="1">
      <alignment horizontal="center" vertical="center"/>
    </xf>
    <xf numFmtId="6" fontId="22" fillId="0" borderId="20" xfId="0" applyNumberFormat="1" applyFont="1" applyBorder="1" applyAlignment="1">
      <alignment horizontal="center" vertical="center"/>
    </xf>
    <xf numFmtId="6" fontId="22" fillId="0" borderId="20" xfId="0" applyNumberFormat="1" applyFont="1" applyBorder="1" applyAlignment="1">
      <alignment vertical="center"/>
    </xf>
    <xf numFmtId="6" fontId="23" fillId="0" borderId="18" xfId="2" applyNumberFormat="1" applyFont="1" applyBorder="1" applyAlignment="1" applyProtection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2" xfId="0" applyBorder="1" applyAlignment="1">
      <alignment vertical="center"/>
    </xf>
    <xf numFmtId="6" fontId="22" fillId="0" borderId="23" xfId="0" applyNumberFormat="1" applyFont="1" applyBorder="1" applyAlignment="1">
      <alignment vertical="center"/>
    </xf>
    <xf numFmtId="0" fontId="15" fillId="0" borderId="15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20" xfId="0" applyBorder="1" applyAlignment="1">
      <alignment vertical="center"/>
    </xf>
    <xf numFmtId="0" fontId="15" fillId="0" borderId="20" xfId="0" applyFont="1" applyBorder="1" applyAlignment="1">
      <alignment horizontal="center" vertical="center"/>
    </xf>
    <xf numFmtId="6" fontId="24" fillId="0" borderId="29" xfId="0" applyNumberFormat="1" applyFont="1" applyBorder="1" applyAlignment="1">
      <alignment horizontal="center" vertical="center"/>
    </xf>
    <xf numFmtId="0" fontId="17" fillId="6" borderId="30" xfId="0" applyFont="1" applyFill="1" applyBorder="1" applyAlignment="1" applyProtection="1">
      <alignment horizontal="center" vertical="center"/>
      <protection locked="0"/>
    </xf>
    <xf numFmtId="3" fontId="25" fillId="0" borderId="28" xfId="0" applyNumberFormat="1" applyFont="1" applyBorder="1" applyAlignment="1">
      <alignment vertical="center"/>
    </xf>
    <xf numFmtId="3" fontId="26" fillId="0" borderId="20" xfId="0" applyNumberFormat="1" applyFont="1" applyBorder="1" applyAlignment="1">
      <alignment vertical="center"/>
    </xf>
    <xf numFmtId="0" fontId="0" fillId="0" borderId="29" xfId="0" applyBorder="1" applyAlignment="1">
      <alignment vertical="center"/>
    </xf>
    <xf numFmtId="167" fontId="27" fillId="0" borderId="30" xfId="0" applyNumberFormat="1" applyFont="1" applyBorder="1" applyAlignment="1">
      <alignment horizontal="center" vertical="center"/>
    </xf>
    <xf numFmtId="168" fontId="28" fillId="0" borderId="28" xfId="0" applyNumberFormat="1" applyFont="1" applyBorder="1" applyAlignment="1">
      <alignment vertical="center"/>
    </xf>
    <xf numFmtId="3" fontId="21" fillId="0" borderId="28" xfId="0" applyNumberFormat="1" applyFont="1" applyBorder="1" applyAlignment="1">
      <alignment horizontal="center" vertical="center"/>
    </xf>
    <xf numFmtId="3" fontId="22" fillId="0" borderId="20" xfId="0" applyNumberFormat="1" applyFont="1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25" fillId="0" borderId="28" xfId="0" applyFont="1" applyBorder="1" applyAlignment="1">
      <alignment vertical="center"/>
    </xf>
    <xf numFmtId="0" fontId="29" fillId="0" borderId="28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168" fontId="28" fillId="0" borderId="31" xfId="0" applyNumberFormat="1" applyFont="1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23" xfId="0" applyBorder="1" applyAlignment="1">
      <alignment vertical="center"/>
    </xf>
    <xf numFmtId="0" fontId="29" fillId="0" borderId="31" xfId="0" applyFont="1" applyBorder="1" applyAlignment="1">
      <alignment vertical="center"/>
    </xf>
    <xf numFmtId="0" fontId="29" fillId="0" borderId="23" xfId="0" applyFont="1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4" borderId="0" xfId="0" applyFill="1" applyAlignment="1">
      <alignment vertical="center"/>
    </xf>
    <xf numFmtId="43" fontId="0" fillId="0" borderId="0" xfId="1" applyFont="1" applyAlignment="1" applyProtection="1">
      <alignment vertical="center"/>
    </xf>
    <xf numFmtId="0" fontId="12" fillId="0" borderId="0" xfId="0" applyFont="1" applyAlignment="1">
      <alignment vertical="center"/>
    </xf>
    <xf numFmtId="0" fontId="30" fillId="7" borderId="0" xfId="0" applyFont="1" applyFill="1" applyAlignment="1">
      <alignment vertical="center"/>
    </xf>
    <xf numFmtId="0" fontId="30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30" fillId="4" borderId="0" xfId="0" applyFont="1" applyFill="1" applyAlignment="1">
      <alignment vertical="center"/>
    </xf>
    <xf numFmtId="0" fontId="12" fillId="8" borderId="0" xfId="0" applyFont="1" applyFill="1" applyAlignment="1">
      <alignment vertical="center"/>
    </xf>
    <xf numFmtId="0" fontId="12" fillId="0" borderId="35" xfId="0" applyFont="1" applyBorder="1" applyAlignment="1">
      <alignment horizontal="right" vertical="center"/>
    </xf>
    <xf numFmtId="0" fontId="12" fillId="0" borderId="35" xfId="0" applyFont="1" applyBorder="1" applyAlignment="1">
      <alignment horizontal="right" vertical="center" wrapText="1"/>
    </xf>
    <xf numFmtId="0" fontId="12" fillId="8" borderId="35" xfId="0" applyFont="1" applyFill="1" applyBorder="1" applyAlignment="1">
      <alignment horizontal="left" vertical="center"/>
    </xf>
    <xf numFmtId="0" fontId="12" fillId="0" borderId="36" xfId="0" applyFont="1" applyBorder="1" applyAlignment="1">
      <alignment vertical="center"/>
    </xf>
    <xf numFmtId="43" fontId="12" fillId="4" borderId="36" xfId="1" applyFont="1" applyFill="1" applyBorder="1" applyAlignment="1">
      <alignment horizontal="right" vertical="center"/>
    </xf>
    <xf numFmtId="0" fontId="12" fillId="0" borderId="36" xfId="0" applyFont="1" applyBorder="1" applyAlignment="1">
      <alignment horizontal="right" vertical="center"/>
    </xf>
    <xf numFmtId="43" fontId="12" fillId="4" borderId="0" xfId="1" applyFont="1" applyFill="1" applyBorder="1" applyAlignment="1">
      <alignment horizontal="right" vertical="center"/>
    </xf>
    <xf numFmtId="43" fontId="12" fillId="4" borderId="36" xfId="1" applyFont="1" applyFill="1" applyBorder="1" applyAlignment="1">
      <alignment vertical="center"/>
    </xf>
    <xf numFmtId="43" fontId="12" fillId="4" borderId="0" xfId="1" applyFont="1" applyFill="1" applyBorder="1" applyAlignment="1">
      <alignment vertical="center"/>
    </xf>
    <xf numFmtId="0" fontId="12" fillId="0" borderId="37" xfId="0" applyFont="1" applyBorder="1" applyAlignment="1">
      <alignment vertical="center"/>
    </xf>
    <xf numFmtId="43" fontId="31" fillId="4" borderId="37" xfId="1" applyFont="1" applyFill="1" applyBorder="1" applyAlignment="1">
      <alignment vertical="center"/>
    </xf>
    <xf numFmtId="0" fontId="30" fillId="0" borderId="36" xfId="0" applyFont="1" applyBorder="1" applyAlignment="1">
      <alignment vertical="center"/>
    </xf>
    <xf numFmtId="0" fontId="30" fillId="0" borderId="37" xfId="0" applyFont="1" applyBorder="1" applyAlignment="1">
      <alignment vertical="center"/>
    </xf>
    <xf numFmtId="43" fontId="12" fillId="4" borderId="37" xfId="1" applyFont="1" applyFill="1" applyBorder="1" applyAlignment="1">
      <alignment vertical="center"/>
    </xf>
    <xf numFmtId="43" fontId="12" fillId="4" borderId="37" xfId="1" applyFont="1" applyFill="1" applyBorder="1" applyAlignment="1">
      <alignment horizontal="right" vertical="center"/>
    </xf>
    <xf numFmtId="0" fontId="12" fillId="0" borderId="37" xfId="0" applyFont="1" applyBorder="1" applyAlignment="1">
      <alignment horizontal="right" vertical="center"/>
    </xf>
    <xf numFmtId="14" fontId="12" fillId="0" borderId="0" xfId="0" applyNumberFormat="1" applyFont="1" applyAlignment="1">
      <alignment vertical="center"/>
    </xf>
    <xf numFmtId="0" fontId="12" fillId="4" borderId="35" xfId="0" applyFont="1" applyFill="1" applyBorder="1" applyAlignment="1">
      <alignment vertical="center"/>
    </xf>
    <xf numFmtId="43" fontId="12" fillId="4" borderId="35" xfId="1" applyFont="1" applyFill="1" applyBorder="1" applyAlignment="1">
      <alignment horizontal="right" vertical="center"/>
    </xf>
    <xf numFmtId="3" fontId="12" fillId="4" borderId="35" xfId="0" applyNumberFormat="1" applyFont="1" applyFill="1" applyBorder="1" applyAlignment="1">
      <alignment vertical="center"/>
    </xf>
    <xf numFmtId="1" fontId="12" fillId="0" borderId="0" xfId="0" applyNumberFormat="1" applyFont="1" applyAlignment="1">
      <alignment vertical="center"/>
    </xf>
    <xf numFmtId="14" fontId="12" fillId="0" borderId="36" xfId="0" applyNumberFormat="1" applyFont="1" applyBorder="1" applyAlignment="1">
      <alignment horizontal="right" vertical="center"/>
    </xf>
    <xf numFmtId="0" fontId="12" fillId="8" borderId="35" xfId="0" applyFont="1" applyFill="1" applyBorder="1" applyAlignment="1">
      <alignment horizontal="right" vertical="center" wrapText="1"/>
    </xf>
    <xf numFmtId="167" fontId="12" fillId="4" borderId="38" xfId="0" applyNumberFormat="1" applyFont="1" applyFill="1" applyBorder="1" applyAlignment="1">
      <alignment horizontal="right" vertical="center"/>
    </xf>
    <xf numFmtId="6" fontId="32" fillId="4" borderId="38" xfId="0" applyNumberFormat="1" applyFont="1" applyFill="1" applyBorder="1" applyAlignment="1">
      <alignment horizontal="right" vertical="center"/>
    </xf>
    <xf numFmtId="167" fontId="12" fillId="4" borderId="35" xfId="0" applyNumberFormat="1" applyFont="1" applyFill="1" applyBorder="1" applyAlignment="1">
      <alignment vertical="center"/>
    </xf>
    <xf numFmtId="0" fontId="0" fillId="0" borderId="0" xfId="0" applyFont="1"/>
    <xf numFmtId="0" fontId="12" fillId="0" borderId="0" xfId="0" applyFont="1" applyBorder="1" applyAlignment="1">
      <alignment vertical="center"/>
    </xf>
    <xf numFmtId="43" fontId="12" fillId="5" borderId="0" xfId="1" applyFont="1" applyFill="1" applyBorder="1" applyAlignment="1">
      <alignment vertical="center"/>
    </xf>
    <xf numFmtId="43" fontId="12" fillId="4" borderId="39" xfId="1" applyFont="1" applyFill="1" applyBorder="1" applyAlignment="1">
      <alignment vertical="center"/>
    </xf>
    <xf numFmtId="43" fontId="12" fillId="4" borderId="40" xfId="1" applyFon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8" fontId="22" fillId="0" borderId="20" xfId="0" applyNumberFormat="1" applyFont="1" applyBorder="1" applyAlignment="1">
      <alignment horizontal="center" vertical="center"/>
    </xf>
    <xf numFmtId="168" fontId="23" fillId="0" borderId="18" xfId="2" applyNumberFormat="1" applyFont="1" applyBorder="1" applyAlignment="1" applyProtection="1">
      <alignment horizontal="center" vertical="center"/>
    </xf>
    <xf numFmtId="168" fontId="21" fillId="0" borderId="18" xfId="2" applyNumberFormat="1" applyFont="1" applyBorder="1" applyAlignment="1" applyProtection="1">
      <alignment horizontal="center" vertical="center"/>
    </xf>
    <xf numFmtId="168" fontId="18" fillId="0" borderId="18" xfId="2" applyNumberFormat="1" applyFont="1" applyBorder="1" applyAlignment="1" applyProtection="1">
      <alignment horizontal="center" vertical="center"/>
    </xf>
    <xf numFmtId="0" fontId="12" fillId="4" borderId="38" xfId="0" applyNumberFormat="1" applyFont="1" applyFill="1" applyBorder="1" applyAlignment="1">
      <alignment horizontal="right" vertical="center"/>
    </xf>
    <xf numFmtId="14" fontId="14" fillId="4" borderId="0" xfId="0" applyNumberFormat="1" applyFont="1" applyFill="1" applyAlignment="1">
      <alignment vertical="center"/>
    </xf>
    <xf numFmtId="14" fontId="12" fillId="8" borderId="0" xfId="0" applyNumberFormat="1" applyFont="1" applyFill="1" applyAlignment="1">
      <alignment vertical="center"/>
    </xf>
    <xf numFmtId="0" fontId="12" fillId="4" borderId="38" xfId="0" applyFont="1" applyFill="1" applyBorder="1" applyAlignment="1">
      <alignment horizontal="right" vertical="center"/>
    </xf>
    <xf numFmtId="0" fontId="3" fillId="3" borderId="0" xfId="0" applyFont="1" applyFill="1" applyProtection="1">
      <protection locked="0"/>
    </xf>
  </cellXfs>
  <cellStyles count="3">
    <cellStyle name="Moeda" xfId="2" builtinId="4"/>
    <cellStyle name="Normal" xfId="0" builtinId="0"/>
    <cellStyle name="Vírgula" xfId="1" builtinId="3"/>
  </cellStyles>
  <dxfs count="41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wrapText="0"/>
    </dxf>
    <dxf>
      <alignment wrapText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19" formatCode="dd/mm/yyyy"/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border outline="0"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4" formatCode="_-&quot;R$&quot;\ * #,##0.00_-;\-&quot;R$&quot;\ * #,##0.00_-;_-&quot;R$&quot;\ * &quot;-&quot;??_-;_-@_-"/>
    </dxf>
    <dxf>
      <numFmt numFmtId="19" formatCode="dd/mm/yyyy"/>
    </dxf>
    <dxf>
      <numFmt numFmtId="19" formatCode="dd/mm/yyyy"/>
    </dxf>
    <dxf>
      <numFmt numFmtId="19" formatCode="dd/mm/yyyy"/>
    </dxf>
    <dxf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</dxf>
    <dxf>
      <border outline="0">
        <top style="thin">
          <color theme="2" tint="-0.24994659260841701"/>
        </top>
      </border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07/relationships/slicerCache" Target="slicerCaches/slicerCache2.xml"/><Relationship Id="rId21" Type="http://schemas.openxmlformats.org/officeDocument/2006/relationships/externalLink" Target="externalLinks/externalLink3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07/relationships/slicerCache" Target="slicerCaches/slicerCache1.xml"/><Relationship Id="rId33" Type="http://schemas.microsoft.com/office/2007/relationships/slicerCache" Target="slicerCaches/slicerCache9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29" Type="http://schemas.microsoft.com/office/2007/relationships/slicerCache" Target="slicerCaches/slicerCache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2.xml"/><Relationship Id="rId32" Type="http://schemas.microsoft.com/office/2007/relationships/slicerCache" Target="slicerCaches/slicerCache8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28" Type="http://schemas.microsoft.com/office/2007/relationships/slicerCache" Target="slicerCaches/slicerCache4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31" Type="http://schemas.microsoft.com/office/2007/relationships/slicerCache" Target="slicerCaches/slicerCache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microsoft.com/office/2007/relationships/slicerCache" Target="slicerCaches/slicerCache3.xml"/><Relationship Id="rId30" Type="http://schemas.microsoft.com/office/2007/relationships/slicerCache" Target="slicerCaches/slicerCache6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[1]DashBoardFinanceiroAtualD!$L$5:$L$16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[1]DashBoardFinanceiroAtualD!$K$5:$K$16</c:f>
              <c:numCache>
                <c:formatCode>General</c:formatCode>
                <c:ptCount val="12"/>
                <c:pt idx="0">
                  <c:v>#N/A</c:v>
                </c:pt>
                <c:pt idx="1">
                  <c:v>5718</c:v>
                </c:pt>
                <c:pt idx="2">
                  <c:v>4918</c:v>
                </c:pt>
                <c:pt idx="3">
                  <c:v>3446</c:v>
                </c:pt>
                <c:pt idx="4">
                  <c:v>611</c:v>
                </c:pt>
                <c:pt idx="5">
                  <c:v>3224</c:v>
                </c:pt>
                <c:pt idx="6">
                  <c:v>1306</c:v>
                </c:pt>
                <c:pt idx="7">
                  <c:v>#N/A</c:v>
                </c:pt>
                <c:pt idx="8">
                  <c:v>6637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B0E-48D3-8D6A-3425E85EBB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7359616"/>
        <c:axId val="457360008"/>
      </c:lineChart>
      <c:catAx>
        <c:axId val="45735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360008"/>
        <c:crosses val="autoZero"/>
        <c:auto val="1"/>
        <c:lblAlgn val="ctr"/>
        <c:lblOffset val="100"/>
        <c:noMultiLvlLbl val="0"/>
      </c:catAx>
      <c:valAx>
        <c:axId val="457360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735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02034361089479E-2"/>
          <c:y val="7.3132668761232436E-2"/>
          <c:w val="0.62261832655533444"/>
          <c:h val="0.8373143012295877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BA-423A-9205-B483F89366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BA-423A-9205-B483F89366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DashBoardFinanceiroAnualD!$C$21:$D$21</c:f>
              <c:strCache>
                <c:ptCount val="2"/>
                <c:pt idx="0">
                  <c:v>À Vista</c:v>
                </c:pt>
                <c:pt idx="1">
                  <c:v>A Prazo</c:v>
                </c:pt>
              </c:strCache>
            </c:strRef>
          </c:cat>
          <c:val>
            <c:numRef>
              <c:f>DashBoardFinanceiroAnualD!$C$22:$D$22</c:f>
              <c:numCache>
                <c:formatCode>_(* #,##0.00_);_(* \(#,##0.00\);_(* "-"??_);_(@_)</c:formatCode>
                <c:ptCount val="2"/>
                <c:pt idx="0">
                  <c:v>0</c:v>
                </c:pt>
                <c:pt idx="1">
                  <c:v>320574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BA-423A-9205-B483F8936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A48-4DD5-A632-F666E54F7C32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DashBoardFinanceiroAnualD!$C$31:$D$31</c:f>
              <c:strCache>
                <c:ptCount val="2"/>
                <c:pt idx="0">
                  <c:v>Entradas</c:v>
                </c:pt>
                <c:pt idx="1">
                  <c:v>Saídas</c:v>
                </c:pt>
              </c:strCache>
            </c:strRef>
          </c:cat>
          <c:val>
            <c:numRef>
              <c:f>DashBoardFinanceiroAnualD!$C$32:$D$32</c:f>
              <c:numCache>
                <c:formatCode>"R$"\ #,##0</c:formatCode>
                <c:ptCount val="2"/>
                <c:pt idx="0">
                  <c:v>320574</c:v>
                </c:pt>
                <c:pt idx="1">
                  <c:v>302150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48-4DD5-A632-F666E54F7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10"/>
        <c:axId val="1487028799"/>
        <c:axId val="1487026879"/>
      </c:barChart>
      <c:catAx>
        <c:axId val="148702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7026879"/>
        <c:crosses val="autoZero"/>
        <c:auto val="1"/>
        <c:lblAlgn val="ctr"/>
        <c:lblOffset val="100"/>
        <c:noMultiLvlLbl val="0"/>
      </c:catAx>
      <c:valAx>
        <c:axId val="1487026879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148702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DashBoardFinanceiroAnualD!$H$32:$H$43</c:f>
              <c:numCache>
                <c:formatCode>_(* #,##0.00_);_(* \(#,##0.00\);_(* "-"??_);_(@_)</c:formatCode>
                <c:ptCount val="12"/>
                <c:pt idx="0">
                  <c:v>3057</c:v>
                </c:pt>
                <c:pt idx="1">
                  <c:v>3255</c:v>
                </c:pt>
                <c:pt idx="2">
                  <c:v>5837</c:v>
                </c:pt>
                <c:pt idx="3">
                  <c:v>2760</c:v>
                </c:pt>
                <c:pt idx="4">
                  <c:v>1882</c:v>
                </c:pt>
                <c:pt idx="5">
                  <c:v>1613</c:v>
                </c:pt>
                <c:pt idx="6">
                  <c:v>0</c:v>
                </c:pt>
                <c:pt idx="7">
                  <c:v>9987</c:v>
                </c:pt>
                <c:pt idx="8">
                  <c:v>5001</c:v>
                </c:pt>
                <c:pt idx="9">
                  <c:v>10149</c:v>
                </c:pt>
                <c:pt idx="10">
                  <c:v>1542</c:v>
                </c:pt>
                <c:pt idx="11">
                  <c:v>3956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3-4219-86D0-E2B95D058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5"/>
        <c:axId val="1423005327"/>
        <c:axId val="1423006767"/>
      </c:barChart>
      <c:catAx>
        <c:axId val="1423005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3006767"/>
        <c:crosses val="autoZero"/>
        <c:auto val="1"/>
        <c:lblAlgn val="ctr"/>
        <c:lblOffset val="100"/>
        <c:noMultiLvlLbl val="0"/>
      </c:catAx>
      <c:valAx>
        <c:axId val="1423006767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142300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091314167124457E-2"/>
          <c:y val="8.9710214794579246E-2"/>
          <c:w val="0.59205517914911798"/>
          <c:h val="0.865931044333744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75-432A-AF95-CE5BA7A2F7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75-432A-AF95-CE5BA7A2F7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[1]DashBoardFinanceiroAtualD!$C$21:$D$21</c:f>
              <c:strCache>
                <c:ptCount val="2"/>
                <c:pt idx="0">
                  <c:v>À Vista</c:v>
                </c:pt>
                <c:pt idx="1">
                  <c:v>A Prazo</c:v>
                </c:pt>
              </c:strCache>
            </c:strRef>
          </c:cat>
          <c:val>
            <c:numRef>
              <c:f>[1]DashBoardFinanceiroAtualD!$C$22:$D$22</c:f>
              <c:numCache>
                <c:formatCode>General</c:formatCode>
                <c:ptCount val="2"/>
                <c:pt idx="0">
                  <c:v>82959</c:v>
                </c:pt>
                <c:pt idx="1">
                  <c:v>188812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75-432A-AF95-CE5BA7A2F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770-4751-99C7-277FBC61F24C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[1]DashBoardFinanceiroAtualD!$C$31:$D$31</c:f>
              <c:strCache>
                <c:ptCount val="2"/>
                <c:pt idx="0">
                  <c:v>Entradas</c:v>
                </c:pt>
                <c:pt idx="1">
                  <c:v>Saídas</c:v>
                </c:pt>
              </c:strCache>
            </c:strRef>
          </c:cat>
          <c:val>
            <c:numRef>
              <c:f>[1]DashBoardFinanceiroAtualD!$C$32:$D$32</c:f>
              <c:numCache>
                <c:formatCode>General</c:formatCode>
                <c:ptCount val="2"/>
                <c:pt idx="0">
                  <c:v>271771</c:v>
                </c:pt>
                <c:pt idx="1">
                  <c:v>260299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70-4751-99C7-277FBC61F24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"/>
        <c:overlap val="-10"/>
        <c:axId val="457357656"/>
        <c:axId val="457358048"/>
      </c:barChart>
      <c:catAx>
        <c:axId val="45735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358048"/>
        <c:crosses val="autoZero"/>
        <c:auto val="1"/>
        <c:lblAlgn val="ctr"/>
        <c:lblOffset val="100"/>
        <c:noMultiLvlLbl val="0"/>
      </c:catAx>
      <c:valAx>
        <c:axId val="4573580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7357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[1]DashBoardFinanceiroAtualD!$G$32:$G$43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[1]DashBoardFinanceiroAtualD!$H$32:$H$43</c:f>
              <c:numCache>
                <c:formatCode>General</c:formatCode>
                <c:ptCount val="12"/>
                <c:pt idx="0">
                  <c:v>17594</c:v>
                </c:pt>
                <c:pt idx="1">
                  <c:v>10118</c:v>
                </c:pt>
                <c:pt idx="2">
                  <c:v>13923</c:v>
                </c:pt>
                <c:pt idx="3">
                  <c:v>4589</c:v>
                </c:pt>
                <c:pt idx="4">
                  <c:v>11951</c:v>
                </c:pt>
                <c:pt idx="5">
                  <c:v>9315</c:v>
                </c:pt>
                <c:pt idx="6">
                  <c:v>10808</c:v>
                </c:pt>
                <c:pt idx="7">
                  <c:v>1054</c:v>
                </c:pt>
                <c:pt idx="8">
                  <c:v>10094</c:v>
                </c:pt>
                <c:pt idx="9">
                  <c:v>7029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87-4BAD-A2AE-5B3FE4138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5"/>
        <c:axId val="457358832"/>
        <c:axId val="457359224"/>
      </c:barChart>
      <c:catAx>
        <c:axId val="45735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359224"/>
        <c:crosses val="autoZero"/>
        <c:auto val="1"/>
        <c:lblAlgn val="ctr"/>
        <c:lblOffset val="100"/>
        <c:noMultiLvlLbl val="0"/>
      </c:catAx>
      <c:valAx>
        <c:axId val="457359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735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[2]DashBoardFinanceiroAtualD!$L$5:$L$16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[2]DashBoardFinanceiroAtualD!$K$5:$K$16</c:f>
              <c:numCache>
                <c:formatCode>General</c:formatCode>
                <c:ptCount val="12"/>
                <c:pt idx="0">
                  <c:v>6759</c:v>
                </c:pt>
                <c:pt idx="1">
                  <c:v>8187</c:v>
                </c:pt>
                <c:pt idx="2">
                  <c:v>5918</c:v>
                </c:pt>
                <c:pt idx="3">
                  <c:v>1620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426-4C69-95C0-A65FCA63DE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9222240"/>
        <c:axId val="399236352"/>
      </c:lineChart>
      <c:catAx>
        <c:axId val="39922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9236352"/>
        <c:crosses val="autoZero"/>
        <c:auto val="1"/>
        <c:lblAlgn val="ctr"/>
        <c:lblOffset val="100"/>
        <c:noMultiLvlLbl val="0"/>
      </c:catAx>
      <c:valAx>
        <c:axId val="3992363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92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091314167124457E-2"/>
          <c:y val="8.9710214794579246E-2"/>
          <c:w val="0.59205517914911798"/>
          <c:h val="0.865931044333744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93-4E30-9B27-1E6FE3F2D0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93-4E30-9B27-1E6FE3F2D0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[2]DashBoardFinanceiroAtualD!$C$21:$D$21</c:f>
              <c:strCache>
                <c:ptCount val="2"/>
                <c:pt idx="0">
                  <c:v>À Vista</c:v>
                </c:pt>
                <c:pt idx="1">
                  <c:v>A Prazo</c:v>
                </c:pt>
              </c:strCache>
            </c:strRef>
          </c:cat>
          <c:val>
            <c:numRef>
              <c:f>[2]DashBoardFinanceiroAtualD!$C$22:$D$22</c:f>
              <c:numCache>
                <c:formatCode>General</c:formatCode>
                <c:ptCount val="2"/>
                <c:pt idx="0">
                  <c:v>38162</c:v>
                </c:pt>
                <c:pt idx="1">
                  <c:v>58030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93-4E30-9B27-1E6FE3F2D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45-437D-8B2A-800D0E13BD6D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860999224437712"/>
                      <c:h val="0.2751515151515151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F945-437D-8B2A-800D0E13BD6D}"/>
                </c:ext>
              </c:extLst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860999224437712"/>
                      <c:h val="0.2751515151515151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945-437D-8B2A-800D0E13BD6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[2]DashBoardFinanceiroAtualD!$C$31:$D$31</c:f>
              <c:strCache>
                <c:ptCount val="2"/>
                <c:pt idx="0">
                  <c:v>Entradas</c:v>
                </c:pt>
                <c:pt idx="1">
                  <c:v>Saídas</c:v>
                </c:pt>
              </c:strCache>
            </c:strRef>
          </c:cat>
          <c:val>
            <c:numRef>
              <c:f>[2]DashBoardFinanceiroAtualD!$C$32:$D$32</c:f>
              <c:numCache>
                <c:formatCode>General</c:formatCode>
                <c:ptCount val="2"/>
                <c:pt idx="0">
                  <c:v>96192</c:v>
                </c:pt>
                <c:pt idx="1">
                  <c:v>115511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45-437D-8B2A-800D0E13BD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"/>
        <c:overlap val="-10"/>
        <c:axId val="399229296"/>
        <c:axId val="399230080"/>
      </c:barChart>
      <c:catAx>
        <c:axId val="39922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9230080"/>
        <c:crosses val="autoZero"/>
        <c:auto val="1"/>
        <c:lblAlgn val="ctr"/>
        <c:lblOffset val="100"/>
        <c:noMultiLvlLbl val="0"/>
      </c:catAx>
      <c:valAx>
        <c:axId val="3992300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922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[2]DashBoardFinanceiroAtualD!$G$32:$G$43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[2]DashBoardFinanceiroAtualD!$H$32:$H$43</c:f>
              <c:numCache>
                <c:formatCode>General</c:formatCode>
                <c:ptCount val="12"/>
                <c:pt idx="0">
                  <c:v>14690</c:v>
                </c:pt>
                <c:pt idx="1">
                  <c:v>6991</c:v>
                </c:pt>
                <c:pt idx="2">
                  <c:v>8219</c:v>
                </c:pt>
                <c:pt idx="3">
                  <c:v>19692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E-4297-96CD-F1E0A29BE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5"/>
        <c:axId val="399234784"/>
        <c:axId val="399235176"/>
      </c:barChart>
      <c:catAx>
        <c:axId val="39923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9235176"/>
        <c:crosses val="autoZero"/>
        <c:auto val="1"/>
        <c:lblAlgn val="ctr"/>
        <c:lblOffset val="100"/>
        <c:noMultiLvlLbl val="0"/>
      </c:catAx>
      <c:valAx>
        <c:axId val="3992351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92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DashBoardFinanceiroAnualD!$L$5:$L$16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DashBoardFinanceiroAnualD!$K$5:$K$16</c:f>
              <c:numCache>
                <c:formatCode>_(* #,##0.00_);_(* \(#,##0.00\);_(* "-"??_);_(@_)</c:formatCode>
                <c:ptCount val="12"/>
                <c:pt idx="0">
                  <c:v>10164</c:v>
                </c:pt>
                <c:pt idx="1">
                  <c:v>7734</c:v>
                </c:pt>
                <c:pt idx="2">
                  <c:v>9984</c:v>
                </c:pt>
                <c:pt idx="3">
                  <c:v>22313</c:v>
                </c:pt>
                <c:pt idx="4">
                  <c:v>4850</c:v>
                </c:pt>
                <c:pt idx="5">
                  <c:v>12262</c:v>
                </c:pt>
                <c:pt idx="6">
                  <c:v>12594</c:v>
                </c:pt>
                <c:pt idx="7">
                  <c:v>6006</c:v>
                </c:pt>
                <c:pt idx="8">
                  <c:v>11235</c:v>
                </c:pt>
                <c:pt idx="9">
                  <c:v>10633</c:v>
                </c:pt>
                <c:pt idx="10">
                  <c:v>20451</c:v>
                </c:pt>
                <c:pt idx="11">
                  <c:v>9738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8DF-4912-972C-2EF94E881E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42086639"/>
        <c:axId val="1342085199"/>
      </c:lineChart>
      <c:catAx>
        <c:axId val="134208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2085199"/>
        <c:crosses val="autoZero"/>
        <c:auto val="1"/>
        <c:lblAlgn val="ctr"/>
        <c:lblOffset val="100"/>
        <c:noMultiLvlLbl val="0"/>
      </c:catAx>
      <c:valAx>
        <c:axId val="1342085199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134208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FinanceiroAtual!A1"/><Relationship Id="rId3" Type="http://schemas.openxmlformats.org/officeDocument/2006/relationships/hyperlink" Target="#PCSa&#237;dasN1!A1"/><Relationship Id="rId7" Type="http://schemas.openxmlformats.org/officeDocument/2006/relationships/hyperlink" Target="#FluxoCaixa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2!A1"/><Relationship Id="rId1" Type="http://schemas.openxmlformats.org/officeDocument/2006/relationships/hyperlink" Target="#PCEntradasN1!A1"/><Relationship Id="rId6" Type="http://schemas.openxmlformats.org/officeDocument/2006/relationships/hyperlink" Target="#RegistroSa&#237;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&#237;dasN2!A1"/><Relationship Id="rId9" Type="http://schemas.openxmlformats.org/officeDocument/2006/relationships/hyperlink" Target="#DetalhaDespesa!A1"/><Relationship Id="rId14" Type="http://schemas.openxmlformats.org/officeDocument/2006/relationships/hyperlink" Target="#DashBoardFinanceiroAnu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hyperlink" Target="#In&#237;cio!A1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hyperlink" Target="#In&#237;cio!A1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9525</xdr:rowOff>
    </xdr:from>
    <xdr:to>
      <xdr:col>6</xdr:col>
      <xdr:colOff>361950</xdr:colOff>
      <xdr:row>4</xdr:row>
      <xdr:rowOff>47625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695700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CADASTROS</a:t>
          </a:r>
        </a:p>
      </xdr:txBody>
    </xdr:sp>
    <xdr:clientData/>
  </xdr:twoCellAnchor>
  <xdr:twoCellAnchor>
    <xdr:from>
      <xdr:col>6</xdr:col>
      <xdr:colOff>614363</xdr:colOff>
      <xdr:row>3</xdr:row>
      <xdr:rowOff>9525</xdr:rowOff>
    </xdr:from>
    <xdr:to>
      <xdr:col>10</xdr:col>
      <xdr:colOff>185738</xdr:colOff>
      <xdr:row>4</xdr:row>
      <xdr:rowOff>47625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643688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RELATÓRIOS</a:t>
          </a:r>
        </a:p>
      </xdr:txBody>
    </xdr:sp>
    <xdr:clientData/>
  </xdr:twoCellAnchor>
  <xdr:twoCellAnchor>
    <xdr:from>
      <xdr:col>10</xdr:col>
      <xdr:colOff>438150</xdr:colOff>
      <xdr:row>3</xdr:row>
      <xdr:rowOff>9525</xdr:rowOff>
    </xdr:from>
    <xdr:to>
      <xdr:col>14</xdr:col>
      <xdr:colOff>9525</xdr:colOff>
      <xdr:row>4</xdr:row>
      <xdr:rowOff>47625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9591675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6</xdr:col>
      <xdr:colOff>352425</xdr:colOff>
      <xdr:row>6</xdr:row>
      <xdr:rowOff>38100</xdr:rowOff>
    </xdr:to>
    <xdr:sp macro="" textlink="">
      <xdr:nvSpPr>
        <xdr:cNvPr id="10" name="Retângulo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686175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</a:t>
          </a:r>
          <a:r>
            <a:rPr lang="pt-BR" sz="1100" b="0" baseline="0">
              <a:solidFill>
                <a:schemeClr val="bg1"/>
              </a:solidFill>
            </a:rPr>
            <a:t> Entradas - Nível 1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6</xdr:row>
      <xdr:rowOff>118110</xdr:rowOff>
    </xdr:from>
    <xdr:to>
      <xdr:col>6</xdr:col>
      <xdr:colOff>352425</xdr:colOff>
      <xdr:row>7</xdr:row>
      <xdr:rowOff>156210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686175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Entradas - Nível 2</a:t>
          </a:r>
        </a:p>
      </xdr:txBody>
    </xdr:sp>
    <xdr:clientData/>
  </xdr:twoCellAnchor>
  <xdr:twoCellAnchor>
    <xdr:from>
      <xdr:col>3</xdr:col>
      <xdr:colOff>0</xdr:colOff>
      <xdr:row>7</xdr:row>
      <xdr:rowOff>236220</xdr:rowOff>
    </xdr:from>
    <xdr:to>
      <xdr:col>6</xdr:col>
      <xdr:colOff>352425</xdr:colOff>
      <xdr:row>9</xdr:row>
      <xdr:rowOff>26670</xdr:rowOff>
    </xdr:to>
    <xdr:sp macro="" textlink="">
      <xdr:nvSpPr>
        <xdr:cNvPr id="12" name="Retângulo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3686175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1</a:t>
          </a:r>
        </a:p>
      </xdr:txBody>
    </xdr:sp>
    <xdr:clientData/>
  </xdr:twoCellAnchor>
  <xdr:twoCellAnchor>
    <xdr:from>
      <xdr:col>3</xdr:col>
      <xdr:colOff>0</xdr:colOff>
      <xdr:row>9</xdr:row>
      <xdr:rowOff>106680</xdr:rowOff>
    </xdr:from>
    <xdr:to>
      <xdr:col>6</xdr:col>
      <xdr:colOff>352425</xdr:colOff>
      <xdr:row>10</xdr:row>
      <xdr:rowOff>144780</xdr:rowOff>
    </xdr:to>
    <xdr:sp macro="" textlink="">
      <xdr:nvSpPr>
        <xdr:cNvPr id="13" name="Retângul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686175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2</a:t>
          </a:r>
        </a:p>
      </xdr:txBody>
    </xdr:sp>
    <xdr:clientData/>
  </xdr:twoCellAnchor>
  <xdr:twoCellAnchor>
    <xdr:from>
      <xdr:col>3</xdr:col>
      <xdr:colOff>0</xdr:colOff>
      <xdr:row>10</xdr:row>
      <xdr:rowOff>224790</xdr:rowOff>
    </xdr:from>
    <xdr:to>
      <xdr:col>6</xdr:col>
      <xdr:colOff>352425</xdr:colOff>
      <xdr:row>12</xdr:row>
      <xdr:rowOff>15240</xdr:rowOff>
    </xdr:to>
    <xdr:sp macro="" textlink="">
      <xdr:nvSpPr>
        <xdr:cNvPr id="14" name="Retângulo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3686175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bg1"/>
              </a:solidFill>
            </a:rPr>
            <a:t>Registro</a:t>
          </a:r>
          <a:r>
            <a:rPr lang="pt-BR" sz="1100" b="0" baseline="0">
              <a:solidFill>
                <a:schemeClr val="bg1"/>
              </a:solidFill>
            </a:rPr>
            <a:t> das Entradas de Caixa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12</xdr:row>
      <xdr:rowOff>95250</xdr:rowOff>
    </xdr:from>
    <xdr:to>
      <xdr:col>6</xdr:col>
      <xdr:colOff>352425</xdr:colOff>
      <xdr:row>13</xdr:row>
      <xdr:rowOff>133350</xdr:rowOff>
    </xdr:to>
    <xdr:sp macro="" textlink="">
      <xdr:nvSpPr>
        <xdr:cNvPr id="15" name="Retângulo 1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3686175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bg1"/>
              </a:solidFill>
            </a:rPr>
            <a:t>Registro das Saídas de Caixa</a:t>
          </a:r>
        </a:p>
      </xdr:txBody>
    </xdr:sp>
    <xdr:clientData/>
  </xdr:twoCellAnchor>
  <xdr:twoCellAnchor>
    <xdr:from>
      <xdr:col>6</xdr:col>
      <xdr:colOff>619125</xdr:colOff>
      <xdr:row>5</xdr:row>
      <xdr:rowOff>0</xdr:rowOff>
    </xdr:from>
    <xdr:to>
      <xdr:col>10</xdr:col>
      <xdr:colOff>190500</xdr:colOff>
      <xdr:row>6</xdr:row>
      <xdr:rowOff>38100</xdr:rowOff>
    </xdr:to>
    <xdr:sp macro="" textlink="">
      <xdr:nvSpPr>
        <xdr:cNvPr id="16" name="Retângulo 1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6648450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bg1"/>
              </a:solidFill>
            </a:rPr>
            <a:t>Fluxo de Caixa e Resultado Mensal</a:t>
          </a:r>
        </a:p>
      </xdr:txBody>
    </xdr:sp>
    <xdr:clientData/>
  </xdr:twoCellAnchor>
  <xdr:twoCellAnchor>
    <xdr:from>
      <xdr:col>6</xdr:col>
      <xdr:colOff>619125</xdr:colOff>
      <xdr:row>6</xdr:row>
      <xdr:rowOff>118110</xdr:rowOff>
    </xdr:from>
    <xdr:to>
      <xdr:col>10</xdr:col>
      <xdr:colOff>190500</xdr:colOff>
      <xdr:row>7</xdr:row>
      <xdr:rowOff>156210</xdr:rowOff>
    </xdr:to>
    <xdr:sp macro="" textlink="">
      <xdr:nvSpPr>
        <xdr:cNvPr id="17" name="Retângulo 1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6648450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Receita</a:t>
          </a:r>
        </a:p>
      </xdr:txBody>
    </xdr:sp>
    <xdr:clientData/>
  </xdr:twoCellAnchor>
  <xdr:twoCellAnchor>
    <xdr:from>
      <xdr:col>6</xdr:col>
      <xdr:colOff>619125</xdr:colOff>
      <xdr:row>7</xdr:row>
      <xdr:rowOff>236220</xdr:rowOff>
    </xdr:from>
    <xdr:to>
      <xdr:col>10</xdr:col>
      <xdr:colOff>190500</xdr:colOff>
      <xdr:row>9</xdr:row>
      <xdr:rowOff>26670</xdr:rowOff>
    </xdr:to>
    <xdr:sp macro="" textlink="">
      <xdr:nvSpPr>
        <xdr:cNvPr id="18" name="Retângulo 1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6648450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Despesa</a:t>
          </a:r>
        </a:p>
      </xdr:txBody>
    </xdr:sp>
    <xdr:clientData/>
  </xdr:twoCellAnchor>
  <xdr:twoCellAnchor>
    <xdr:from>
      <xdr:col>6</xdr:col>
      <xdr:colOff>619125</xdr:colOff>
      <xdr:row>9</xdr:row>
      <xdr:rowOff>106680</xdr:rowOff>
    </xdr:from>
    <xdr:to>
      <xdr:col>10</xdr:col>
      <xdr:colOff>190500</xdr:colOff>
      <xdr:row>10</xdr:row>
      <xdr:rowOff>144780</xdr:rowOff>
    </xdr:to>
    <xdr:sp macro="" textlink="">
      <xdr:nvSpPr>
        <xdr:cNvPr id="19" name="Retângulo 1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6648450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Pagar</a:t>
          </a:r>
        </a:p>
      </xdr:txBody>
    </xdr:sp>
    <xdr:clientData/>
  </xdr:twoCellAnchor>
  <xdr:twoCellAnchor>
    <xdr:from>
      <xdr:col>6</xdr:col>
      <xdr:colOff>619125</xdr:colOff>
      <xdr:row>10</xdr:row>
      <xdr:rowOff>224790</xdr:rowOff>
    </xdr:from>
    <xdr:to>
      <xdr:col>10</xdr:col>
      <xdr:colOff>190500</xdr:colOff>
      <xdr:row>12</xdr:row>
      <xdr:rowOff>15240</xdr:rowOff>
    </xdr:to>
    <xdr:sp macro="" textlink="">
      <xdr:nvSpPr>
        <xdr:cNvPr id="20" name="Retângulo 1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6648450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Receber</a:t>
          </a:r>
        </a:p>
      </xdr:txBody>
    </xdr:sp>
    <xdr:clientData/>
  </xdr:twoCellAnchor>
  <xdr:twoCellAnchor>
    <xdr:from>
      <xdr:col>6</xdr:col>
      <xdr:colOff>619125</xdr:colOff>
      <xdr:row>12</xdr:row>
      <xdr:rowOff>95250</xdr:rowOff>
    </xdr:from>
    <xdr:to>
      <xdr:col>10</xdr:col>
      <xdr:colOff>190500</xdr:colOff>
      <xdr:row>13</xdr:row>
      <xdr:rowOff>133350</xdr:rowOff>
    </xdr:to>
    <xdr:sp macro="" textlink="">
      <xdr:nvSpPr>
        <xdr:cNvPr id="21" name="Retângulo 2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6648450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bg1"/>
              </a:solidFill>
            </a:rPr>
            <a:t>Contas a</a:t>
          </a:r>
          <a:r>
            <a:rPr lang="pt-BR" sz="1100" b="0" baseline="0">
              <a:solidFill>
                <a:schemeClr val="bg1"/>
              </a:solidFill>
            </a:rPr>
            <a:t> Receber Vencidas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438150</xdr:colOff>
      <xdr:row>5</xdr:row>
      <xdr:rowOff>9525</xdr:rowOff>
    </xdr:from>
    <xdr:to>
      <xdr:col>14</xdr:col>
      <xdr:colOff>9525</xdr:colOff>
      <xdr:row>6</xdr:row>
      <xdr:rowOff>47625</xdr:rowOff>
    </xdr:to>
    <xdr:sp macro="" textlink="">
      <xdr:nvSpPr>
        <xdr:cNvPr id="22" name="Retângulo 21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591675" y="176212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Atual</a:t>
          </a:r>
        </a:p>
      </xdr:txBody>
    </xdr:sp>
    <xdr:clientData/>
  </xdr:twoCellAnchor>
  <xdr:twoCellAnchor>
    <xdr:from>
      <xdr:col>10</xdr:col>
      <xdr:colOff>438150</xdr:colOff>
      <xdr:row>6</xdr:row>
      <xdr:rowOff>127635</xdr:rowOff>
    </xdr:from>
    <xdr:to>
      <xdr:col>14</xdr:col>
      <xdr:colOff>9525</xdr:colOff>
      <xdr:row>7</xdr:row>
      <xdr:rowOff>165735</xdr:rowOff>
    </xdr:to>
    <xdr:sp macro="" textlink="">
      <xdr:nvSpPr>
        <xdr:cNvPr id="23" name="Retângulo 22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591675" y="212788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Anual</a:t>
          </a:r>
        </a:p>
      </xdr:txBody>
    </xdr:sp>
    <xdr:clientData/>
  </xdr:twoCellAnchor>
  <xdr:twoCellAnchor editAs="oneCell">
    <xdr:from>
      <xdr:col>1</xdr:col>
      <xdr:colOff>1</xdr:colOff>
      <xdr:row>8</xdr:row>
      <xdr:rowOff>161925</xdr:rowOff>
    </xdr:from>
    <xdr:to>
      <xdr:col>2</xdr:col>
      <xdr:colOff>95250</xdr:colOff>
      <xdr:row>15</xdr:row>
      <xdr:rowOff>219075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2495550"/>
          <a:ext cx="2809874" cy="17907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571500</xdr:colOff>
      <xdr:row>1</xdr:row>
      <xdr:rowOff>45721</xdr:rowOff>
    </xdr:from>
    <xdr:to>
      <xdr:col>7</xdr:col>
      <xdr:colOff>403860</xdr:colOff>
      <xdr:row>1</xdr:row>
      <xdr:rowOff>990601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ês Competência">
              <a:extLst>
                <a:ext uri="{FF2B5EF4-FFF2-40B4-BE49-F238E27FC236}">
                  <a16:creationId xmlns:a16="http://schemas.microsoft.com/office/drawing/2014/main" id="{193A1ADC-EB4D-E18C-D11D-0C6A0AC993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88080" y="548641"/>
              <a:ext cx="3063240" cy="944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1402080</xdr:colOff>
      <xdr:row>1</xdr:row>
      <xdr:rowOff>53341</xdr:rowOff>
    </xdr:from>
    <xdr:to>
      <xdr:col>3</xdr:col>
      <xdr:colOff>358140</xdr:colOff>
      <xdr:row>1</xdr:row>
      <xdr:rowOff>967740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Ano Competência">
              <a:extLst>
                <a:ext uri="{FF2B5EF4-FFF2-40B4-BE49-F238E27FC236}">
                  <a16:creationId xmlns:a16="http://schemas.microsoft.com/office/drawing/2014/main" id="{4D2ED248-8064-ED67-BA80-859F0F2DA7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0200" y="556261"/>
              <a:ext cx="1874520" cy="9143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533400</xdr:colOff>
      <xdr:row>1</xdr:row>
      <xdr:rowOff>60961</xdr:rowOff>
    </xdr:from>
    <xdr:to>
      <xdr:col>8</xdr:col>
      <xdr:colOff>518160</xdr:colOff>
      <xdr:row>1</xdr:row>
      <xdr:rowOff>960120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ês Competência 1">
              <a:extLst>
                <a:ext uri="{FF2B5EF4-FFF2-40B4-BE49-F238E27FC236}">
                  <a16:creationId xmlns:a16="http://schemas.microsoft.com/office/drawing/2014/main" id="{4FC86FB6-69A5-4121-3DDF-14B6D61D77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49980" y="563881"/>
              <a:ext cx="4023360" cy="8991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1363980</xdr:colOff>
      <xdr:row>1</xdr:row>
      <xdr:rowOff>38101</xdr:rowOff>
    </xdr:from>
    <xdr:to>
      <xdr:col>3</xdr:col>
      <xdr:colOff>411480</xdr:colOff>
      <xdr:row>1</xdr:row>
      <xdr:rowOff>952501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Ano Competência 1">
              <a:extLst>
                <a:ext uri="{FF2B5EF4-FFF2-40B4-BE49-F238E27FC236}">
                  <a16:creationId xmlns:a16="http://schemas.microsoft.com/office/drawing/2014/main" id="{921C9B32-7B19-B090-C50B-E8F79489EC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2100" y="541021"/>
              <a:ext cx="1965960" cy="91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4</xdr:col>
      <xdr:colOff>274320</xdr:colOff>
      <xdr:row>1</xdr:row>
      <xdr:rowOff>83820</xdr:rowOff>
    </xdr:from>
    <xdr:to>
      <xdr:col>8</xdr:col>
      <xdr:colOff>541020</xdr:colOff>
      <xdr:row>1</xdr:row>
      <xdr:rowOff>967739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ês Previsto">
              <a:extLst>
                <a:ext uri="{FF2B5EF4-FFF2-40B4-BE49-F238E27FC236}">
                  <a16:creationId xmlns:a16="http://schemas.microsoft.com/office/drawing/2014/main" id="{C111B403-1C10-EEE2-9BB2-3433417623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98620" y="586740"/>
              <a:ext cx="3497580" cy="8839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1493520</xdr:colOff>
      <xdr:row>1</xdr:row>
      <xdr:rowOff>76200</xdr:rowOff>
    </xdr:from>
    <xdr:to>
      <xdr:col>4</xdr:col>
      <xdr:colOff>99060</xdr:colOff>
      <xdr:row>1</xdr:row>
      <xdr:rowOff>982979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Ano Previsto">
              <a:extLst>
                <a:ext uri="{FF2B5EF4-FFF2-40B4-BE49-F238E27FC236}">
                  <a16:creationId xmlns:a16="http://schemas.microsoft.com/office/drawing/2014/main" id="{C1614172-3F32-84BB-39D1-9C61E2F56B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91640" y="579120"/>
              <a:ext cx="2331720" cy="9067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632460</xdr:colOff>
      <xdr:row>1</xdr:row>
      <xdr:rowOff>38101</xdr:rowOff>
    </xdr:from>
    <xdr:to>
      <xdr:col>8</xdr:col>
      <xdr:colOff>449580</xdr:colOff>
      <xdr:row>1</xdr:row>
      <xdr:rowOff>922020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ês Previsto 1">
              <a:extLst>
                <a:ext uri="{FF2B5EF4-FFF2-40B4-BE49-F238E27FC236}">
                  <a16:creationId xmlns:a16="http://schemas.microsoft.com/office/drawing/2014/main" id="{A3AE51FA-DD1B-DA10-EAB8-C4211CB74A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49040" y="541021"/>
              <a:ext cx="3855720" cy="8839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1226820</xdr:colOff>
      <xdr:row>1</xdr:row>
      <xdr:rowOff>53341</xdr:rowOff>
    </xdr:from>
    <xdr:to>
      <xdr:col>3</xdr:col>
      <xdr:colOff>434340</xdr:colOff>
      <xdr:row>1</xdr:row>
      <xdr:rowOff>944881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Ano Previsto 1">
              <a:extLst>
                <a:ext uri="{FF2B5EF4-FFF2-40B4-BE49-F238E27FC236}">
                  <a16:creationId xmlns:a16="http://schemas.microsoft.com/office/drawing/2014/main" id="{1FF1E453-1C35-327F-BEA1-9986085835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4940" y="556261"/>
              <a:ext cx="2125980" cy="8915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1</xdr:col>
      <xdr:colOff>1272540</xdr:colOff>
      <xdr:row>1</xdr:row>
      <xdr:rowOff>76201</xdr:rowOff>
    </xdr:from>
    <xdr:to>
      <xdr:col>5</xdr:col>
      <xdr:colOff>426720</xdr:colOff>
      <xdr:row>1</xdr:row>
      <xdr:rowOff>693420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Ano Competência 2">
              <a:extLst>
                <a:ext uri="{FF2B5EF4-FFF2-40B4-BE49-F238E27FC236}">
                  <a16:creationId xmlns:a16="http://schemas.microsoft.com/office/drawing/2014/main" id="{60156EB2-241C-6FB3-B4E8-9D9A50779A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0660" y="579121"/>
              <a:ext cx="3147060" cy="6172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3" name="Retângul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768F2C-836F-40DF-A892-9AFC35FF3A32}"/>
            </a:ext>
          </a:extLst>
        </xdr:cNvPr>
        <xdr:cNvSpPr/>
      </xdr:nvSpPr>
      <xdr:spPr>
        <a:xfrm>
          <a:off x="144781" y="541020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>
    <xdr:from>
      <xdr:col>5</xdr:col>
      <xdr:colOff>19051</xdr:colOff>
      <xdr:row>4</xdr:row>
      <xdr:rowOff>57150</xdr:rowOff>
    </xdr:from>
    <xdr:to>
      <xdr:col>9</xdr:col>
      <xdr:colOff>266701</xdr:colOff>
      <xdr:row>10</xdr:row>
      <xdr:rowOff>257175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C226467-E88E-4C07-AD7E-40D81EBE1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114299</xdr:colOff>
      <xdr:row>12</xdr:row>
      <xdr:rowOff>219075</xdr:rowOff>
    </xdr:from>
    <xdr:to>
      <xdr:col>3</xdr:col>
      <xdr:colOff>2047874</xdr:colOff>
      <xdr:row>18</xdr:row>
      <xdr:rowOff>228600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C4A1858-4C97-4B30-8432-105342B99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</xdr:colOff>
      <xdr:row>13</xdr:row>
      <xdr:rowOff>238124</xdr:rowOff>
    </xdr:from>
    <xdr:to>
      <xdr:col>8</xdr:col>
      <xdr:colOff>2257426</xdr:colOff>
      <xdr:row>18</xdr:row>
      <xdr:rowOff>247649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C22C569-2142-4428-B754-683F2F8E6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9526</xdr:colOff>
      <xdr:row>15</xdr:row>
      <xdr:rowOff>38100</xdr:rowOff>
    </xdr:from>
    <xdr:to>
      <xdr:col>10</xdr:col>
      <xdr:colOff>2476500</xdr:colOff>
      <xdr:row>18</xdr:row>
      <xdr:rowOff>228601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8AA0BBA-036C-412B-9604-3E6E07712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8" name="Retângulo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B2A046-D58B-415F-A2C0-EFE7A6A0182A}"/>
            </a:ext>
          </a:extLst>
        </xdr:cNvPr>
        <xdr:cNvSpPr/>
      </xdr:nvSpPr>
      <xdr:spPr>
        <a:xfrm>
          <a:off x="144781" y="541020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>
    <xdr:from>
      <xdr:col>5</xdr:col>
      <xdr:colOff>19051</xdr:colOff>
      <xdr:row>4</xdr:row>
      <xdr:rowOff>57150</xdr:rowOff>
    </xdr:from>
    <xdr:to>
      <xdr:col>9</xdr:col>
      <xdr:colOff>266701</xdr:colOff>
      <xdr:row>10</xdr:row>
      <xdr:rowOff>257175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22E9CD2-4923-4736-9856-B05DA3E2F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114299</xdr:colOff>
      <xdr:row>12</xdr:row>
      <xdr:rowOff>219075</xdr:rowOff>
    </xdr:from>
    <xdr:to>
      <xdr:col>3</xdr:col>
      <xdr:colOff>2047874</xdr:colOff>
      <xdr:row>18</xdr:row>
      <xdr:rowOff>228600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CB615FC-4C46-4DB4-B0E4-0E40AAECA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19050</xdr:colOff>
      <xdr:row>13</xdr:row>
      <xdr:rowOff>238124</xdr:rowOff>
    </xdr:from>
    <xdr:to>
      <xdr:col>8</xdr:col>
      <xdr:colOff>2257426</xdr:colOff>
      <xdr:row>18</xdr:row>
      <xdr:rowOff>247649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4FE3617-A7DE-43F9-98CC-352185FA4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9526</xdr:colOff>
      <xdr:row>15</xdr:row>
      <xdr:rowOff>38100</xdr:rowOff>
    </xdr:from>
    <xdr:to>
      <xdr:col>10</xdr:col>
      <xdr:colOff>2476500</xdr:colOff>
      <xdr:row>18</xdr:row>
      <xdr:rowOff>228601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F58B428-5E79-40F8-A944-33C25E964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3" name="Retângul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279AC2-5028-4D94-A42B-4DAB0F3EF23B}"/>
            </a:ext>
          </a:extLst>
        </xdr:cNvPr>
        <xdr:cNvSpPr/>
      </xdr:nvSpPr>
      <xdr:spPr>
        <a:xfrm>
          <a:off x="144781" y="541020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4" name="Retângul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97A3F7-39C5-47D5-ABFA-DF3386117AA0}"/>
            </a:ext>
          </a:extLst>
        </xdr:cNvPr>
        <xdr:cNvSpPr/>
      </xdr:nvSpPr>
      <xdr:spPr>
        <a:xfrm>
          <a:off x="144781" y="541020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>
    <xdr:from>
      <xdr:col>5</xdr:col>
      <xdr:colOff>33128</xdr:colOff>
      <xdr:row>3</xdr:row>
      <xdr:rowOff>238539</xdr:rowOff>
    </xdr:from>
    <xdr:to>
      <xdr:col>9</xdr:col>
      <xdr:colOff>304799</xdr:colOff>
      <xdr:row>10</xdr:row>
      <xdr:rowOff>225287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676DF17-3E1D-49BF-9F9D-2A77D5192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60960</xdr:colOff>
      <xdr:row>12</xdr:row>
      <xdr:rowOff>236220</xdr:rowOff>
    </xdr:from>
    <xdr:to>
      <xdr:col>3</xdr:col>
      <xdr:colOff>2026920</xdr:colOff>
      <xdr:row>18</xdr:row>
      <xdr:rowOff>297180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18EF1B8-3501-457F-929F-CDDF14D60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13</xdr:row>
      <xdr:rowOff>243840</xdr:rowOff>
    </xdr:from>
    <xdr:to>
      <xdr:col>9</xdr:col>
      <xdr:colOff>15240</xdr:colOff>
      <xdr:row>18</xdr:row>
      <xdr:rowOff>304800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C98E8DA-6E97-4CCB-8CA3-5BB7D7922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14</xdr:row>
      <xdr:rowOff>236220</xdr:rowOff>
    </xdr:from>
    <xdr:to>
      <xdr:col>10</xdr:col>
      <xdr:colOff>2575560</xdr:colOff>
      <xdr:row>19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DB7E8E5-D731-4F9E-BDE5-15FDDFCF4B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0" name="Retângulo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omhelder-my.sharepoint.com/personal/d21120_academico_domhelder_edu_br/Documents/Estudos/Excel/Se&#231;&#227;o%2014/14-arquivos-excel/projeto-fluxo-de-caixa-FINAL.xlsx" TargetMode="External"/><Relationship Id="rId1" Type="http://schemas.openxmlformats.org/officeDocument/2006/relationships/externalLinkPath" Target="14-arquivos-excel/projeto-fluxo-de-caixa-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omhelder-my.sharepoint.com/personal/d21120_academico_domhelder_edu_br/Documents/Estudos/Excel/Se&#231;&#227;o%2014/14-arquivos-excel/projeto-fluxo-de-caixa-30.xlsx" TargetMode="External"/><Relationship Id="rId1" Type="http://schemas.openxmlformats.org/officeDocument/2006/relationships/externalLinkPath" Target="14-arquivos-excel/projeto-fluxo-de-caixa-3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d21120_academico_domhelder_edu_br/Documents/K28:K29Estudos/Excel/Se&#231;&#227;o%2014/14-arquivos-excel/projeto-fluxo-de-caixa-3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10/domhelder-my.sharepoint.com/personal/d21120_academico_domhelder_edu_br/Documents/Estudos/Excel/Se&#231;&#227;o%2014/14-arquivos-excel/projeto-fluxo-de-caixa-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ício"/>
      <sheetName val="Matriz"/>
      <sheetName val="PCEntradasN1"/>
      <sheetName val="PCEntradasN2"/>
      <sheetName val="PCSaídasN1"/>
      <sheetName val="PCSaídasN2"/>
      <sheetName val="RegistroEntradas"/>
      <sheetName val="RegistroSaídas"/>
      <sheetName val="FluxoCaixaConsolidado"/>
      <sheetName val="DetalhaReceita"/>
      <sheetName val="DetalhaDespesa"/>
      <sheetName val="ContasPagar"/>
      <sheetName val="ContasReceber"/>
      <sheetName val="ContasReceberVencidas"/>
      <sheetName val="DashBoardFinanceiroAnual"/>
      <sheetName val="DashBoardFinanceiroAnualD"/>
      <sheetName val="DashBoardFinanceiroAtual"/>
      <sheetName val="DashBoardFinanceiroAtual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5">
          <cell r="G5">
            <v>6816</v>
          </cell>
          <cell r="K5" t="e">
            <v>#N/A</v>
          </cell>
          <cell r="L5" t="str">
            <v>Jan</v>
          </cell>
        </row>
        <row r="6">
          <cell r="K6">
            <v>5718</v>
          </cell>
          <cell r="L6" t="str">
            <v>Fev</v>
          </cell>
        </row>
        <row r="7">
          <cell r="K7">
            <v>4918</v>
          </cell>
          <cell r="L7" t="str">
            <v>Mar</v>
          </cell>
        </row>
        <row r="8">
          <cell r="K8">
            <v>3446</v>
          </cell>
          <cell r="L8" t="str">
            <v>Abr</v>
          </cell>
        </row>
        <row r="9">
          <cell r="K9">
            <v>611</v>
          </cell>
          <cell r="L9" t="str">
            <v>Mai</v>
          </cell>
        </row>
        <row r="10">
          <cell r="K10">
            <v>3224</v>
          </cell>
          <cell r="L10" t="str">
            <v>Jun</v>
          </cell>
        </row>
        <row r="11">
          <cell r="K11">
            <v>1306</v>
          </cell>
          <cell r="L11" t="str">
            <v>Jul</v>
          </cell>
        </row>
        <row r="12">
          <cell r="K12" t="e">
            <v>#N/A</v>
          </cell>
          <cell r="L12" t="str">
            <v>Ago</v>
          </cell>
        </row>
        <row r="13">
          <cell r="K13">
            <v>6637</v>
          </cell>
          <cell r="L13" t="str">
            <v>Set</v>
          </cell>
        </row>
        <row r="14">
          <cell r="K14" t="e">
            <v>#N/A</v>
          </cell>
          <cell r="L14" t="str">
            <v>Out</v>
          </cell>
        </row>
        <row r="15">
          <cell r="K15" t="e">
            <v>#N/A</v>
          </cell>
          <cell r="L15" t="str">
            <v>Nov</v>
          </cell>
        </row>
        <row r="16">
          <cell r="K16" t="e">
            <v>#N/A</v>
          </cell>
          <cell r="L16" t="str">
            <v>Dez</v>
          </cell>
        </row>
        <row r="21">
          <cell r="C21" t="str">
            <v>À Vista</v>
          </cell>
          <cell r="D21" t="str">
            <v>A Prazo</v>
          </cell>
        </row>
        <row r="22">
          <cell r="C22">
            <v>82959</v>
          </cell>
          <cell r="D22">
            <v>188812</v>
          </cell>
        </row>
        <row r="31">
          <cell r="C31" t="str">
            <v>Entradas</v>
          </cell>
          <cell r="D31" t="str">
            <v>Saídas</v>
          </cell>
        </row>
        <row r="32">
          <cell r="C32">
            <v>271771</v>
          </cell>
          <cell r="D32">
            <v>260299</v>
          </cell>
          <cell r="G32">
            <v>1</v>
          </cell>
          <cell r="H32">
            <v>17594</v>
          </cell>
        </row>
        <row r="33">
          <cell r="G33">
            <v>2</v>
          </cell>
          <cell r="H33">
            <v>10118</v>
          </cell>
        </row>
        <row r="34">
          <cell r="G34">
            <v>3</v>
          </cell>
          <cell r="H34">
            <v>13923</v>
          </cell>
        </row>
        <row r="35">
          <cell r="G35">
            <v>4</v>
          </cell>
          <cell r="H35">
            <v>4589</v>
          </cell>
        </row>
        <row r="36">
          <cell r="G36">
            <v>5</v>
          </cell>
          <cell r="H36">
            <v>11951</v>
          </cell>
        </row>
        <row r="37">
          <cell r="G37">
            <v>6</v>
          </cell>
          <cell r="H37">
            <v>9315</v>
          </cell>
        </row>
        <row r="38">
          <cell r="G38">
            <v>7</v>
          </cell>
          <cell r="H38">
            <v>10808</v>
          </cell>
        </row>
        <row r="39">
          <cell r="G39">
            <v>8</v>
          </cell>
          <cell r="H39">
            <v>1054</v>
          </cell>
        </row>
        <row r="40">
          <cell r="G40">
            <v>9</v>
          </cell>
          <cell r="H40">
            <v>10094</v>
          </cell>
        </row>
        <row r="41">
          <cell r="G41">
            <v>10</v>
          </cell>
          <cell r="H41">
            <v>7029</v>
          </cell>
        </row>
        <row r="42">
          <cell r="G42">
            <v>11</v>
          </cell>
          <cell r="H42">
            <v>0</v>
          </cell>
        </row>
        <row r="43">
          <cell r="G43">
            <v>12</v>
          </cell>
          <cell r="H4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ício"/>
      <sheetName val="Matriz"/>
      <sheetName val="PCEntradasN1"/>
      <sheetName val="PCEntradasN2"/>
      <sheetName val="PCSaídasN1"/>
      <sheetName val="PCSaídasN2"/>
      <sheetName val="RegistroEntradas"/>
      <sheetName val="RegistroSaídas"/>
      <sheetName val="FluxoCaixaConsolidado"/>
      <sheetName val="DetalhaReceita"/>
      <sheetName val="DetalhaDespesa"/>
      <sheetName val="ContasPagar"/>
      <sheetName val="ContasReceber"/>
      <sheetName val="ContasReceberVencidas"/>
      <sheetName val="DashBoardFinanceiroAnual"/>
      <sheetName val="DashBoardFinanceiroAnualD"/>
      <sheetName val="DashBoardFinanceiroAtual"/>
      <sheetName val="DashBoardFinanceiroAtualD"/>
      <sheetName val="projeto-fluxo-de-caixa-3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2">
          <cell r="K2">
            <v>43585</v>
          </cell>
        </row>
        <row r="4">
          <cell r="K4" t="str">
            <v>Livros</v>
          </cell>
        </row>
      </sheetData>
      <sheetData sheetId="17" refreshError="1">
        <row r="5">
          <cell r="G5">
            <v>3042</v>
          </cell>
          <cell r="H5">
            <v>1209</v>
          </cell>
          <cell r="J5">
            <v>6759</v>
          </cell>
          <cell r="K5">
            <v>6759</v>
          </cell>
          <cell r="L5" t="str">
            <v>Jan</v>
          </cell>
        </row>
        <row r="6">
          <cell r="G6">
            <v>7524</v>
          </cell>
          <cell r="H6">
            <v>1992</v>
          </cell>
          <cell r="J6">
            <v>8187</v>
          </cell>
          <cell r="K6">
            <v>8187</v>
          </cell>
          <cell r="L6" t="str">
            <v>Fev</v>
          </cell>
        </row>
        <row r="7">
          <cell r="G7">
            <v>0</v>
          </cell>
          <cell r="H7">
            <v>0</v>
          </cell>
          <cell r="J7">
            <v>5918</v>
          </cell>
          <cell r="K7">
            <v>5918</v>
          </cell>
          <cell r="L7" t="str">
            <v>Mar</v>
          </cell>
        </row>
        <row r="8">
          <cell r="G8">
            <v>3690</v>
          </cell>
          <cell r="H8">
            <v>4797</v>
          </cell>
          <cell r="J8">
            <v>1620</v>
          </cell>
          <cell r="K8">
            <v>1620</v>
          </cell>
          <cell r="L8" t="str">
            <v>Abr</v>
          </cell>
        </row>
        <row r="9">
          <cell r="G9">
            <v>0</v>
          </cell>
          <cell r="H9">
            <v>0</v>
          </cell>
          <cell r="J9">
            <v>0</v>
          </cell>
          <cell r="K9" t="e">
            <v>#N/A</v>
          </cell>
          <cell r="L9" t="str">
            <v>Mai</v>
          </cell>
        </row>
        <row r="10">
          <cell r="G10">
            <v>0</v>
          </cell>
          <cell r="H10">
            <v>0</v>
          </cell>
          <cell r="J10">
            <v>0</v>
          </cell>
          <cell r="K10" t="e">
            <v>#N/A</v>
          </cell>
          <cell r="L10" t="str">
            <v>Jun</v>
          </cell>
        </row>
        <row r="11">
          <cell r="C11">
            <v>39267</v>
          </cell>
          <cell r="G11">
            <v>0</v>
          </cell>
          <cell r="H11">
            <v>0</v>
          </cell>
          <cell r="J11">
            <v>0</v>
          </cell>
          <cell r="K11" t="e">
            <v>#N/A</v>
          </cell>
          <cell r="L11" t="str">
            <v>Jul</v>
          </cell>
        </row>
        <row r="12">
          <cell r="G12">
            <v>0</v>
          </cell>
          <cell r="H12">
            <v>0</v>
          </cell>
          <cell r="J12">
            <v>0</v>
          </cell>
          <cell r="K12" t="e">
            <v>#N/A</v>
          </cell>
          <cell r="L12" t="str">
            <v>Ago</v>
          </cell>
        </row>
        <row r="13">
          <cell r="D13">
            <v>14256</v>
          </cell>
          <cell r="G13">
            <v>0</v>
          </cell>
          <cell r="H13">
            <v>0</v>
          </cell>
          <cell r="J13">
            <v>0</v>
          </cell>
          <cell r="K13" t="e">
            <v>#N/A</v>
          </cell>
          <cell r="L13" t="str">
            <v>Set</v>
          </cell>
        </row>
        <row r="14">
          <cell r="D14">
            <v>7998</v>
          </cell>
          <cell r="G14">
            <v>0</v>
          </cell>
          <cell r="H14">
            <v>0</v>
          </cell>
          <cell r="J14">
            <v>0</v>
          </cell>
          <cell r="K14" t="e">
            <v>#N/A</v>
          </cell>
          <cell r="L14" t="str">
            <v>Out</v>
          </cell>
        </row>
        <row r="15">
          <cell r="G15">
            <v>0</v>
          </cell>
          <cell r="H15">
            <v>0</v>
          </cell>
          <cell r="J15">
            <v>0</v>
          </cell>
          <cell r="K15" t="e">
            <v>#N/A</v>
          </cell>
          <cell r="L15" t="str">
            <v>Nov</v>
          </cell>
        </row>
        <row r="16">
          <cell r="G16">
            <v>0</v>
          </cell>
          <cell r="H16">
            <v>0</v>
          </cell>
          <cell r="J16">
            <v>0</v>
          </cell>
          <cell r="K16" t="e">
            <v>#N/A</v>
          </cell>
          <cell r="L16" t="str">
            <v>Dez</v>
          </cell>
        </row>
        <row r="21">
          <cell r="C21" t="str">
            <v>À Vista</v>
          </cell>
          <cell r="D21" t="str">
            <v>A Prazo</v>
          </cell>
        </row>
        <row r="22">
          <cell r="C22">
            <v>38162</v>
          </cell>
          <cell r="D22">
            <v>58030</v>
          </cell>
          <cell r="E22">
            <v>96192</v>
          </cell>
        </row>
        <row r="27">
          <cell r="E27">
            <v>845.2</v>
          </cell>
          <cell r="J27">
            <v>1251.2</v>
          </cell>
        </row>
        <row r="31">
          <cell r="C31" t="str">
            <v>Entradas</v>
          </cell>
          <cell r="D31" t="str">
            <v>Saídas</v>
          </cell>
        </row>
        <row r="32">
          <cell r="C32">
            <v>96192</v>
          </cell>
          <cell r="D32">
            <v>115511</v>
          </cell>
          <cell r="E32">
            <v>-19319</v>
          </cell>
          <cell r="G32">
            <v>1</v>
          </cell>
          <cell r="H32">
            <v>14690</v>
          </cell>
        </row>
        <row r="33">
          <cell r="G33">
            <v>2</v>
          </cell>
          <cell r="H33">
            <v>6991</v>
          </cell>
        </row>
        <row r="34">
          <cell r="G34">
            <v>3</v>
          </cell>
          <cell r="H34">
            <v>8219</v>
          </cell>
        </row>
        <row r="35">
          <cell r="G35">
            <v>4</v>
          </cell>
          <cell r="H35">
            <v>19692</v>
          </cell>
        </row>
        <row r="36">
          <cell r="G36">
            <v>5</v>
          </cell>
          <cell r="H36">
            <v>0</v>
          </cell>
        </row>
        <row r="37">
          <cell r="G37">
            <v>6</v>
          </cell>
          <cell r="H37">
            <v>0</v>
          </cell>
        </row>
        <row r="38">
          <cell r="G38">
            <v>7</v>
          </cell>
          <cell r="H38">
            <v>0</v>
          </cell>
        </row>
        <row r="39">
          <cell r="G39">
            <v>8</v>
          </cell>
          <cell r="H39">
            <v>0</v>
          </cell>
        </row>
        <row r="40">
          <cell r="G40">
            <v>9</v>
          </cell>
          <cell r="H40">
            <v>0</v>
          </cell>
        </row>
        <row r="41">
          <cell r="G41">
            <v>10</v>
          </cell>
          <cell r="H41">
            <v>0</v>
          </cell>
        </row>
        <row r="42">
          <cell r="G42">
            <v>11</v>
          </cell>
          <cell r="H42">
            <v>0</v>
          </cell>
        </row>
        <row r="43">
          <cell r="G43">
            <v>12</v>
          </cell>
          <cell r="H43">
            <v>0</v>
          </cell>
        </row>
      </sheetData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jeto-fluxo-de-caixa-30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shBoardFinanceiroAtual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 Araújo" refreshedDate="45609.838141435182" createdVersion="8" refreshedVersion="8" minRefreshableVersion="3" recordCount="229" xr:uid="{6AB7CA02-2593-491B-BE20-E0D9BDA4FDB1}">
  <cacheSource type="worksheet">
    <worksheetSource name="TbRegistroSaídas"/>
  </cacheSource>
  <cacheFields count="13">
    <cacheField name="Data do Caixa Realizado" numFmtId="14">
      <sharedItems containsNonDate="0" containsDate="1" containsMixedTypes="1" minDate="2017-09-02T08:36:39" maxDate="2019-10-03T12:11:49"/>
    </cacheField>
    <cacheField name="Data da Competência" numFmtId="14">
      <sharedItems containsSemiMixedTypes="0" containsNonDate="0" containsDate="1" containsString="0" minDate="2017-08-10T00:00:00" maxDate="2019-07-01T00:00:00"/>
    </cacheField>
    <cacheField name="Data do Caixa Previsto" numFmtId="14">
      <sharedItems containsSemiMixedTypes="0" containsNonDate="0" containsDate="1" containsString="0" minDate="2017-09-02T08:36:39" maxDate="2019-08-20T22:17:49"/>
    </cacheField>
    <cacheField name="Conta Nível 1" numFmtId="0">
      <sharedItems count="1">
        <s v="Compra de mercadorias"/>
      </sharedItems>
    </cacheField>
    <cacheField name="Conta Nível 2" numFmtId="0">
      <sharedItems count="5">
        <s v="Som e imagem"/>
        <s v="Vestuário"/>
        <s v="Informática"/>
        <s v="Livros"/>
        <s v="Eletrodomésticos"/>
      </sharedItems>
    </cacheField>
    <cacheField name="Histórico" numFmtId="0">
      <sharedItems/>
    </cacheField>
    <cacheField name="Valor" numFmtId="44">
      <sharedItems containsSemiMixedTypes="0" containsString="0" containsNumber="1" containsInteger="1" minValue="131" maxValue="4947"/>
    </cacheField>
    <cacheField name="Mês Caixa" numFmtId="0">
      <sharedItems containsSemiMixedTypes="0" containsString="0" containsNumber="1" containsInteger="1" minValue="0" maxValue="12" count="13">
        <n v="10"/>
        <n v="9"/>
        <n v="0"/>
        <n v="11"/>
        <n v="1"/>
        <n v="2"/>
        <n v="12"/>
        <n v="3"/>
        <n v="5"/>
        <n v="4"/>
        <n v="7"/>
        <n v="6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10"/>
        <n v="9"/>
        <n v="11"/>
        <n v="12"/>
        <n v="1"/>
        <n v="2"/>
        <n v="3"/>
        <n v="4"/>
        <n v="5"/>
        <n v="6"/>
        <n v="7"/>
        <n v="8"/>
      </sharedItems>
    </cacheField>
    <cacheField name="Ano Previsto" numFmtId="0">
      <sharedItems containsSemiMixedTypes="0" containsString="0" containsNumber="1" containsInteger="1" minValue="2017" maxValue="2019" count="3">
        <n v="2017"/>
        <n v="2018"/>
        <n v="2019"/>
      </sharedItems>
    </cacheField>
  </cacheFields>
  <extLst>
    <ext xmlns:x14="http://schemas.microsoft.com/office/spreadsheetml/2009/9/main" uri="{725AE2AE-9491-48be-B2B4-4EB974FC3084}">
      <x14:pivotCacheDefinition pivotCacheId="14918651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 Araújo" refreshedDate="45609.850764120369" createdVersion="8" refreshedVersion="8" minRefreshableVersion="3" recordCount="231" xr:uid="{10051673-4F11-4E4E-ADE9-661BFCA8965B}">
  <cacheSource type="worksheet">
    <worksheetSource name="TbRegistroEntradas"/>
  </cacheSource>
  <cacheFields count="14">
    <cacheField name="Data do Caixa Realizado" numFmtId="14">
      <sharedItems containsNonDate="0" containsDate="1" containsMixedTypes="1" minDate="2017-09-07T22:06:21" maxDate="2019-10-03T03:26:59"/>
    </cacheField>
    <cacheField name="Data da Competência" numFmtId="14">
      <sharedItems containsSemiMixedTypes="0" containsNonDate="0" containsDate="1" containsString="0" minDate="2017-08-10T00:00:00" maxDate="2019-06-30T00:00:00"/>
    </cacheField>
    <cacheField name="Data do Caixa Previsto" numFmtId="14">
      <sharedItems containsSemiMixedTypes="0" containsNonDate="0" containsDate="1" containsString="0" minDate="2017-08-25T17:31:36" maxDate="2019-08-10T13:42:12"/>
    </cacheField>
    <cacheField name="Conta Nível 1" numFmtId="0">
      <sharedItems count="1">
        <s v="Vendas de mercadorias"/>
      </sharedItems>
    </cacheField>
    <cacheField name="Conta Nível 2" numFmtId="0">
      <sharedItems count="5">
        <s v="Informática"/>
        <s v="Móveis"/>
        <s v="Som e imagem"/>
        <s v="Eletrodomésticos"/>
        <s v="Livros"/>
      </sharedItems>
    </cacheField>
    <cacheField name="Histórico" numFmtId="0">
      <sharedItems/>
    </cacheField>
    <cacheField name="Valor" numFmtId="44">
      <sharedItems containsSemiMixedTypes="0" containsString="0" containsNumber="1" containsInteger="1" minValue="164" maxValue="4993"/>
    </cacheField>
    <cacheField name="Mês Caixa" numFmtId="0">
      <sharedItems containsSemiMixedTypes="0" containsString="0" containsNumber="1" containsInteger="1" minValue="0" maxValue="12" count="13">
        <n v="9"/>
        <n v="10"/>
        <n v="11"/>
        <n v="12"/>
        <n v="0"/>
        <n v="2"/>
        <n v="1"/>
        <n v="3"/>
        <n v="5"/>
        <n v="4"/>
        <n v="6"/>
        <n v="7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Previsto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Conta Vencida" numFmtId="0">
      <sharedItems count="2">
        <s v="Não Vencida"/>
        <s v="Vencida"/>
      </sharedItems>
    </cacheField>
  </cacheFields>
  <extLst>
    <ext xmlns:x14="http://schemas.microsoft.com/office/spreadsheetml/2009/9/main" uri="{725AE2AE-9491-48be-B2B4-4EB974FC3084}">
      <x14:pivotCacheDefinition pivotCacheId="81666125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9">
  <r>
    <d v="2017-10-07T16:32:18"/>
    <d v="2017-08-10T00:00:00"/>
    <d v="2017-10-07T16:32:18"/>
    <x v="0"/>
    <x v="0"/>
    <s v="NF4400"/>
    <n v="4021"/>
    <x v="0"/>
    <n v="2017"/>
    <x v="0"/>
    <x v="0"/>
    <x v="0"/>
    <x v="0"/>
  </r>
  <r>
    <d v="2017-09-17T19:57:23"/>
    <d v="2017-08-13T00:00:00"/>
    <d v="2017-09-17T19:57:23"/>
    <x v="0"/>
    <x v="1"/>
    <s v="NF5356"/>
    <n v="651"/>
    <x v="1"/>
    <n v="2017"/>
    <x v="0"/>
    <x v="0"/>
    <x v="1"/>
    <x v="0"/>
  </r>
  <r>
    <d v="2017-09-05T19:43:29"/>
    <d v="2017-08-18T00:00:00"/>
    <d v="2017-09-05T19:43:29"/>
    <x v="0"/>
    <x v="0"/>
    <s v="NF1847"/>
    <n v="131"/>
    <x v="1"/>
    <n v="2017"/>
    <x v="0"/>
    <x v="0"/>
    <x v="1"/>
    <x v="0"/>
  </r>
  <r>
    <d v="2017-09-26T09:36:33"/>
    <d v="2017-08-23T00:00:00"/>
    <d v="2017-09-26T09:36:33"/>
    <x v="0"/>
    <x v="0"/>
    <s v="NF7011"/>
    <n v="803"/>
    <x v="1"/>
    <n v="2017"/>
    <x v="0"/>
    <x v="0"/>
    <x v="1"/>
    <x v="0"/>
  </r>
  <r>
    <d v="2017-09-24T01:23:44"/>
    <d v="2017-08-24T00:00:00"/>
    <d v="2017-09-24T01:23:44"/>
    <x v="0"/>
    <x v="1"/>
    <s v="NF7746"/>
    <n v="4460"/>
    <x v="1"/>
    <n v="2017"/>
    <x v="0"/>
    <x v="0"/>
    <x v="1"/>
    <x v="0"/>
  </r>
  <r>
    <d v="2017-09-02T08:36:39"/>
    <d v="2017-08-25T00:00:00"/>
    <d v="2017-09-02T08:36:39"/>
    <x v="0"/>
    <x v="2"/>
    <s v="NF1507"/>
    <n v="299"/>
    <x v="1"/>
    <n v="2017"/>
    <x v="0"/>
    <x v="0"/>
    <x v="1"/>
    <x v="0"/>
  </r>
  <r>
    <d v="2017-10-06T14:20:21"/>
    <d v="2017-08-29T00:00:00"/>
    <d v="2017-10-06T14:20:21"/>
    <x v="0"/>
    <x v="1"/>
    <s v="NF5445"/>
    <n v="618"/>
    <x v="0"/>
    <n v="2017"/>
    <x v="0"/>
    <x v="0"/>
    <x v="0"/>
    <x v="0"/>
  </r>
  <r>
    <d v="2017-09-12T02:40:54"/>
    <d v="2017-09-01T00:00:00"/>
    <d v="2017-09-02T13:21:31"/>
    <x v="0"/>
    <x v="1"/>
    <s v="NF7526"/>
    <n v="2505"/>
    <x v="1"/>
    <n v="2017"/>
    <x v="1"/>
    <x v="0"/>
    <x v="1"/>
    <x v="0"/>
  </r>
  <r>
    <d v="2017-09-09T10:01:19"/>
    <d v="2017-09-04T00:00:00"/>
    <d v="2017-09-09T10:01:19"/>
    <x v="0"/>
    <x v="0"/>
    <s v="NF7559"/>
    <n v="817"/>
    <x v="1"/>
    <n v="2017"/>
    <x v="1"/>
    <x v="0"/>
    <x v="1"/>
    <x v="0"/>
  </r>
  <r>
    <s v=""/>
    <d v="2017-09-06T00:00:00"/>
    <d v="2017-09-06T16:52:20"/>
    <x v="0"/>
    <x v="2"/>
    <s v="NF9357"/>
    <n v="1565"/>
    <x v="2"/>
    <n v="0"/>
    <x v="1"/>
    <x v="0"/>
    <x v="1"/>
    <x v="0"/>
  </r>
  <r>
    <s v=""/>
    <d v="2017-09-12T00:00:00"/>
    <d v="2017-10-12T05:36:22"/>
    <x v="0"/>
    <x v="3"/>
    <s v="NF3898"/>
    <n v="1357"/>
    <x v="2"/>
    <n v="0"/>
    <x v="1"/>
    <x v="0"/>
    <x v="0"/>
    <x v="0"/>
  </r>
  <r>
    <d v="2017-10-17T07:52:04"/>
    <d v="2017-09-13T00:00:00"/>
    <d v="2017-10-17T07:52:04"/>
    <x v="0"/>
    <x v="3"/>
    <s v="NF7275"/>
    <n v="4739"/>
    <x v="0"/>
    <n v="2017"/>
    <x v="1"/>
    <x v="0"/>
    <x v="0"/>
    <x v="0"/>
  </r>
  <r>
    <d v="2017-09-30T14:22:47"/>
    <d v="2017-09-14T00:00:00"/>
    <d v="2017-09-30T14:22:47"/>
    <x v="0"/>
    <x v="0"/>
    <s v="NF9591"/>
    <n v="4675"/>
    <x v="1"/>
    <n v="2017"/>
    <x v="1"/>
    <x v="0"/>
    <x v="1"/>
    <x v="0"/>
  </r>
  <r>
    <d v="2017-09-26T03:10:09"/>
    <d v="2017-09-19T00:00:00"/>
    <d v="2017-09-26T03:10:09"/>
    <x v="0"/>
    <x v="1"/>
    <s v="NF3104"/>
    <n v="1797"/>
    <x v="1"/>
    <n v="2017"/>
    <x v="1"/>
    <x v="0"/>
    <x v="1"/>
    <x v="0"/>
  </r>
  <r>
    <d v="2017-11-04T23:27:43"/>
    <d v="2017-09-24T00:00:00"/>
    <d v="2017-11-04T23:27:43"/>
    <x v="0"/>
    <x v="3"/>
    <s v="NF3440"/>
    <n v="888"/>
    <x v="3"/>
    <n v="2017"/>
    <x v="1"/>
    <x v="0"/>
    <x v="2"/>
    <x v="0"/>
  </r>
  <r>
    <d v="2017-10-07T21:33:11"/>
    <d v="2017-09-25T00:00:00"/>
    <d v="2017-10-07T21:33:11"/>
    <x v="0"/>
    <x v="1"/>
    <s v="NF9195"/>
    <n v="2784"/>
    <x v="0"/>
    <n v="2017"/>
    <x v="1"/>
    <x v="0"/>
    <x v="0"/>
    <x v="0"/>
  </r>
  <r>
    <d v="2017-10-02T22:40:07"/>
    <d v="2017-09-25T00:00:00"/>
    <d v="2017-10-02T22:40:07"/>
    <x v="0"/>
    <x v="2"/>
    <s v="NF1821"/>
    <n v="707"/>
    <x v="0"/>
    <n v="2017"/>
    <x v="1"/>
    <x v="0"/>
    <x v="0"/>
    <x v="0"/>
  </r>
  <r>
    <d v="2018-01-18T20:49:17"/>
    <d v="2017-09-28T00:00:00"/>
    <d v="2017-11-03T14:25:06"/>
    <x v="0"/>
    <x v="2"/>
    <s v="NF5625"/>
    <n v="229"/>
    <x v="4"/>
    <n v="2018"/>
    <x v="1"/>
    <x v="0"/>
    <x v="2"/>
    <x v="0"/>
  </r>
  <r>
    <d v="2017-11-20T07:27:14"/>
    <d v="2017-10-01T00:00:00"/>
    <d v="2017-11-20T07:27:14"/>
    <x v="0"/>
    <x v="1"/>
    <s v="NF7471"/>
    <n v="2894"/>
    <x v="3"/>
    <n v="2017"/>
    <x v="2"/>
    <x v="0"/>
    <x v="2"/>
    <x v="0"/>
  </r>
  <r>
    <s v=""/>
    <d v="2017-10-04T00:00:00"/>
    <d v="2017-10-22T07:03:06"/>
    <x v="0"/>
    <x v="3"/>
    <s v="NF9225"/>
    <n v="4516"/>
    <x v="2"/>
    <n v="0"/>
    <x v="2"/>
    <x v="0"/>
    <x v="0"/>
    <x v="0"/>
  </r>
  <r>
    <d v="2017-10-23T01:23:23"/>
    <d v="2017-10-06T00:00:00"/>
    <d v="2017-10-23T01:23:23"/>
    <x v="0"/>
    <x v="3"/>
    <s v="NF3883"/>
    <n v="885"/>
    <x v="0"/>
    <n v="2017"/>
    <x v="2"/>
    <x v="0"/>
    <x v="0"/>
    <x v="0"/>
  </r>
  <r>
    <d v="2017-11-12T13:56:26"/>
    <d v="2017-10-09T00:00:00"/>
    <d v="2017-11-07T23:41:34"/>
    <x v="0"/>
    <x v="4"/>
    <s v="NF9408"/>
    <n v="1509"/>
    <x v="3"/>
    <n v="2017"/>
    <x v="2"/>
    <x v="0"/>
    <x v="2"/>
    <x v="0"/>
  </r>
  <r>
    <d v="2018-02-03T05:45:33"/>
    <d v="2017-10-14T00:00:00"/>
    <d v="2017-11-06T01:00:26"/>
    <x v="0"/>
    <x v="1"/>
    <s v="NF1517"/>
    <n v="145"/>
    <x v="5"/>
    <n v="2018"/>
    <x v="2"/>
    <x v="0"/>
    <x v="2"/>
    <x v="0"/>
  </r>
  <r>
    <d v="2017-11-12T07:13:39"/>
    <d v="2017-10-16T00:00:00"/>
    <d v="2017-10-23T05:53:31"/>
    <x v="0"/>
    <x v="1"/>
    <s v="NF8626"/>
    <n v="1311"/>
    <x v="3"/>
    <n v="2017"/>
    <x v="2"/>
    <x v="0"/>
    <x v="0"/>
    <x v="0"/>
  </r>
  <r>
    <d v="2017-11-20T08:40:45"/>
    <d v="2017-10-18T00:00:00"/>
    <d v="2017-11-20T08:40:45"/>
    <x v="0"/>
    <x v="1"/>
    <s v="NF4936"/>
    <n v="4182"/>
    <x v="3"/>
    <n v="2017"/>
    <x v="2"/>
    <x v="0"/>
    <x v="2"/>
    <x v="0"/>
  </r>
  <r>
    <d v="2017-10-29T09:31:32"/>
    <d v="2017-10-24T00:00:00"/>
    <d v="2017-10-29T09:31:32"/>
    <x v="0"/>
    <x v="2"/>
    <s v="NF7062"/>
    <n v="339"/>
    <x v="0"/>
    <n v="2017"/>
    <x v="2"/>
    <x v="0"/>
    <x v="0"/>
    <x v="0"/>
  </r>
  <r>
    <d v="2018-01-30T23:32:10"/>
    <d v="2017-10-29T00:00:00"/>
    <d v="2017-11-29T04:12:14"/>
    <x v="0"/>
    <x v="4"/>
    <s v="NF3172"/>
    <n v="1788"/>
    <x v="4"/>
    <n v="2018"/>
    <x v="2"/>
    <x v="0"/>
    <x v="2"/>
    <x v="0"/>
  </r>
  <r>
    <d v="2017-12-20T01:06:12"/>
    <d v="2017-11-03T00:00:00"/>
    <d v="2017-12-20T01:06:12"/>
    <x v="0"/>
    <x v="3"/>
    <s v="NF5821"/>
    <n v="1171"/>
    <x v="6"/>
    <n v="2017"/>
    <x v="3"/>
    <x v="0"/>
    <x v="3"/>
    <x v="0"/>
  </r>
  <r>
    <d v="2017-11-14T19:11:45"/>
    <d v="2017-11-05T00:00:00"/>
    <d v="2017-11-14T19:11:45"/>
    <x v="0"/>
    <x v="1"/>
    <s v="NF8137"/>
    <n v="4059"/>
    <x v="3"/>
    <n v="2017"/>
    <x v="3"/>
    <x v="0"/>
    <x v="2"/>
    <x v="0"/>
  </r>
  <r>
    <d v="2017-12-11T01:38:17"/>
    <d v="2017-11-08T00:00:00"/>
    <d v="2017-12-11T01:38:17"/>
    <x v="0"/>
    <x v="0"/>
    <s v="NF8083"/>
    <n v="4919"/>
    <x v="6"/>
    <n v="2017"/>
    <x v="3"/>
    <x v="0"/>
    <x v="3"/>
    <x v="0"/>
  </r>
  <r>
    <d v="2017-12-28T10:48:36"/>
    <d v="2017-11-12T00:00:00"/>
    <d v="2017-12-18T12:17:45"/>
    <x v="0"/>
    <x v="1"/>
    <s v="NF9597"/>
    <n v="3224"/>
    <x v="6"/>
    <n v="2017"/>
    <x v="3"/>
    <x v="0"/>
    <x v="3"/>
    <x v="0"/>
  </r>
  <r>
    <d v="2017-12-26T03:29:57"/>
    <d v="2017-11-15T00:00:00"/>
    <d v="2017-12-26T03:29:57"/>
    <x v="0"/>
    <x v="3"/>
    <s v="NF2065"/>
    <n v="3725"/>
    <x v="6"/>
    <n v="2017"/>
    <x v="3"/>
    <x v="0"/>
    <x v="3"/>
    <x v="0"/>
  </r>
  <r>
    <d v="2017-12-16T06:54:15"/>
    <d v="2017-11-17T00:00:00"/>
    <d v="2017-12-16T06:54:15"/>
    <x v="0"/>
    <x v="3"/>
    <s v="NF3192"/>
    <n v="312"/>
    <x v="6"/>
    <n v="2017"/>
    <x v="3"/>
    <x v="0"/>
    <x v="3"/>
    <x v="0"/>
  </r>
  <r>
    <d v="2018-01-12T16:03:24"/>
    <d v="2017-11-18T00:00:00"/>
    <d v="2018-01-12T16:03:24"/>
    <x v="0"/>
    <x v="1"/>
    <s v="NF1977"/>
    <n v="4773"/>
    <x v="4"/>
    <n v="2018"/>
    <x v="3"/>
    <x v="0"/>
    <x v="4"/>
    <x v="1"/>
  </r>
  <r>
    <d v="2017-12-07T15:16:42"/>
    <d v="2017-11-19T00:00:00"/>
    <d v="2017-12-07T15:16:42"/>
    <x v="0"/>
    <x v="0"/>
    <s v="NF3208"/>
    <n v="228"/>
    <x v="6"/>
    <n v="2017"/>
    <x v="3"/>
    <x v="0"/>
    <x v="3"/>
    <x v="0"/>
  </r>
  <r>
    <d v="2017-12-28T18:38:36"/>
    <d v="2017-11-22T00:00:00"/>
    <d v="2017-12-28T18:38:36"/>
    <x v="0"/>
    <x v="1"/>
    <s v="NF9545"/>
    <n v="450"/>
    <x v="6"/>
    <n v="2017"/>
    <x v="3"/>
    <x v="0"/>
    <x v="3"/>
    <x v="0"/>
  </r>
  <r>
    <s v=""/>
    <d v="2017-11-23T00:00:00"/>
    <d v="2018-01-03T09:48:25"/>
    <x v="0"/>
    <x v="1"/>
    <s v="NF3100"/>
    <n v="1155"/>
    <x v="2"/>
    <n v="0"/>
    <x v="3"/>
    <x v="0"/>
    <x v="4"/>
    <x v="1"/>
  </r>
  <r>
    <s v=""/>
    <d v="2017-11-30T00:00:00"/>
    <d v="2017-12-01T00:35:34"/>
    <x v="0"/>
    <x v="1"/>
    <s v="NF7746"/>
    <n v="1967"/>
    <x v="2"/>
    <n v="0"/>
    <x v="3"/>
    <x v="0"/>
    <x v="3"/>
    <x v="0"/>
  </r>
  <r>
    <d v="2018-02-28T22:08:26"/>
    <d v="2017-12-01T00:00:00"/>
    <d v="2017-12-27T02:18:23"/>
    <x v="0"/>
    <x v="4"/>
    <s v="NF1179"/>
    <n v="2741"/>
    <x v="5"/>
    <n v="2018"/>
    <x v="4"/>
    <x v="0"/>
    <x v="3"/>
    <x v="0"/>
  </r>
  <r>
    <d v="2018-01-25T08:17:33"/>
    <d v="2017-12-02T00:00:00"/>
    <d v="2018-01-25T08:17:33"/>
    <x v="0"/>
    <x v="2"/>
    <s v="NF3829"/>
    <n v="1130"/>
    <x v="4"/>
    <n v="2018"/>
    <x v="4"/>
    <x v="0"/>
    <x v="4"/>
    <x v="1"/>
  </r>
  <r>
    <d v="2018-01-18T12:48:48"/>
    <d v="2017-12-06T00:00:00"/>
    <d v="2018-01-18T12:48:48"/>
    <x v="0"/>
    <x v="3"/>
    <s v="NF6865"/>
    <n v="4835"/>
    <x v="4"/>
    <n v="2018"/>
    <x v="4"/>
    <x v="0"/>
    <x v="4"/>
    <x v="1"/>
  </r>
  <r>
    <d v="2018-01-29T01:49:50"/>
    <d v="2017-12-08T00:00:00"/>
    <d v="2018-01-29T01:49:50"/>
    <x v="0"/>
    <x v="4"/>
    <s v="NF4400"/>
    <n v="1411"/>
    <x v="4"/>
    <n v="2018"/>
    <x v="4"/>
    <x v="0"/>
    <x v="4"/>
    <x v="1"/>
  </r>
  <r>
    <d v="2017-12-30T15:10:06"/>
    <d v="2017-12-10T00:00:00"/>
    <d v="2017-12-30T15:10:06"/>
    <x v="0"/>
    <x v="1"/>
    <s v="NF9617"/>
    <n v="457"/>
    <x v="6"/>
    <n v="2017"/>
    <x v="4"/>
    <x v="0"/>
    <x v="3"/>
    <x v="0"/>
  </r>
  <r>
    <d v="2018-02-11T14:39:25"/>
    <d v="2017-12-15T00:00:00"/>
    <d v="2018-02-11T14:39:25"/>
    <x v="0"/>
    <x v="2"/>
    <s v="NF5659"/>
    <n v="2623"/>
    <x v="5"/>
    <n v="2018"/>
    <x v="4"/>
    <x v="0"/>
    <x v="5"/>
    <x v="1"/>
  </r>
  <r>
    <d v="2017-12-29T04:49:13"/>
    <d v="2017-12-17T00:00:00"/>
    <d v="2017-12-29T04:49:13"/>
    <x v="0"/>
    <x v="4"/>
    <s v="NF6102"/>
    <n v="3440"/>
    <x v="6"/>
    <n v="2017"/>
    <x v="4"/>
    <x v="0"/>
    <x v="3"/>
    <x v="0"/>
  </r>
  <r>
    <d v="2018-01-11T01:07:19"/>
    <d v="2017-12-20T00:00:00"/>
    <d v="2018-01-11T01:07:19"/>
    <x v="0"/>
    <x v="1"/>
    <s v="NF8162"/>
    <n v="3993"/>
    <x v="4"/>
    <n v="2018"/>
    <x v="4"/>
    <x v="0"/>
    <x v="4"/>
    <x v="1"/>
  </r>
  <r>
    <d v="2018-02-17T01:10:28"/>
    <d v="2017-12-21T00:00:00"/>
    <d v="2018-02-17T01:10:28"/>
    <x v="0"/>
    <x v="1"/>
    <s v="NF4573"/>
    <n v="3273"/>
    <x v="5"/>
    <n v="2018"/>
    <x v="4"/>
    <x v="0"/>
    <x v="5"/>
    <x v="1"/>
  </r>
  <r>
    <d v="2018-02-04T06:22:55"/>
    <d v="2017-12-25T00:00:00"/>
    <d v="2018-02-04T06:22:55"/>
    <x v="0"/>
    <x v="4"/>
    <s v="NF8503"/>
    <n v="4494"/>
    <x v="5"/>
    <n v="2018"/>
    <x v="4"/>
    <x v="0"/>
    <x v="5"/>
    <x v="1"/>
  </r>
  <r>
    <d v="2018-01-24T22:12:42"/>
    <d v="2017-12-27T00:00:00"/>
    <d v="2018-01-24T22:12:42"/>
    <x v="0"/>
    <x v="0"/>
    <s v="NF3380"/>
    <n v="2511"/>
    <x v="4"/>
    <n v="2018"/>
    <x v="4"/>
    <x v="0"/>
    <x v="4"/>
    <x v="1"/>
  </r>
  <r>
    <d v="2018-02-12T23:45:29"/>
    <d v="2017-12-29T00:00:00"/>
    <d v="2018-02-12T23:45:29"/>
    <x v="0"/>
    <x v="2"/>
    <s v="NF6566"/>
    <n v="2015"/>
    <x v="5"/>
    <n v="2018"/>
    <x v="4"/>
    <x v="0"/>
    <x v="5"/>
    <x v="1"/>
  </r>
  <r>
    <d v="2018-03-21T07:29:39"/>
    <d v="2017-12-31T00:00:00"/>
    <d v="2018-02-20T08:29:43"/>
    <x v="0"/>
    <x v="3"/>
    <s v="NF5838"/>
    <n v="3413"/>
    <x v="7"/>
    <n v="2018"/>
    <x v="4"/>
    <x v="0"/>
    <x v="5"/>
    <x v="1"/>
  </r>
  <r>
    <d v="2018-02-13T19:04:58"/>
    <d v="2018-01-03T00:00:00"/>
    <d v="2018-01-08T20:21:58"/>
    <x v="0"/>
    <x v="0"/>
    <s v="NF1174"/>
    <n v="4087"/>
    <x v="5"/>
    <n v="2018"/>
    <x v="5"/>
    <x v="1"/>
    <x v="4"/>
    <x v="1"/>
  </r>
  <r>
    <d v="2018-01-17T08:55:33"/>
    <d v="2018-01-06T00:00:00"/>
    <d v="2018-01-17T08:55:33"/>
    <x v="0"/>
    <x v="1"/>
    <s v="NF2942"/>
    <n v="2441"/>
    <x v="4"/>
    <n v="2018"/>
    <x v="5"/>
    <x v="1"/>
    <x v="4"/>
    <x v="1"/>
  </r>
  <r>
    <d v="2018-01-27T17:25:05"/>
    <d v="2018-01-09T00:00:00"/>
    <d v="2018-01-27T17:25:05"/>
    <x v="0"/>
    <x v="2"/>
    <s v="NF8563"/>
    <n v="3598"/>
    <x v="4"/>
    <n v="2018"/>
    <x v="5"/>
    <x v="1"/>
    <x v="4"/>
    <x v="1"/>
  </r>
  <r>
    <d v="2018-01-18T19:45:35"/>
    <d v="2018-01-10T00:00:00"/>
    <d v="2018-01-18T19:45:35"/>
    <x v="0"/>
    <x v="1"/>
    <s v="NF8237"/>
    <n v="4895"/>
    <x v="4"/>
    <n v="2018"/>
    <x v="5"/>
    <x v="1"/>
    <x v="4"/>
    <x v="1"/>
  </r>
  <r>
    <d v="2018-03-08T13:03:51"/>
    <d v="2018-01-12T00:00:00"/>
    <d v="2018-03-08T13:03:51"/>
    <x v="0"/>
    <x v="1"/>
    <s v="NF4859"/>
    <n v="971"/>
    <x v="7"/>
    <n v="2018"/>
    <x v="5"/>
    <x v="1"/>
    <x v="6"/>
    <x v="1"/>
  </r>
  <r>
    <d v="2018-02-06T01:03:18"/>
    <d v="2018-01-13T00:00:00"/>
    <d v="2018-02-06T01:03:18"/>
    <x v="0"/>
    <x v="0"/>
    <s v="NF1529"/>
    <n v="556"/>
    <x v="5"/>
    <n v="2018"/>
    <x v="5"/>
    <x v="1"/>
    <x v="5"/>
    <x v="1"/>
  </r>
  <r>
    <d v="2018-02-13T21:09:50"/>
    <d v="2018-01-14T00:00:00"/>
    <d v="2018-02-13T21:09:50"/>
    <x v="0"/>
    <x v="0"/>
    <s v="NF6931"/>
    <n v="1977"/>
    <x v="5"/>
    <n v="2018"/>
    <x v="5"/>
    <x v="1"/>
    <x v="5"/>
    <x v="1"/>
  </r>
  <r>
    <d v="2018-01-27T08:34:59"/>
    <d v="2018-01-16T00:00:00"/>
    <d v="2018-01-27T08:34:59"/>
    <x v="0"/>
    <x v="1"/>
    <s v="NF7559"/>
    <n v="2951"/>
    <x v="4"/>
    <n v="2018"/>
    <x v="5"/>
    <x v="1"/>
    <x v="4"/>
    <x v="1"/>
  </r>
  <r>
    <d v="2018-03-05T09:47:40"/>
    <d v="2018-01-20T00:00:00"/>
    <d v="2018-03-05T09:47:40"/>
    <x v="0"/>
    <x v="1"/>
    <s v="NF9620"/>
    <n v="2535"/>
    <x v="7"/>
    <n v="2018"/>
    <x v="5"/>
    <x v="1"/>
    <x v="6"/>
    <x v="1"/>
  </r>
  <r>
    <d v="2018-02-10T13:54:37"/>
    <d v="2018-01-21T00:00:00"/>
    <d v="2018-02-10T13:54:37"/>
    <x v="0"/>
    <x v="4"/>
    <s v="NF4547"/>
    <n v="3057"/>
    <x v="5"/>
    <n v="2018"/>
    <x v="5"/>
    <x v="1"/>
    <x v="5"/>
    <x v="1"/>
  </r>
  <r>
    <d v="2018-02-09T12:37:33"/>
    <d v="2018-01-23T00:00:00"/>
    <d v="2018-02-09T12:37:33"/>
    <x v="0"/>
    <x v="0"/>
    <s v="NF6004"/>
    <n v="3152"/>
    <x v="5"/>
    <n v="2018"/>
    <x v="5"/>
    <x v="1"/>
    <x v="5"/>
    <x v="1"/>
  </r>
  <r>
    <d v="2018-03-08T03:16:39"/>
    <d v="2018-01-25T00:00:00"/>
    <d v="2018-03-08T03:16:39"/>
    <x v="0"/>
    <x v="3"/>
    <s v="NF3415"/>
    <n v="2247"/>
    <x v="7"/>
    <n v="2018"/>
    <x v="5"/>
    <x v="1"/>
    <x v="6"/>
    <x v="1"/>
  </r>
  <r>
    <d v="2018-03-21T01:55:31"/>
    <d v="2018-01-27T00:00:00"/>
    <d v="2018-03-21T01:55:31"/>
    <x v="0"/>
    <x v="2"/>
    <s v="NF1603"/>
    <n v="2456"/>
    <x v="7"/>
    <n v="2018"/>
    <x v="5"/>
    <x v="1"/>
    <x v="6"/>
    <x v="1"/>
  </r>
  <r>
    <d v="2018-02-22T13:23:19"/>
    <d v="2018-01-29T00:00:00"/>
    <d v="2018-02-11T14:14:40"/>
    <x v="0"/>
    <x v="1"/>
    <s v="NF8784"/>
    <n v="3801"/>
    <x v="5"/>
    <n v="2018"/>
    <x v="5"/>
    <x v="1"/>
    <x v="5"/>
    <x v="1"/>
  </r>
  <r>
    <d v="2018-02-13T09:01:19"/>
    <d v="2018-01-31T00:00:00"/>
    <d v="2018-02-13T09:01:19"/>
    <x v="0"/>
    <x v="0"/>
    <s v="NF1826"/>
    <n v="3049"/>
    <x v="5"/>
    <n v="2018"/>
    <x v="5"/>
    <x v="1"/>
    <x v="5"/>
    <x v="1"/>
  </r>
  <r>
    <d v="2018-03-29T23:53:02"/>
    <d v="2018-02-04T00:00:00"/>
    <d v="2018-03-11T03:08:27"/>
    <x v="0"/>
    <x v="4"/>
    <s v="NF7390"/>
    <n v="3255"/>
    <x v="7"/>
    <n v="2018"/>
    <x v="6"/>
    <x v="1"/>
    <x v="6"/>
    <x v="1"/>
  </r>
  <r>
    <d v="2018-03-20T14:43:41"/>
    <d v="2018-02-05T00:00:00"/>
    <d v="2018-03-17T04:59:05"/>
    <x v="0"/>
    <x v="1"/>
    <s v="NF7009"/>
    <n v="2074"/>
    <x v="7"/>
    <n v="2018"/>
    <x v="6"/>
    <x v="1"/>
    <x v="6"/>
    <x v="1"/>
  </r>
  <r>
    <d v="2018-03-16T07:02:49"/>
    <d v="2018-02-06T00:00:00"/>
    <d v="2018-03-16T07:02:49"/>
    <x v="0"/>
    <x v="1"/>
    <s v="NF7629"/>
    <n v="3606"/>
    <x v="7"/>
    <n v="2018"/>
    <x v="6"/>
    <x v="1"/>
    <x v="6"/>
    <x v="1"/>
  </r>
  <r>
    <d v="2018-03-18T07:54:53"/>
    <d v="2018-02-07T00:00:00"/>
    <d v="2018-03-18T07:54:53"/>
    <x v="0"/>
    <x v="2"/>
    <s v="NF2748"/>
    <n v="4867"/>
    <x v="7"/>
    <n v="2018"/>
    <x v="6"/>
    <x v="1"/>
    <x v="6"/>
    <x v="1"/>
  </r>
  <r>
    <d v="2018-03-16T00:06:55"/>
    <d v="2018-02-09T00:00:00"/>
    <d v="2018-03-16T00:06:55"/>
    <x v="0"/>
    <x v="3"/>
    <s v="NF5961"/>
    <n v="702"/>
    <x v="7"/>
    <n v="2018"/>
    <x v="6"/>
    <x v="1"/>
    <x v="6"/>
    <x v="1"/>
  </r>
  <r>
    <d v="2018-05-18T00:10:35"/>
    <d v="2018-02-14T00:00:00"/>
    <d v="2018-02-19T10:57:20"/>
    <x v="0"/>
    <x v="3"/>
    <s v="NF7680"/>
    <n v="2801"/>
    <x v="8"/>
    <n v="2018"/>
    <x v="6"/>
    <x v="1"/>
    <x v="5"/>
    <x v="1"/>
  </r>
  <r>
    <s v=""/>
    <d v="2018-02-15T00:00:00"/>
    <d v="2018-03-10T18:40:49"/>
    <x v="0"/>
    <x v="1"/>
    <s v="NF9629"/>
    <n v="4438"/>
    <x v="2"/>
    <n v="0"/>
    <x v="6"/>
    <x v="1"/>
    <x v="6"/>
    <x v="1"/>
  </r>
  <r>
    <d v="2018-04-08T05:09:48"/>
    <d v="2018-02-20T00:00:00"/>
    <d v="2018-04-08T05:09:48"/>
    <x v="0"/>
    <x v="2"/>
    <s v="NF5978"/>
    <n v="3835"/>
    <x v="9"/>
    <n v="2018"/>
    <x v="6"/>
    <x v="1"/>
    <x v="7"/>
    <x v="1"/>
  </r>
  <r>
    <d v="2018-04-09T09:13:30"/>
    <d v="2018-03-01T00:00:00"/>
    <d v="2018-04-09T09:13:30"/>
    <x v="0"/>
    <x v="1"/>
    <s v="NF5651"/>
    <n v="3893"/>
    <x v="9"/>
    <n v="2018"/>
    <x v="7"/>
    <x v="1"/>
    <x v="7"/>
    <x v="1"/>
  </r>
  <r>
    <d v="2018-03-25T08:28:33"/>
    <d v="2018-03-04T00:00:00"/>
    <d v="2018-03-25T08:28:33"/>
    <x v="0"/>
    <x v="1"/>
    <s v="NF7772"/>
    <n v="1970"/>
    <x v="7"/>
    <n v="2018"/>
    <x v="7"/>
    <x v="1"/>
    <x v="6"/>
    <x v="1"/>
  </r>
  <r>
    <d v="2018-04-29T08:19:53"/>
    <d v="2018-03-05T00:00:00"/>
    <d v="2018-04-29T08:19:53"/>
    <x v="0"/>
    <x v="3"/>
    <s v="NF5401"/>
    <n v="729"/>
    <x v="9"/>
    <n v="2018"/>
    <x v="7"/>
    <x v="1"/>
    <x v="7"/>
    <x v="1"/>
  </r>
  <r>
    <d v="2018-03-29T23:02:23"/>
    <d v="2018-03-07T00:00:00"/>
    <d v="2018-03-29T23:02:23"/>
    <x v="0"/>
    <x v="2"/>
    <s v="NF9115"/>
    <n v="474"/>
    <x v="7"/>
    <n v="2018"/>
    <x v="7"/>
    <x v="1"/>
    <x v="6"/>
    <x v="1"/>
  </r>
  <r>
    <d v="2018-04-07T20:13:31"/>
    <d v="2018-03-09T00:00:00"/>
    <d v="2018-04-07T20:13:31"/>
    <x v="0"/>
    <x v="3"/>
    <s v="NF4115"/>
    <n v="3164"/>
    <x v="9"/>
    <n v="2018"/>
    <x v="7"/>
    <x v="1"/>
    <x v="7"/>
    <x v="1"/>
  </r>
  <r>
    <d v="2018-05-08T17:13:02"/>
    <d v="2018-03-14T00:00:00"/>
    <d v="2018-05-08T17:13:02"/>
    <x v="0"/>
    <x v="1"/>
    <s v="NF5683"/>
    <n v="3113"/>
    <x v="8"/>
    <n v="2018"/>
    <x v="7"/>
    <x v="1"/>
    <x v="8"/>
    <x v="1"/>
  </r>
  <r>
    <d v="2018-07-07T06:27:25"/>
    <d v="2018-03-17T00:00:00"/>
    <d v="2018-04-11T13:42:41"/>
    <x v="0"/>
    <x v="4"/>
    <s v="NF7027"/>
    <n v="789"/>
    <x v="10"/>
    <n v="2018"/>
    <x v="7"/>
    <x v="1"/>
    <x v="7"/>
    <x v="1"/>
  </r>
  <r>
    <d v="2018-04-01T13:26:12"/>
    <d v="2018-03-21T00:00:00"/>
    <d v="2018-04-01T13:26:12"/>
    <x v="0"/>
    <x v="4"/>
    <s v="NF7168"/>
    <n v="3521"/>
    <x v="9"/>
    <n v="2018"/>
    <x v="7"/>
    <x v="1"/>
    <x v="7"/>
    <x v="1"/>
  </r>
  <r>
    <d v="2018-03-28T17:37:56"/>
    <d v="2018-03-24T00:00:00"/>
    <d v="2018-03-28T17:37:56"/>
    <x v="0"/>
    <x v="1"/>
    <s v="NF4972"/>
    <n v="4947"/>
    <x v="7"/>
    <n v="2018"/>
    <x v="7"/>
    <x v="1"/>
    <x v="6"/>
    <x v="1"/>
  </r>
  <r>
    <d v="2018-05-03T14:57:10"/>
    <d v="2018-03-25T00:00:00"/>
    <d v="2018-05-03T14:57:10"/>
    <x v="0"/>
    <x v="4"/>
    <s v="NF7283"/>
    <n v="1527"/>
    <x v="8"/>
    <n v="2018"/>
    <x v="7"/>
    <x v="1"/>
    <x v="8"/>
    <x v="1"/>
  </r>
  <r>
    <d v="2018-05-14T12:32:29"/>
    <d v="2018-04-01T00:00:00"/>
    <d v="2018-05-14T12:32:29"/>
    <x v="0"/>
    <x v="4"/>
    <s v="NF6320"/>
    <n v="764"/>
    <x v="8"/>
    <n v="2018"/>
    <x v="8"/>
    <x v="1"/>
    <x v="8"/>
    <x v="1"/>
  </r>
  <r>
    <d v="2018-04-12T02:48:23"/>
    <d v="2018-04-03T00:00:00"/>
    <d v="2018-04-12T02:48:23"/>
    <x v="0"/>
    <x v="2"/>
    <s v="NF7850"/>
    <n v="2463"/>
    <x v="9"/>
    <n v="2018"/>
    <x v="8"/>
    <x v="1"/>
    <x v="7"/>
    <x v="1"/>
  </r>
  <r>
    <d v="2018-04-30T01:56:26"/>
    <d v="2018-04-05T00:00:00"/>
    <d v="2018-04-25T16:44:12"/>
    <x v="0"/>
    <x v="3"/>
    <s v="NF2420"/>
    <n v="2111"/>
    <x v="9"/>
    <n v="2018"/>
    <x v="8"/>
    <x v="1"/>
    <x v="7"/>
    <x v="1"/>
  </r>
  <r>
    <d v="2018-05-01T13:42:29"/>
    <d v="2018-04-06T00:00:00"/>
    <d v="2018-05-01T13:42:29"/>
    <x v="0"/>
    <x v="1"/>
    <s v="NF6764"/>
    <n v="1144"/>
    <x v="8"/>
    <n v="2018"/>
    <x v="8"/>
    <x v="1"/>
    <x v="8"/>
    <x v="1"/>
  </r>
  <r>
    <d v="2018-05-20T16:28:59"/>
    <d v="2018-04-10T00:00:00"/>
    <d v="2018-05-20T16:28:59"/>
    <x v="0"/>
    <x v="3"/>
    <s v="NF6382"/>
    <n v="597"/>
    <x v="8"/>
    <n v="2018"/>
    <x v="8"/>
    <x v="1"/>
    <x v="8"/>
    <x v="1"/>
  </r>
  <r>
    <d v="2018-07-09T07:24:13"/>
    <d v="2018-04-16T00:00:00"/>
    <d v="2018-04-19T02:53:39"/>
    <x v="0"/>
    <x v="1"/>
    <s v="NF8079"/>
    <n v="3445"/>
    <x v="10"/>
    <n v="2018"/>
    <x v="8"/>
    <x v="1"/>
    <x v="7"/>
    <x v="1"/>
  </r>
  <r>
    <d v="2018-05-02T07:19:37"/>
    <d v="2018-04-22T00:00:00"/>
    <d v="2018-05-02T07:19:37"/>
    <x v="0"/>
    <x v="4"/>
    <s v="NF2434"/>
    <n v="1996"/>
    <x v="8"/>
    <n v="2018"/>
    <x v="8"/>
    <x v="1"/>
    <x v="8"/>
    <x v="1"/>
  </r>
  <r>
    <d v="2018-05-12T18:26:56"/>
    <d v="2018-04-28T00:00:00"/>
    <d v="2018-05-12T18:26:56"/>
    <x v="0"/>
    <x v="3"/>
    <s v="NF3230"/>
    <n v="1254"/>
    <x v="8"/>
    <n v="2018"/>
    <x v="8"/>
    <x v="1"/>
    <x v="8"/>
    <x v="1"/>
  </r>
  <r>
    <d v="2018-05-21T03:30:05"/>
    <d v="2018-04-29T00:00:00"/>
    <d v="2018-05-03T19:21:01"/>
    <x v="0"/>
    <x v="3"/>
    <s v="NF8847"/>
    <n v="905"/>
    <x v="8"/>
    <n v="2018"/>
    <x v="8"/>
    <x v="1"/>
    <x v="8"/>
    <x v="1"/>
  </r>
  <r>
    <d v="2018-05-31T14:47:54"/>
    <d v="2018-05-02T00:00:00"/>
    <d v="2018-05-31T14:47:54"/>
    <x v="0"/>
    <x v="2"/>
    <s v="NF8053"/>
    <n v="2975"/>
    <x v="8"/>
    <n v="2018"/>
    <x v="9"/>
    <x v="1"/>
    <x v="8"/>
    <x v="1"/>
  </r>
  <r>
    <d v="2018-05-08T16:17:57"/>
    <d v="2018-05-03T00:00:00"/>
    <d v="2018-05-08T16:17:57"/>
    <x v="0"/>
    <x v="1"/>
    <s v="NF2454"/>
    <n v="4807"/>
    <x v="8"/>
    <n v="2018"/>
    <x v="9"/>
    <x v="1"/>
    <x v="8"/>
    <x v="1"/>
  </r>
  <r>
    <d v="2018-06-13T07:07:36"/>
    <d v="2018-05-10T00:00:00"/>
    <d v="2018-06-13T07:07:36"/>
    <x v="0"/>
    <x v="4"/>
    <s v="NF8252"/>
    <n v="1882"/>
    <x v="11"/>
    <n v="2018"/>
    <x v="9"/>
    <x v="1"/>
    <x v="9"/>
    <x v="1"/>
  </r>
  <r>
    <d v="2018-06-27T19:00:08"/>
    <d v="2018-05-15T00:00:00"/>
    <d v="2018-06-27T19:00:08"/>
    <x v="0"/>
    <x v="0"/>
    <s v="NF6573"/>
    <n v="3932"/>
    <x v="11"/>
    <n v="2018"/>
    <x v="9"/>
    <x v="1"/>
    <x v="9"/>
    <x v="1"/>
  </r>
  <r>
    <s v=""/>
    <d v="2018-05-18T00:00:00"/>
    <d v="2018-06-02T02:25:53"/>
    <x v="0"/>
    <x v="1"/>
    <s v="NF8780"/>
    <n v="701"/>
    <x v="2"/>
    <n v="0"/>
    <x v="9"/>
    <x v="1"/>
    <x v="9"/>
    <x v="1"/>
  </r>
  <r>
    <d v="2018-06-27T06:00:26"/>
    <d v="2018-05-19T00:00:00"/>
    <d v="2018-06-27T06:00:26"/>
    <x v="0"/>
    <x v="1"/>
    <s v="NF6166"/>
    <n v="2651"/>
    <x v="11"/>
    <n v="2018"/>
    <x v="9"/>
    <x v="1"/>
    <x v="9"/>
    <x v="1"/>
  </r>
  <r>
    <d v="2018-09-07T07:57:31"/>
    <d v="2018-05-26T00:00:00"/>
    <d v="2018-07-01T19:37:16"/>
    <x v="0"/>
    <x v="1"/>
    <s v="NF8437"/>
    <n v="3792"/>
    <x v="1"/>
    <n v="2018"/>
    <x v="9"/>
    <x v="1"/>
    <x v="10"/>
    <x v="1"/>
  </r>
  <r>
    <d v="2018-08-22T00:57:34"/>
    <d v="2018-05-28T00:00:00"/>
    <d v="2018-07-25T13:16:52"/>
    <x v="0"/>
    <x v="0"/>
    <s v="NF6635"/>
    <n v="611"/>
    <x v="12"/>
    <n v="2018"/>
    <x v="9"/>
    <x v="1"/>
    <x v="10"/>
    <x v="1"/>
  </r>
  <r>
    <d v="2018-07-11T14:55:40"/>
    <d v="2018-05-31T00:00:00"/>
    <d v="2018-07-11T14:55:40"/>
    <x v="0"/>
    <x v="2"/>
    <s v="NF8734"/>
    <n v="3431"/>
    <x v="10"/>
    <n v="2018"/>
    <x v="9"/>
    <x v="1"/>
    <x v="10"/>
    <x v="1"/>
  </r>
  <r>
    <d v="2018-06-28T01:37:59"/>
    <d v="2018-06-02T00:00:00"/>
    <d v="2018-06-28T01:37:59"/>
    <x v="0"/>
    <x v="1"/>
    <s v="NF4208"/>
    <n v="3670"/>
    <x v="11"/>
    <n v="2018"/>
    <x v="10"/>
    <x v="1"/>
    <x v="9"/>
    <x v="1"/>
  </r>
  <r>
    <d v="2018-06-08T16:00:01"/>
    <d v="2018-06-04T00:00:00"/>
    <d v="2018-06-08T16:00:01"/>
    <x v="0"/>
    <x v="1"/>
    <s v="NF4923"/>
    <n v="4320"/>
    <x v="11"/>
    <n v="2018"/>
    <x v="10"/>
    <x v="1"/>
    <x v="9"/>
    <x v="1"/>
  </r>
  <r>
    <d v="2018-07-01T16:18:26"/>
    <d v="2018-06-05T00:00:00"/>
    <d v="2018-07-01T16:18:26"/>
    <x v="0"/>
    <x v="2"/>
    <s v="NF6782"/>
    <n v="1809"/>
    <x v="10"/>
    <n v="2018"/>
    <x v="10"/>
    <x v="1"/>
    <x v="10"/>
    <x v="1"/>
  </r>
  <r>
    <d v="2018-07-25T19:28:19"/>
    <d v="2018-06-07T00:00:00"/>
    <d v="2018-07-25T19:28:19"/>
    <x v="0"/>
    <x v="1"/>
    <s v="NF6280"/>
    <n v="667"/>
    <x v="10"/>
    <n v="2018"/>
    <x v="10"/>
    <x v="1"/>
    <x v="10"/>
    <x v="1"/>
  </r>
  <r>
    <d v="2018-06-18T19:00:08"/>
    <d v="2018-06-11T00:00:00"/>
    <d v="2018-06-18T19:00:08"/>
    <x v="0"/>
    <x v="4"/>
    <s v="NF7827"/>
    <n v="1613"/>
    <x v="11"/>
    <n v="2018"/>
    <x v="10"/>
    <x v="1"/>
    <x v="9"/>
    <x v="1"/>
  </r>
  <r>
    <d v="2018-07-28T05:48:11"/>
    <d v="2018-06-17T00:00:00"/>
    <d v="2018-07-28T05:48:11"/>
    <x v="0"/>
    <x v="0"/>
    <s v="NF5357"/>
    <n v="3756"/>
    <x v="10"/>
    <n v="2018"/>
    <x v="10"/>
    <x v="1"/>
    <x v="10"/>
    <x v="1"/>
  </r>
  <r>
    <d v="2018-08-16T00:14:52"/>
    <d v="2018-06-20T00:00:00"/>
    <d v="2018-08-16T00:14:52"/>
    <x v="0"/>
    <x v="2"/>
    <s v="NF8188"/>
    <n v="3672"/>
    <x v="12"/>
    <n v="2018"/>
    <x v="10"/>
    <x v="1"/>
    <x v="11"/>
    <x v="1"/>
  </r>
  <r>
    <d v="2018-08-17T02:37:59"/>
    <d v="2018-06-26T00:00:00"/>
    <d v="2018-07-07T00:58:52"/>
    <x v="0"/>
    <x v="1"/>
    <s v="NF4640"/>
    <n v="658"/>
    <x v="12"/>
    <n v="2018"/>
    <x v="10"/>
    <x v="1"/>
    <x v="10"/>
    <x v="1"/>
  </r>
  <r>
    <d v="2018-08-24T10:23:22"/>
    <d v="2018-06-29T00:00:00"/>
    <d v="2018-08-24T10:23:22"/>
    <x v="0"/>
    <x v="2"/>
    <s v="NF2293"/>
    <n v="4762"/>
    <x v="12"/>
    <n v="2018"/>
    <x v="10"/>
    <x v="1"/>
    <x v="11"/>
    <x v="1"/>
  </r>
  <r>
    <d v="2018-07-09T16:48:23"/>
    <d v="2018-07-02T00:00:00"/>
    <d v="2018-07-09T16:48:23"/>
    <x v="0"/>
    <x v="0"/>
    <s v="NF2933"/>
    <n v="2186"/>
    <x v="10"/>
    <n v="2018"/>
    <x v="11"/>
    <x v="1"/>
    <x v="10"/>
    <x v="1"/>
  </r>
  <r>
    <d v="2018-07-24T04:31:40"/>
    <d v="2018-07-03T00:00:00"/>
    <d v="2018-07-24T04:31:40"/>
    <x v="0"/>
    <x v="2"/>
    <s v="NF4384"/>
    <n v="3411"/>
    <x v="10"/>
    <n v="2018"/>
    <x v="11"/>
    <x v="1"/>
    <x v="10"/>
    <x v="1"/>
  </r>
  <r>
    <d v="2018-07-24T10:25:52"/>
    <d v="2018-07-08T00:00:00"/>
    <d v="2018-07-24T10:25:52"/>
    <x v="0"/>
    <x v="2"/>
    <s v="NF8316"/>
    <n v="2524"/>
    <x v="10"/>
    <n v="2018"/>
    <x v="11"/>
    <x v="1"/>
    <x v="10"/>
    <x v="1"/>
  </r>
  <r>
    <d v="2018-08-01T04:14:27"/>
    <d v="2018-07-10T00:00:00"/>
    <d v="2018-08-01T04:14:27"/>
    <x v="0"/>
    <x v="0"/>
    <s v="NF1506"/>
    <n v="1709"/>
    <x v="12"/>
    <n v="2018"/>
    <x v="11"/>
    <x v="1"/>
    <x v="11"/>
    <x v="1"/>
  </r>
  <r>
    <d v="2018-08-28T08:22:59"/>
    <d v="2018-07-15T00:00:00"/>
    <d v="2018-08-28T08:22:59"/>
    <x v="0"/>
    <x v="1"/>
    <s v="NF4913"/>
    <n v="3181"/>
    <x v="12"/>
    <n v="2018"/>
    <x v="11"/>
    <x v="1"/>
    <x v="11"/>
    <x v="1"/>
  </r>
  <r>
    <d v="2018-08-09T16:53:42"/>
    <d v="2018-07-16T00:00:00"/>
    <d v="2018-08-09T16:53:42"/>
    <x v="0"/>
    <x v="3"/>
    <s v="NF8526"/>
    <n v="1108"/>
    <x v="12"/>
    <n v="2018"/>
    <x v="11"/>
    <x v="1"/>
    <x v="11"/>
    <x v="1"/>
  </r>
  <r>
    <d v="2018-08-18T00:15:22"/>
    <d v="2018-07-17T00:00:00"/>
    <d v="2018-08-18T00:15:22"/>
    <x v="0"/>
    <x v="1"/>
    <s v="NF9873"/>
    <n v="2777"/>
    <x v="12"/>
    <n v="2018"/>
    <x v="11"/>
    <x v="1"/>
    <x v="11"/>
    <x v="1"/>
  </r>
  <r>
    <d v="2018-09-14T00:58:53"/>
    <d v="2018-07-19T00:00:00"/>
    <d v="2018-09-14T00:58:53"/>
    <x v="0"/>
    <x v="0"/>
    <s v="NF9870"/>
    <n v="3793"/>
    <x v="1"/>
    <n v="2018"/>
    <x v="11"/>
    <x v="1"/>
    <x v="1"/>
    <x v="1"/>
  </r>
  <r>
    <s v=""/>
    <d v="2018-07-21T00:00:00"/>
    <d v="2018-08-12T21:19:56"/>
    <x v="0"/>
    <x v="2"/>
    <s v="NF5563"/>
    <n v="4217"/>
    <x v="2"/>
    <n v="0"/>
    <x v="11"/>
    <x v="1"/>
    <x v="11"/>
    <x v="1"/>
  </r>
  <r>
    <d v="2018-08-30T14:57:50"/>
    <d v="2018-07-28T00:00:00"/>
    <d v="2018-08-30T14:57:50"/>
    <x v="0"/>
    <x v="1"/>
    <s v="NF5510"/>
    <n v="4850"/>
    <x v="12"/>
    <n v="2018"/>
    <x v="11"/>
    <x v="1"/>
    <x v="11"/>
    <x v="1"/>
  </r>
  <r>
    <d v="2018-09-11T23:14:03"/>
    <d v="2018-07-30T00:00:00"/>
    <d v="2018-08-19T07:55:56"/>
    <x v="0"/>
    <x v="2"/>
    <s v="NF1440"/>
    <n v="4309"/>
    <x v="1"/>
    <n v="2018"/>
    <x v="11"/>
    <x v="1"/>
    <x v="11"/>
    <x v="1"/>
  </r>
  <r>
    <d v="2018-10-01T14:46:44"/>
    <d v="2018-08-01T00:00:00"/>
    <d v="2018-08-02T13:49:34"/>
    <x v="0"/>
    <x v="3"/>
    <s v="NF2709"/>
    <n v="4462"/>
    <x v="0"/>
    <n v="2018"/>
    <x v="0"/>
    <x v="1"/>
    <x v="11"/>
    <x v="1"/>
  </r>
  <r>
    <d v="2018-10-02T11:47:41"/>
    <d v="2018-08-07T00:00:00"/>
    <d v="2018-10-02T11:47:41"/>
    <x v="0"/>
    <x v="4"/>
    <s v="NF9886"/>
    <n v="4947"/>
    <x v="0"/>
    <n v="2018"/>
    <x v="0"/>
    <x v="1"/>
    <x v="0"/>
    <x v="1"/>
  </r>
  <r>
    <d v="2018-09-25T16:55:00"/>
    <d v="2018-08-10T00:00:00"/>
    <d v="2018-09-25T16:55:00"/>
    <x v="0"/>
    <x v="0"/>
    <s v="NF6993"/>
    <n v="902"/>
    <x v="1"/>
    <n v="2018"/>
    <x v="0"/>
    <x v="1"/>
    <x v="1"/>
    <x v="1"/>
  </r>
  <r>
    <d v="2018-09-23T20:55:42"/>
    <d v="2018-08-12T00:00:00"/>
    <d v="2018-09-23T20:55:42"/>
    <x v="0"/>
    <x v="4"/>
    <s v="NF9126"/>
    <n v="432"/>
    <x v="1"/>
    <n v="2018"/>
    <x v="0"/>
    <x v="1"/>
    <x v="1"/>
    <x v="1"/>
  </r>
  <r>
    <d v="2018-09-13T22:56:48"/>
    <d v="2018-08-15T00:00:00"/>
    <d v="2018-09-13T22:56:48"/>
    <x v="0"/>
    <x v="2"/>
    <s v="NF3531"/>
    <n v="4084"/>
    <x v="1"/>
    <n v="2018"/>
    <x v="0"/>
    <x v="1"/>
    <x v="1"/>
    <x v="1"/>
  </r>
  <r>
    <d v="2018-11-29T00:17:37"/>
    <d v="2018-08-22T00:00:00"/>
    <d v="2018-09-16T00:23:57"/>
    <x v="0"/>
    <x v="1"/>
    <s v="NF6599"/>
    <n v="1054"/>
    <x v="3"/>
    <n v="2018"/>
    <x v="0"/>
    <x v="1"/>
    <x v="1"/>
    <x v="1"/>
  </r>
  <r>
    <d v="2018-09-09T01:51:27"/>
    <d v="2018-08-23T00:00:00"/>
    <d v="2018-09-09T01:51:27"/>
    <x v="0"/>
    <x v="4"/>
    <s v="NF9323"/>
    <n v="4608"/>
    <x v="1"/>
    <n v="2018"/>
    <x v="0"/>
    <x v="1"/>
    <x v="1"/>
    <x v="1"/>
  </r>
  <r>
    <d v="2018-09-20T03:35:31"/>
    <d v="2018-08-28T00:00:00"/>
    <d v="2018-09-20T03:35:31"/>
    <x v="0"/>
    <x v="0"/>
    <s v="NF3529"/>
    <n v="1238"/>
    <x v="1"/>
    <n v="2018"/>
    <x v="0"/>
    <x v="1"/>
    <x v="1"/>
    <x v="1"/>
  </r>
  <r>
    <d v="2018-09-27T17:31:08"/>
    <d v="2018-09-03T00:00:00"/>
    <d v="2018-09-27T17:31:08"/>
    <x v="0"/>
    <x v="1"/>
    <s v="NF5824"/>
    <n v="1342"/>
    <x v="1"/>
    <n v="2018"/>
    <x v="1"/>
    <x v="1"/>
    <x v="1"/>
    <x v="1"/>
  </r>
  <r>
    <d v="2018-12-04T20:10:31"/>
    <d v="2018-09-07T00:00:00"/>
    <d v="2018-10-29T18:42:30"/>
    <x v="0"/>
    <x v="4"/>
    <s v="NF3860"/>
    <n v="2936"/>
    <x v="6"/>
    <n v="2018"/>
    <x v="1"/>
    <x v="1"/>
    <x v="0"/>
    <x v="1"/>
  </r>
  <r>
    <d v="2018-10-08T03:24:37"/>
    <d v="2018-09-08T00:00:00"/>
    <d v="2018-10-08T03:24:37"/>
    <x v="0"/>
    <x v="1"/>
    <s v="NF7260"/>
    <n v="875"/>
    <x v="0"/>
    <n v="2018"/>
    <x v="1"/>
    <x v="1"/>
    <x v="0"/>
    <x v="1"/>
  </r>
  <r>
    <d v="2018-09-12T00:31:15"/>
    <d v="2018-09-10T00:00:00"/>
    <d v="2018-09-12T00:31:15"/>
    <x v="0"/>
    <x v="3"/>
    <s v="NF2238"/>
    <n v="159"/>
    <x v="1"/>
    <n v="2018"/>
    <x v="1"/>
    <x v="1"/>
    <x v="1"/>
    <x v="1"/>
  </r>
  <r>
    <d v="2018-10-09T15:23:27"/>
    <d v="2018-09-15T00:00:00"/>
    <d v="2018-10-09T15:23:27"/>
    <x v="0"/>
    <x v="1"/>
    <s v="NF7342"/>
    <n v="2933"/>
    <x v="0"/>
    <n v="2018"/>
    <x v="1"/>
    <x v="1"/>
    <x v="0"/>
    <x v="1"/>
  </r>
  <r>
    <d v="2018-11-01T03:06:41"/>
    <d v="2018-09-15T00:00:00"/>
    <d v="2018-11-01T03:06:41"/>
    <x v="0"/>
    <x v="1"/>
    <s v="NF8517"/>
    <n v="4944"/>
    <x v="3"/>
    <n v="2018"/>
    <x v="1"/>
    <x v="1"/>
    <x v="2"/>
    <x v="1"/>
  </r>
  <r>
    <d v="2018-10-04T15:50:23"/>
    <d v="2018-09-19T00:00:00"/>
    <d v="2018-10-04T15:50:23"/>
    <x v="0"/>
    <x v="0"/>
    <s v="NF9366"/>
    <n v="4173"/>
    <x v="0"/>
    <n v="2018"/>
    <x v="1"/>
    <x v="1"/>
    <x v="0"/>
    <x v="1"/>
  </r>
  <r>
    <d v="2018-10-02T04:27:54"/>
    <d v="2018-09-24T00:00:00"/>
    <d v="2018-10-02T04:27:54"/>
    <x v="0"/>
    <x v="4"/>
    <s v="NF4973"/>
    <n v="2065"/>
    <x v="0"/>
    <n v="2018"/>
    <x v="1"/>
    <x v="1"/>
    <x v="0"/>
    <x v="1"/>
  </r>
  <r>
    <d v="2018-11-18T11:16:55"/>
    <d v="2018-09-28T00:00:00"/>
    <d v="2018-11-18T11:16:55"/>
    <x v="0"/>
    <x v="2"/>
    <s v="NF1111"/>
    <n v="521"/>
    <x v="3"/>
    <n v="2018"/>
    <x v="1"/>
    <x v="1"/>
    <x v="2"/>
    <x v="1"/>
  </r>
  <r>
    <d v="2018-11-13T19:50:37"/>
    <d v="2018-10-01T00:00:00"/>
    <d v="2018-11-13T19:50:37"/>
    <x v="0"/>
    <x v="2"/>
    <s v="NF8344"/>
    <n v="819"/>
    <x v="3"/>
    <n v="2018"/>
    <x v="2"/>
    <x v="1"/>
    <x v="2"/>
    <x v="1"/>
  </r>
  <r>
    <d v="2018-11-29T03:48:33"/>
    <d v="2018-10-04T00:00:00"/>
    <d v="2018-11-29T03:48:33"/>
    <x v="0"/>
    <x v="0"/>
    <s v="NF8750"/>
    <n v="1260"/>
    <x v="3"/>
    <n v="2018"/>
    <x v="2"/>
    <x v="1"/>
    <x v="2"/>
    <x v="1"/>
  </r>
  <r>
    <d v="2018-10-16T21:21:41"/>
    <d v="2018-10-10T00:00:00"/>
    <d v="2018-10-16T21:21:41"/>
    <x v="0"/>
    <x v="4"/>
    <s v="NF7616"/>
    <n v="2998"/>
    <x v="0"/>
    <n v="2018"/>
    <x v="2"/>
    <x v="1"/>
    <x v="0"/>
    <x v="1"/>
  </r>
  <r>
    <d v="2018-10-31T01:07:14"/>
    <d v="2018-10-12T00:00:00"/>
    <d v="2018-10-31T01:07:14"/>
    <x v="0"/>
    <x v="4"/>
    <s v="NF3536"/>
    <n v="4287"/>
    <x v="0"/>
    <n v="2018"/>
    <x v="2"/>
    <x v="1"/>
    <x v="0"/>
    <x v="1"/>
  </r>
  <r>
    <d v="2019-02-11T18:08:36"/>
    <d v="2018-10-14T00:00:00"/>
    <d v="2018-11-24T03:33:56"/>
    <x v="0"/>
    <x v="3"/>
    <s v="NF9376"/>
    <n v="2015"/>
    <x v="5"/>
    <n v="2019"/>
    <x v="2"/>
    <x v="1"/>
    <x v="2"/>
    <x v="1"/>
  </r>
  <r>
    <d v="2018-12-15T05:05:06"/>
    <d v="2018-10-20T00:00:00"/>
    <d v="2018-12-15T05:05:06"/>
    <x v="0"/>
    <x v="3"/>
    <s v="NF1222"/>
    <n v="3369"/>
    <x v="6"/>
    <n v="2018"/>
    <x v="2"/>
    <x v="1"/>
    <x v="3"/>
    <x v="1"/>
  </r>
  <r>
    <d v="2018-10-31T19:28:19"/>
    <d v="2018-10-21T00:00:00"/>
    <d v="2018-10-31T19:28:19"/>
    <x v="0"/>
    <x v="1"/>
    <s v="NF3914"/>
    <n v="4851"/>
    <x v="0"/>
    <n v="2018"/>
    <x v="2"/>
    <x v="1"/>
    <x v="0"/>
    <x v="1"/>
  </r>
  <r>
    <d v="2018-12-22T00:45:32"/>
    <d v="2018-10-25T00:00:00"/>
    <d v="2018-12-15T00:19:24"/>
    <x v="0"/>
    <x v="1"/>
    <s v="NF7447"/>
    <n v="2178"/>
    <x v="6"/>
    <n v="2018"/>
    <x v="2"/>
    <x v="1"/>
    <x v="3"/>
    <x v="1"/>
  </r>
  <r>
    <d v="2018-11-20T01:29:21"/>
    <d v="2018-10-27T00:00:00"/>
    <d v="2018-11-20T01:29:21"/>
    <x v="0"/>
    <x v="3"/>
    <s v="NF5088"/>
    <n v="4052"/>
    <x v="3"/>
    <n v="2018"/>
    <x v="2"/>
    <x v="1"/>
    <x v="2"/>
    <x v="1"/>
  </r>
  <r>
    <d v="2018-11-16T14:05:40"/>
    <d v="2018-10-30T00:00:00"/>
    <d v="2018-11-16T14:05:40"/>
    <x v="0"/>
    <x v="4"/>
    <s v="NF7858"/>
    <n v="2864"/>
    <x v="3"/>
    <n v="2018"/>
    <x v="2"/>
    <x v="1"/>
    <x v="2"/>
    <x v="1"/>
  </r>
  <r>
    <d v="2018-12-27T21:24:18"/>
    <d v="2018-11-01T00:00:00"/>
    <d v="2018-12-27T21:24:18"/>
    <x v="0"/>
    <x v="1"/>
    <s v="NF7692"/>
    <n v="2425"/>
    <x v="6"/>
    <n v="2018"/>
    <x v="3"/>
    <x v="1"/>
    <x v="3"/>
    <x v="1"/>
  </r>
  <r>
    <d v="2019-01-26T03:09:35"/>
    <d v="2018-11-03T00:00:00"/>
    <d v="2019-01-01T13:15:07"/>
    <x v="0"/>
    <x v="4"/>
    <s v="NF7390"/>
    <n v="1542"/>
    <x v="4"/>
    <n v="2019"/>
    <x v="3"/>
    <x v="1"/>
    <x v="4"/>
    <x v="2"/>
  </r>
  <r>
    <d v="2018-12-12T17:38:41"/>
    <d v="2018-11-08T00:00:00"/>
    <d v="2018-12-12T17:38:41"/>
    <x v="0"/>
    <x v="1"/>
    <s v="NF6262"/>
    <n v="1736"/>
    <x v="6"/>
    <n v="2018"/>
    <x v="3"/>
    <x v="1"/>
    <x v="3"/>
    <x v="1"/>
  </r>
  <r>
    <d v="2019-01-09T16:18:40"/>
    <d v="2018-11-11T00:00:00"/>
    <d v="2019-01-09T16:18:40"/>
    <x v="0"/>
    <x v="2"/>
    <s v="NF9573"/>
    <n v="1628"/>
    <x v="4"/>
    <n v="2019"/>
    <x v="3"/>
    <x v="1"/>
    <x v="4"/>
    <x v="2"/>
  </r>
  <r>
    <d v="2018-11-16T02:35:10"/>
    <d v="2018-11-13T00:00:00"/>
    <d v="2018-11-16T02:35:10"/>
    <x v="0"/>
    <x v="1"/>
    <s v="NF8087"/>
    <n v="3853"/>
    <x v="3"/>
    <n v="2018"/>
    <x v="3"/>
    <x v="1"/>
    <x v="2"/>
    <x v="1"/>
  </r>
  <r>
    <d v="2018-12-17T04:53:47"/>
    <d v="2018-11-17T00:00:00"/>
    <d v="2018-12-17T04:53:47"/>
    <x v="0"/>
    <x v="2"/>
    <s v="NF5909"/>
    <n v="883"/>
    <x v="6"/>
    <n v="2018"/>
    <x v="3"/>
    <x v="1"/>
    <x v="3"/>
    <x v="1"/>
  </r>
  <r>
    <d v="2018-12-07T18:17:32"/>
    <d v="2018-11-17T00:00:00"/>
    <d v="2018-12-07T18:17:32"/>
    <x v="0"/>
    <x v="1"/>
    <s v="NF4172"/>
    <n v="976"/>
    <x v="6"/>
    <n v="2018"/>
    <x v="3"/>
    <x v="1"/>
    <x v="3"/>
    <x v="1"/>
  </r>
  <r>
    <d v="2018-12-31T22:37:03"/>
    <d v="2018-11-20T00:00:00"/>
    <d v="2018-12-31T22:37:03"/>
    <x v="0"/>
    <x v="2"/>
    <s v="NF8957"/>
    <n v="2663"/>
    <x v="6"/>
    <n v="2018"/>
    <x v="3"/>
    <x v="1"/>
    <x v="3"/>
    <x v="1"/>
  </r>
  <r>
    <d v="2018-11-26T22:53:14"/>
    <d v="2018-11-26T00:00:00"/>
    <d v="2018-11-26T22:53:14"/>
    <x v="0"/>
    <x v="1"/>
    <s v="NF2981"/>
    <n v="4888"/>
    <x v="3"/>
    <n v="2018"/>
    <x v="3"/>
    <x v="1"/>
    <x v="2"/>
    <x v="1"/>
  </r>
  <r>
    <d v="2019-02-21T18:19:59"/>
    <d v="2018-11-29T00:00:00"/>
    <d v="2019-01-13T19:18:14"/>
    <x v="0"/>
    <x v="2"/>
    <s v="NF5104"/>
    <n v="2030"/>
    <x v="5"/>
    <n v="2019"/>
    <x v="3"/>
    <x v="1"/>
    <x v="4"/>
    <x v="2"/>
  </r>
  <r>
    <s v=""/>
    <d v="2018-12-02T00:00:00"/>
    <d v="2019-01-20T19:42:08"/>
    <x v="0"/>
    <x v="1"/>
    <s v="NF3942"/>
    <n v="2117"/>
    <x v="2"/>
    <n v="0"/>
    <x v="4"/>
    <x v="1"/>
    <x v="4"/>
    <x v="2"/>
  </r>
  <r>
    <d v="2019-04-21T08:25:53"/>
    <d v="2018-12-04T00:00:00"/>
    <d v="2019-01-29T18:00:06"/>
    <x v="0"/>
    <x v="1"/>
    <s v="NF6376"/>
    <n v="1236"/>
    <x v="9"/>
    <n v="2019"/>
    <x v="4"/>
    <x v="1"/>
    <x v="4"/>
    <x v="2"/>
  </r>
  <r>
    <d v="2018-12-31T17:55:32"/>
    <d v="2018-12-09T00:00:00"/>
    <d v="2018-12-31T17:55:32"/>
    <x v="0"/>
    <x v="1"/>
    <s v="NF7518"/>
    <n v="426"/>
    <x v="6"/>
    <n v="2018"/>
    <x v="4"/>
    <x v="1"/>
    <x v="3"/>
    <x v="1"/>
  </r>
  <r>
    <d v="2018-12-31T02:34:29"/>
    <d v="2018-12-10T00:00:00"/>
    <d v="2018-12-24T03:51:14"/>
    <x v="0"/>
    <x v="4"/>
    <s v="NF5359"/>
    <n v="3956"/>
    <x v="6"/>
    <n v="2018"/>
    <x v="4"/>
    <x v="1"/>
    <x v="3"/>
    <x v="1"/>
  </r>
  <r>
    <s v=""/>
    <d v="2018-12-14T00:00:00"/>
    <d v="2019-01-15T17:55:39"/>
    <x v="0"/>
    <x v="1"/>
    <s v="NF5153"/>
    <n v="3042"/>
    <x v="2"/>
    <n v="0"/>
    <x v="4"/>
    <x v="1"/>
    <x v="4"/>
    <x v="2"/>
  </r>
  <r>
    <d v="2019-02-10T06:21:01"/>
    <d v="2018-12-15T00:00:00"/>
    <d v="2019-01-24T08:03:45"/>
    <x v="0"/>
    <x v="1"/>
    <s v="NF3127"/>
    <n v="1434"/>
    <x v="5"/>
    <n v="2019"/>
    <x v="4"/>
    <x v="1"/>
    <x v="4"/>
    <x v="2"/>
  </r>
  <r>
    <d v="2019-01-22T04:31:20"/>
    <d v="2018-12-18T00:00:00"/>
    <d v="2019-01-22T04:31:20"/>
    <x v="0"/>
    <x v="0"/>
    <s v="NF7641"/>
    <n v="1782"/>
    <x v="4"/>
    <n v="2019"/>
    <x v="4"/>
    <x v="1"/>
    <x v="4"/>
    <x v="2"/>
  </r>
  <r>
    <d v="2019-02-18T09:40:35"/>
    <d v="2018-12-25T00:00:00"/>
    <d v="2019-02-18T09:40:35"/>
    <x v="0"/>
    <x v="1"/>
    <s v="NF2758"/>
    <n v="365"/>
    <x v="5"/>
    <n v="2019"/>
    <x v="4"/>
    <x v="1"/>
    <x v="5"/>
    <x v="2"/>
  </r>
  <r>
    <d v="2019-01-26T16:18:05"/>
    <d v="2018-12-27T00:00:00"/>
    <d v="2019-01-26T16:18:05"/>
    <x v="0"/>
    <x v="1"/>
    <s v="NF9279"/>
    <n v="2757"/>
    <x v="4"/>
    <n v="2019"/>
    <x v="4"/>
    <x v="1"/>
    <x v="4"/>
    <x v="2"/>
  </r>
  <r>
    <d v="2019-02-19T04:57:57"/>
    <d v="2018-12-30T00:00:00"/>
    <d v="2019-02-19T04:57:57"/>
    <x v="0"/>
    <x v="0"/>
    <s v="NF2386"/>
    <n v="2112"/>
    <x v="5"/>
    <n v="2019"/>
    <x v="4"/>
    <x v="1"/>
    <x v="5"/>
    <x v="2"/>
  </r>
  <r>
    <d v="2019-04-18T04:58:30"/>
    <d v="2019-01-02T00:00:00"/>
    <d v="2019-01-18T13:55:07"/>
    <x v="0"/>
    <x v="0"/>
    <s v="NF6751"/>
    <n v="2190"/>
    <x v="9"/>
    <n v="2019"/>
    <x v="5"/>
    <x v="2"/>
    <x v="4"/>
    <x v="2"/>
  </r>
  <r>
    <d v="2019-01-20T15:24:57"/>
    <d v="2019-01-04T00:00:00"/>
    <d v="2019-01-20T15:24:57"/>
    <x v="0"/>
    <x v="1"/>
    <s v="NF9460"/>
    <n v="2998"/>
    <x v="4"/>
    <n v="2019"/>
    <x v="5"/>
    <x v="2"/>
    <x v="4"/>
    <x v="2"/>
  </r>
  <r>
    <d v="2019-02-05T00:47:03"/>
    <d v="2019-01-11T00:00:00"/>
    <d v="2019-02-05T00:47:03"/>
    <x v="0"/>
    <x v="1"/>
    <s v="NF5556"/>
    <n v="3808"/>
    <x v="5"/>
    <n v="2019"/>
    <x v="5"/>
    <x v="2"/>
    <x v="5"/>
    <x v="2"/>
  </r>
  <r>
    <d v="2019-01-30T11:29:38"/>
    <d v="2019-01-14T00:00:00"/>
    <d v="2019-01-30T11:29:38"/>
    <x v="0"/>
    <x v="1"/>
    <s v="NF4918"/>
    <n v="4928"/>
    <x v="4"/>
    <n v="2019"/>
    <x v="5"/>
    <x v="2"/>
    <x v="4"/>
    <x v="2"/>
  </r>
  <r>
    <d v="2019-03-12T00:36:53"/>
    <d v="2019-01-17T00:00:00"/>
    <d v="2019-03-12T00:36:53"/>
    <x v="0"/>
    <x v="0"/>
    <s v="NF1763"/>
    <n v="4179"/>
    <x v="7"/>
    <n v="2019"/>
    <x v="5"/>
    <x v="2"/>
    <x v="6"/>
    <x v="2"/>
  </r>
  <r>
    <d v="2019-02-03T23:50:40"/>
    <d v="2019-01-19T00:00:00"/>
    <d v="2019-02-03T23:50:40"/>
    <x v="0"/>
    <x v="4"/>
    <s v="NF2024"/>
    <n v="4896"/>
    <x v="5"/>
    <n v="2019"/>
    <x v="5"/>
    <x v="2"/>
    <x v="5"/>
    <x v="2"/>
  </r>
  <r>
    <d v="2019-02-02T03:08:46"/>
    <d v="2019-01-22T00:00:00"/>
    <d v="2019-02-02T03:08:46"/>
    <x v="0"/>
    <x v="0"/>
    <s v="NF8079"/>
    <n v="4092"/>
    <x v="5"/>
    <n v="2019"/>
    <x v="5"/>
    <x v="2"/>
    <x v="5"/>
    <x v="2"/>
  </r>
  <r>
    <d v="2019-01-31T22:24:29"/>
    <d v="2019-01-27T00:00:00"/>
    <d v="2019-01-31T22:24:29"/>
    <x v="0"/>
    <x v="1"/>
    <s v="NF6383"/>
    <n v="2956"/>
    <x v="4"/>
    <n v="2019"/>
    <x v="5"/>
    <x v="2"/>
    <x v="4"/>
    <x v="2"/>
  </r>
  <r>
    <d v="2019-02-13T18:40:14"/>
    <d v="2019-01-31T00:00:00"/>
    <d v="2019-02-13T18:40:14"/>
    <x v="0"/>
    <x v="0"/>
    <s v="NF3919"/>
    <n v="533"/>
    <x v="5"/>
    <n v="2019"/>
    <x v="5"/>
    <x v="2"/>
    <x v="5"/>
    <x v="2"/>
  </r>
  <r>
    <d v="2019-02-24T17:32:07"/>
    <d v="2019-02-01T00:00:00"/>
    <d v="2019-02-24T17:32:07"/>
    <x v="0"/>
    <x v="2"/>
    <s v="NF1390"/>
    <n v="3519"/>
    <x v="5"/>
    <n v="2019"/>
    <x v="6"/>
    <x v="2"/>
    <x v="5"/>
    <x v="2"/>
  </r>
  <r>
    <d v="2019-03-24T18:54:41"/>
    <d v="2019-02-03T00:00:00"/>
    <d v="2019-03-24T18:54:41"/>
    <x v="0"/>
    <x v="4"/>
    <s v="NF2500"/>
    <n v="757"/>
    <x v="7"/>
    <n v="2019"/>
    <x v="6"/>
    <x v="2"/>
    <x v="6"/>
    <x v="2"/>
  </r>
  <r>
    <d v="2019-03-28T05:56:28"/>
    <d v="2019-02-07T00:00:00"/>
    <d v="2019-03-28T05:56:28"/>
    <x v="0"/>
    <x v="1"/>
    <s v="NF2427"/>
    <n v="2688"/>
    <x v="7"/>
    <n v="2019"/>
    <x v="6"/>
    <x v="2"/>
    <x v="6"/>
    <x v="2"/>
  </r>
  <r>
    <d v="2019-03-30T10:37:26"/>
    <d v="2019-02-09T00:00:00"/>
    <d v="2019-03-30T10:37:26"/>
    <x v="0"/>
    <x v="3"/>
    <s v="NF4680"/>
    <n v="340"/>
    <x v="7"/>
    <n v="2019"/>
    <x v="6"/>
    <x v="2"/>
    <x v="6"/>
    <x v="2"/>
  </r>
  <r>
    <d v="2019-02-12T14:13:18"/>
    <d v="2019-02-10T00:00:00"/>
    <d v="2019-02-12T14:13:18"/>
    <x v="0"/>
    <x v="3"/>
    <s v="NF7019"/>
    <n v="4204"/>
    <x v="5"/>
    <n v="2019"/>
    <x v="6"/>
    <x v="2"/>
    <x v="5"/>
    <x v="2"/>
  </r>
  <r>
    <d v="2019-03-31T06:50:37"/>
    <d v="2019-02-12T00:00:00"/>
    <d v="2019-03-31T06:50:37"/>
    <x v="0"/>
    <x v="2"/>
    <s v="NF4961"/>
    <n v="3695"/>
    <x v="7"/>
    <n v="2019"/>
    <x v="6"/>
    <x v="2"/>
    <x v="6"/>
    <x v="2"/>
  </r>
  <r>
    <d v="2019-06-03T21:03:17"/>
    <d v="2019-02-21T00:00:00"/>
    <d v="2019-03-24T00:09:11"/>
    <x v="0"/>
    <x v="0"/>
    <s v="NF4608"/>
    <n v="4148"/>
    <x v="11"/>
    <n v="2019"/>
    <x v="6"/>
    <x v="2"/>
    <x v="6"/>
    <x v="2"/>
  </r>
  <r>
    <d v="2019-04-11T11:34:45"/>
    <d v="2019-02-25T00:00:00"/>
    <d v="2019-03-29T22:04:56"/>
    <x v="0"/>
    <x v="1"/>
    <s v="NF1913"/>
    <n v="4303"/>
    <x v="9"/>
    <n v="2019"/>
    <x v="6"/>
    <x v="2"/>
    <x v="6"/>
    <x v="2"/>
  </r>
  <r>
    <d v="2019-03-07T17:42:59"/>
    <d v="2019-02-27T00:00:00"/>
    <d v="2019-03-07T17:42:59"/>
    <x v="0"/>
    <x v="3"/>
    <s v="NF5844"/>
    <n v="2674"/>
    <x v="7"/>
    <n v="2019"/>
    <x v="6"/>
    <x v="2"/>
    <x v="6"/>
    <x v="2"/>
  </r>
  <r>
    <d v="2019-04-14T20:03:15"/>
    <d v="2019-03-02T00:00:00"/>
    <d v="2019-04-14T20:03:15"/>
    <x v="0"/>
    <x v="4"/>
    <s v="NF7813"/>
    <n v="1720"/>
    <x v="9"/>
    <n v="2019"/>
    <x v="7"/>
    <x v="2"/>
    <x v="7"/>
    <x v="2"/>
  </r>
  <r>
    <d v="2019-04-12T18:11:29"/>
    <d v="2019-03-06T00:00:00"/>
    <d v="2019-04-12T18:11:29"/>
    <x v="0"/>
    <x v="4"/>
    <s v="NF6780"/>
    <n v="1854"/>
    <x v="9"/>
    <n v="2019"/>
    <x v="7"/>
    <x v="2"/>
    <x v="7"/>
    <x v="2"/>
  </r>
  <r>
    <d v="2019-03-11T01:54:11"/>
    <d v="2019-03-08T00:00:00"/>
    <d v="2019-03-11T01:54:11"/>
    <x v="0"/>
    <x v="1"/>
    <s v="NF9599"/>
    <n v="2568"/>
    <x v="7"/>
    <n v="2019"/>
    <x v="7"/>
    <x v="2"/>
    <x v="6"/>
    <x v="2"/>
  </r>
  <r>
    <d v="2019-04-17T14:18:26"/>
    <d v="2019-03-08T00:00:00"/>
    <d v="2019-04-17T14:18:26"/>
    <x v="0"/>
    <x v="1"/>
    <s v="NF8659"/>
    <n v="3690"/>
    <x v="9"/>
    <n v="2019"/>
    <x v="7"/>
    <x v="2"/>
    <x v="7"/>
    <x v="2"/>
  </r>
  <r>
    <d v="2019-06-05T12:21:59"/>
    <d v="2019-03-10T00:00:00"/>
    <d v="2019-04-15T12:56:12"/>
    <x v="0"/>
    <x v="0"/>
    <s v="NF4652"/>
    <n v="3746"/>
    <x v="11"/>
    <n v="2019"/>
    <x v="7"/>
    <x v="2"/>
    <x v="7"/>
    <x v="2"/>
  </r>
  <r>
    <d v="2019-04-16T17:46:42"/>
    <d v="2019-03-12T00:00:00"/>
    <d v="2019-04-16T17:46:42"/>
    <x v="0"/>
    <x v="4"/>
    <s v="NF3068"/>
    <n v="4360"/>
    <x v="9"/>
    <n v="2019"/>
    <x v="7"/>
    <x v="2"/>
    <x v="7"/>
    <x v="2"/>
  </r>
  <r>
    <s v=""/>
    <d v="2019-03-13T00:00:00"/>
    <d v="2019-04-21T09:02:46"/>
    <x v="0"/>
    <x v="0"/>
    <s v="NF7141"/>
    <n v="1753"/>
    <x v="2"/>
    <n v="0"/>
    <x v="7"/>
    <x v="2"/>
    <x v="7"/>
    <x v="2"/>
  </r>
  <r>
    <d v="2019-03-19T15:46:35"/>
    <d v="2019-03-16T00:00:00"/>
    <d v="2019-03-19T15:46:35"/>
    <x v="0"/>
    <x v="4"/>
    <s v="NF3366"/>
    <n v="1421"/>
    <x v="7"/>
    <n v="2019"/>
    <x v="7"/>
    <x v="2"/>
    <x v="6"/>
    <x v="2"/>
  </r>
  <r>
    <d v="2019-04-11T07:59:33"/>
    <d v="2019-03-19T00:00:00"/>
    <d v="2019-04-11T07:59:33"/>
    <x v="0"/>
    <x v="0"/>
    <s v="NF8853"/>
    <n v="3565"/>
    <x v="9"/>
    <n v="2019"/>
    <x v="7"/>
    <x v="2"/>
    <x v="7"/>
    <x v="2"/>
  </r>
  <r>
    <d v="2019-07-17T09:11:04"/>
    <d v="2019-03-22T00:00:00"/>
    <d v="2019-05-01T11:33:58"/>
    <x v="0"/>
    <x v="1"/>
    <s v="NF7681"/>
    <n v="1961"/>
    <x v="10"/>
    <n v="2019"/>
    <x v="7"/>
    <x v="2"/>
    <x v="8"/>
    <x v="2"/>
  </r>
  <r>
    <d v="2019-04-15T02:20:04"/>
    <d v="2019-03-27T00:00:00"/>
    <d v="2019-04-02T02:00:21"/>
    <x v="0"/>
    <x v="3"/>
    <s v="NF1441"/>
    <n v="4854"/>
    <x v="9"/>
    <n v="2019"/>
    <x v="7"/>
    <x v="2"/>
    <x v="7"/>
    <x v="2"/>
  </r>
  <r>
    <d v="2019-04-23T17:40:18"/>
    <d v="2019-04-02T00:00:00"/>
    <d v="2019-04-23T17:40:18"/>
    <x v="0"/>
    <x v="4"/>
    <s v="NF9964"/>
    <n v="3453"/>
    <x v="9"/>
    <n v="2019"/>
    <x v="8"/>
    <x v="2"/>
    <x v="7"/>
    <x v="2"/>
  </r>
  <r>
    <d v="2019-04-20T02:38:51"/>
    <d v="2019-04-03T00:00:00"/>
    <d v="2019-04-05T19:38:36"/>
    <x v="0"/>
    <x v="1"/>
    <s v="NF9101"/>
    <n v="3341"/>
    <x v="9"/>
    <n v="2019"/>
    <x v="8"/>
    <x v="2"/>
    <x v="7"/>
    <x v="2"/>
  </r>
  <r>
    <d v="2019-05-20T20:46:13"/>
    <d v="2019-04-06T00:00:00"/>
    <d v="2019-05-20T20:46:13"/>
    <x v="0"/>
    <x v="3"/>
    <s v="NF3185"/>
    <n v="2707"/>
    <x v="8"/>
    <n v="2019"/>
    <x v="8"/>
    <x v="2"/>
    <x v="8"/>
    <x v="2"/>
  </r>
  <r>
    <d v="2019-05-18T16:24:37"/>
    <d v="2019-04-08T00:00:00"/>
    <d v="2019-05-18T16:24:37"/>
    <x v="0"/>
    <x v="1"/>
    <s v="NF2836"/>
    <n v="1582"/>
    <x v="8"/>
    <n v="2019"/>
    <x v="8"/>
    <x v="2"/>
    <x v="8"/>
    <x v="2"/>
  </r>
  <r>
    <d v="2019-05-14T12:12:29"/>
    <d v="2019-04-10T00:00:00"/>
    <d v="2019-05-14T12:12:29"/>
    <x v="0"/>
    <x v="1"/>
    <s v="NF7779"/>
    <n v="3889"/>
    <x v="8"/>
    <n v="2019"/>
    <x v="8"/>
    <x v="2"/>
    <x v="8"/>
    <x v="2"/>
  </r>
  <r>
    <d v="2019-04-29T13:39:41"/>
    <d v="2019-04-14T00:00:00"/>
    <d v="2019-04-29T13:39:41"/>
    <x v="0"/>
    <x v="1"/>
    <s v="NF5919"/>
    <n v="2303"/>
    <x v="9"/>
    <n v="2019"/>
    <x v="8"/>
    <x v="2"/>
    <x v="7"/>
    <x v="2"/>
  </r>
  <r>
    <d v="2019-05-19T15:44:01"/>
    <d v="2019-04-17T00:00:00"/>
    <d v="2019-05-19T15:44:01"/>
    <x v="0"/>
    <x v="2"/>
    <s v="NF1620"/>
    <n v="802"/>
    <x v="8"/>
    <n v="2019"/>
    <x v="8"/>
    <x v="2"/>
    <x v="8"/>
    <x v="2"/>
  </r>
  <r>
    <d v="2019-05-04T05:35:47"/>
    <d v="2019-04-19T00:00:00"/>
    <d v="2019-05-04T05:35:47"/>
    <x v="0"/>
    <x v="1"/>
    <s v="NF3801"/>
    <n v="4513"/>
    <x v="8"/>
    <n v="2019"/>
    <x v="8"/>
    <x v="2"/>
    <x v="8"/>
    <x v="2"/>
  </r>
  <r>
    <d v="2019-05-01T20:46:57"/>
    <d v="2019-04-21T00:00:00"/>
    <d v="2019-05-01T20:46:57"/>
    <x v="0"/>
    <x v="1"/>
    <s v="NF8086"/>
    <n v="3908"/>
    <x v="8"/>
    <n v="2019"/>
    <x v="8"/>
    <x v="2"/>
    <x v="8"/>
    <x v="2"/>
  </r>
  <r>
    <d v="2019-06-25T21:22:36"/>
    <d v="2019-04-25T00:00:00"/>
    <d v="2019-06-19T00:39:03"/>
    <x v="0"/>
    <x v="1"/>
    <s v="NF4964"/>
    <n v="156"/>
    <x v="11"/>
    <n v="2019"/>
    <x v="8"/>
    <x v="2"/>
    <x v="9"/>
    <x v="2"/>
  </r>
  <r>
    <d v="2019-06-06T02:43:25"/>
    <d v="2019-04-27T00:00:00"/>
    <d v="2019-06-06T02:43:25"/>
    <x v="0"/>
    <x v="2"/>
    <s v="NF6112"/>
    <n v="457"/>
    <x v="11"/>
    <n v="2019"/>
    <x v="8"/>
    <x v="2"/>
    <x v="9"/>
    <x v="2"/>
  </r>
  <r>
    <d v="2019-06-08T00:38:19"/>
    <d v="2019-05-03T00:00:00"/>
    <d v="2019-06-08T00:38:19"/>
    <x v="0"/>
    <x v="1"/>
    <s v="NF2333"/>
    <n v="3536"/>
    <x v="11"/>
    <n v="2019"/>
    <x v="9"/>
    <x v="2"/>
    <x v="9"/>
    <x v="2"/>
  </r>
  <r>
    <d v="2019-05-10T16:48:12"/>
    <d v="2019-05-05T00:00:00"/>
    <d v="2019-05-10T16:48:12"/>
    <x v="0"/>
    <x v="1"/>
    <s v="NF7121"/>
    <n v="1809"/>
    <x v="8"/>
    <n v="2019"/>
    <x v="9"/>
    <x v="2"/>
    <x v="8"/>
    <x v="2"/>
  </r>
  <r>
    <d v="2019-05-28T17:06:40"/>
    <d v="2019-05-06T00:00:00"/>
    <d v="2019-05-28T17:06:40"/>
    <x v="0"/>
    <x v="2"/>
    <s v="NF8208"/>
    <n v="4172"/>
    <x v="8"/>
    <n v="2019"/>
    <x v="9"/>
    <x v="2"/>
    <x v="8"/>
    <x v="2"/>
  </r>
  <r>
    <d v="2019-06-07T11:58:12"/>
    <d v="2019-05-07T00:00:00"/>
    <d v="2019-06-07T11:58:12"/>
    <x v="0"/>
    <x v="2"/>
    <s v="NF1320"/>
    <n v="3827"/>
    <x v="11"/>
    <n v="2019"/>
    <x v="9"/>
    <x v="2"/>
    <x v="9"/>
    <x v="2"/>
  </r>
  <r>
    <d v="2019-09-24T08:30:28"/>
    <d v="2019-05-09T00:00:00"/>
    <d v="2019-06-29T04:30:50"/>
    <x v="0"/>
    <x v="2"/>
    <s v="NF9162"/>
    <n v="1700"/>
    <x v="1"/>
    <n v="2019"/>
    <x v="9"/>
    <x v="2"/>
    <x v="9"/>
    <x v="2"/>
  </r>
  <r>
    <d v="2019-05-29T18:19:47"/>
    <d v="2019-05-10T00:00:00"/>
    <d v="2019-05-29T18:19:47"/>
    <x v="0"/>
    <x v="2"/>
    <s v="NF1497"/>
    <n v="2090"/>
    <x v="8"/>
    <n v="2019"/>
    <x v="9"/>
    <x v="2"/>
    <x v="8"/>
    <x v="2"/>
  </r>
  <r>
    <d v="2019-05-17T03:13:40"/>
    <d v="2019-05-13T00:00:00"/>
    <d v="2019-05-17T03:13:40"/>
    <x v="0"/>
    <x v="0"/>
    <s v="NF8398"/>
    <n v="3230"/>
    <x v="8"/>
    <n v="2019"/>
    <x v="9"/>
    <x v="2"/>
    <x v="8"/>
    <x v="2"/>
  </r>
  <r>
    <d v="2019-06-02T22:38:24"/>
    <d v="2019-05-16T00:00:00"/>
    <d v="2019-06-02T22:38:24"/>
    <x v="0"/>
    <x v="1"/>
    <s v="NF1274"/>
    <n v="4030"/>
    <x v="11"/>
    <n v="2019"/>
    <x v="9"/>
    <x v="2"/>
    <x v="9"/>
    <x v="2"/>
  </r>
  <r>
    <d v="2019-08-26T21:29:55"/>
    <d v="2019-05-19T00:00:00"/>
    <d v="2019-05-30T23:16:35"/>
    <x v="0"/>
    <x v="0"/>
    <s v="NF1599"/>
    <n v="1367"/>
    <x v="12"/>
    <n v="2019"/>
    <x v="9"/>
    <x v="2"/>
    <x v="8"/>
    <x v="2"/>
  </r>
  <r>
    <d v="2019-06-10T05:29:09"/>
    <d v="2019-05-22T00:00:00"/>
    <d v="2019-06-10T05:29:09"/>
    <x v="0"/>
    <x v="1"/>
    <s v="NF6880"/>
    <n v="3945"/>
    <x v="11"/>
    <n v="2019"/>
    <x v="9"/>
    <x v="2"/>
    <x v="9"/>
    <x v="2"/>
  </r>
  <r>
    <d v="2019-06-27T18:32:22"/>
    <d v="2019-05-25T00:00:00"/>
    <d v="2019-06-25T17:46:27"/>
    <x v="0"/>
    <x v="4"/>
    <s v="NF3246"/>
    <n v="4518"/>
    <x v="11"/>
    <n v="2019"/>
    <x v="9"/>
    <x v="2"/>
    <x v="9"/>
    <x v="2"/>
  </r>
  <r>
    <d v="2019-07-27T22:26:22"/>
    <d v="2019-05-29T00:00:00"/>
    <d v="2019-06-29T12:11:45"/>
    <x v="0"/>
    <x v="1"/>
    <s v="NF4547"/>
    <n v="3086"/>
    <x v="10"/>
    <n v="2019"/>
    <x v="9"/>
    <x v="2"/>
    <x v="9"/>
    <x v="2"/>
  </r>
  <r>
    <d v="2019-06-12T23:15:53"/>
    <d v="2019-06-03T00:00:00"/>
    <d v="2019-06-12T23:15:53"/>
    <x v="0"/>
    <x v="2"/>
    <s v="NF5900"/>
    <n v="297"/>
    <x v="11"/>
    <n v="2019"/>
    <x v="10"/>
    <x v="2"/>
    <x v="9"/>
    <x v="2"/>
  </r>
  <r>
    <d v="2019-06-23T04:37:25"/>
    <d v="2019-06-07T00:00:00"/>
    <d v="2019-06-23T04:37:25"/>
    <x v="0"/>
    <x v="0"/>
    <s v="NF2566"/>
    <n v="3226"/>
    <x v="11"/>
    <n v="2019"/>
    <x v="10"/>
    <x v="2"/>
    <x v="9"/>
    <x v="2"/>
  </r>
  <r>
    <s v=""/>
    <d v="2019-06-09T00:00:00"/>
    <d v="2019-07-26T16:06:04"/>
    <x v="0"/>
    <x v="1"/>
    <s v="NF1823"/>
    <n v="2338"/>
    <x v="2"/>
    <n v="0"/>
    <x v="10"/>
    <x v="2"/>
    <x v="10"/>
    <x v="2"/>
  </r>
  <r>
    <d v="2019-10-03T12:11:49"/>
    <d v="2019-06-16T00:00:00"/>
    <d v="2019-07-18T15:53:56"/>
    <x v="0"/>
    <x v="0"/>
    <s v="NF9109"/>
    <n v="3773"/>
    <x v="0"/>
    <n v="2019"/>
    <x v="10"/>
    <x v="2"/>
    <x v="10"/>
    <x v="2"/>
  </r>
  <r>
    <s v=""/>
    <d v="2019-06-19T00:00:00"/>
    <d v="2019-08-09T02:03:08"/>
    <x v="0"/>
    <x v="0"/>
    <s v="NF4812"/>
    <n v="2759"/>
    <x v="2"/>
    <n v="0"/>
    <x v="10"/>
    <x v="2"/>
    <x v="11"/>
    <x v="2"/>
  </r>
  <r>
    <d v="2019-08-05T12:28:50"/>
    <d v="2019-06-21T00:00:00"/>
    <d v="2019-08-05T12:28:50"/>
    <x v="0"/>
    <x v="0"/>
    <s v="NF9082"/>
    <n v="1425"/>
    <x v="12"/>
    <n v="2019"/>
    <x v="10"/>
    <x v="2"/>
    <x v="11"/>
    <x v="2"/>
  </r>
  <r>
    <d v="2019-08-20T22:17:49"/>
    <d v="2019-06-23T00:00:00"/>
    <d v="2019-08-20T22:17:49"/>
    <x v="0"/>
    <x v="0"/>
    <s v="NF3611"/>
    <n v="332"/>
    <x v="12"/>
    <n v="2019"/>
    <x v="10"/>
    <x v="2"/>
    <x v="11"/>
    <x v="2"/>
  </r>
  <r>
    <d v="2019-07-07T04:41:45"/>
    <d v="2019-06-30T00:00:00"/>
    <d v="2019-07-07T04:41:45"/>
    <x v="0"/>
    <x v="1"/>
    <s v="NF4931"/>
    <n v="2819"/>
    <x v="10"/>
    <n v="2019"/>
    <x v="10"/>
    <x v="2"/>
    <x v="1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">
  <r>
    <d v="2017-09-16T08:38:45"/>
    <d v="2017-08-10T00:00:00"/>
    <d v="2017-08-25T17:31:36"/>
    <x v="0"/>
    <x v="0"/>
    <s v="NF7238"/>
    <n v="1133"/>
    <x v="0"/>
    <n v="2017"/>
    <x v="0"/>
    <x v="0"/>
    <x v="0"/>
    <x v="0"/>
    <x v="0"/>
  </r>
  <r>
    <d v="2017-09-07T22:06:21"/>
    <d v="2017-08-13T00:00:00"/>
    <d v="2017-09-07T01:57:59"/>
    <x v="0"/>
    <x v="1"/>
    <s v="NF9147"/>
    <n v="164"/>
    <x v="0"/>
    <n v="2017"/>
    <x v="0"/>
    <x v="0"/>
    <x v="1"/>
    <x v="0"/>
    <x v="0"/>
  </r>
  <r>
    <d v="2017-09-29T11:56:27"/>
    <d v="2017-08-17T00:00:00"/>
    <d v="2017-09-23T02:03:29"/>
    <x v="0"/>
    <x v="1"/>
    <s v="NF8005"/>
    <n v="2937"/>
    <x v="0"/>
    <n v="2017"/>
    <x v="0"/>
    <x v="0"/>
    <x v="1"/>
    <x v="0"/>
    <x v="0"/>
  </r>
  <r>
    <d v="2017-10-12T22:20:38"/>
    <d v="2017-08-22T00:00:00"/>
    <d v="2017-10-12T22:20:38"/>
    <x v="0"/>
    <x v="2"/>
    <s v="NF5493"/>
    <n v="807"/>
    <x v="1"/>
    <n v="2017"/>
    <x v="0"/>
    <x v="0"/>
    <x v="2"/>
    <x v="0"/>
    <x v="0"/>
  </r>
  <r>
    <d v="2017-10-06T11:45:39"/>
    <d v="2017-08-25T00:00:00"/>
    <d v="2017-10-06T11:45:39"/>
    <x v="0"/>
    <x v="0"/>
    <s v="NF7946"/>
    <n v="2612"/>
    <x v="1"/>
    <n v="2017"/>
    <x v="0"/>
    <x v="0"/>
    <x v="2"/>
    <x v="0"/>
    <x v="0"/>
  </r>
  <r>
    <d v="2017-11-15T18:06:38"/>
    <d v="2017-08-27T00:00:00"/>
    <d v="2017-10-22T14:20:12"/>
    <x v="0"/>
    <x v="1"/>
    <s v="NF8598"/>
    <n v="2483"/>
    <x v="2"/>
    <n v="2017"/>
    <x v="0"/>
    <x v="0"/>
    <x v="2"/>
    <x v="0"/>
    <x v="0"/>
  </r>
  <r>
    <d v="2017-12-18T04:50:00"/>
    <d v="2017-09-01T00:00:00"/>
    <d v="2017-10-01T19:16:35"/>
    <x v="0"/>
    <x v="0"/>
    <s v="NF1535"/>
    <n v="4387"/>
    <x v="3"/>
    <n v="2017"/>
    <x v="1"/>
    <x v="0"/>
    <x v="2"/>
    <x v="0"/>
    <x v="0"/>
  </r>
  <r>
    <d v="2017-09-26T16:31:18"/>
    <d v="2017-09-02T00:00:00"/>
    <d v="2017-09-26T16:31:18"/>
    <x v="0"/>
    <x v="1"/>
    <s v="NF4333"/>
    <n v="4268"/>
    <x v="0"/>
    <n v="2017"/>
    <x v="1"/>
    <x v="0"/>
    <x v="1"/>
    <x v="0"/>
    <x v="0"/>
  </r>
  <r>
    <d v="2017-10-07T23:30:48"/>
    <d v="2017-09-06T00:00:00"/>
    <d v="2017-10-07T23:30:48"/>
    <x v="0"/>
    <x v="1"/>
    <s v="NF8091"/>
    <n v="3761"/>
    <x v="1"/>
    <n v="2017"/>
    <x v="1"/>
    <x v="0"/>
    <x v="2"/>
    <x v="0"/>
    <x v="0"/>
  </r>
  <r>
    <s v=""/>
    <d v="2017-09-10T00:00:00"/>
    <d v="2017-10-05T22:54:12"/>
    <x v="0"/>
    <x v="1"/>
    <s v="NF2421"/>
    <n v="4983"/>
    <x v="4"/>
    <n v="0"/>
    <x v="1"/>
    <x v="0"/>
    <x v="2"/>
    <x v="0"/>
    <x v="1"/>
  </r>
  <r>
    <d v="2017-09-19T13:14:44"/>
    <d v="2017-09-12T00:00:00"/>
    <d v="2017-09-19T13:14:44"/>
    <x v="0"/>
    <x v="3"/>
    <s v="NF9787"/>
    <n v="2502"/>
    <x v="0"/>
    <n v="2017"/>
    <x v="1"/>
    <x v="0"/>
    <x v="1"/>
    <x v="0"/>
    <x v="0"/>
  </r>
  <r>
    <d v="2017-09-26T15:55:15"/>
    <d v="2017-09-16T00:00:00"/>
    <d v="2017-09-24T20:33:31"/>
    <x v="0"/>
    <x v="1"/>
    <s v="NF8674"/>
    <n v="2337"/>
    <x v="0"/>
    <n v="2017"/>
    <x v="1"/>
    <x v="0"/>
    <x v="1"/>
    <x v="0"/>
    <x v="0"/>
  </r>
  <r>
    <d v="2017-10-02T23:42:15"/>
    <d v="2017-09-23T00:00:00"/>
    <d v="2017-10-02T23:42:15"/>
    <x v="0"/>
    <x v="4"/>
    <s v="NF5880"/>
    <n v="3125"/>
    <x v="1"/>
    <n v="2017"/>
    <x v="1"/>
    <x v="0"/>
    <x v="2"/>
    <x v="0"/>
    <x v="0"/>
  </r>
  <r>
    <d v="2017-11-17T15:04:34"/>
    <d v="2017-09-26T00:00:00"/>
    <d v="2017-11-17T15:04:34"/>
    <x v="0"/>
    <x v="1"/>
    <s v="NF2763"/>
    <n v="1201"/>
    <x v="2"/>
    <n v="2017"/>
    <x v="1"/>
    <x v="0"/>
    <x v="3"/>
    <x v="0"/>
    <x v="0"/>
  </r>
  <r>
    <d v="2017-10-25T03:26:20"/>
    <d v="2017-09-27T00:00:00"/>
    <d v="2017-10-10T19:13:07"/>
    <x v="0"/>
    <x v="0"/>
    <s v="NF3303"/>
    <n v="4380"/>
    <x v="1"/>
    <n v="2017"/>
    <x v="1"/>
    <x v="0"/>
    <x v="2"/>
    <x v="0"/>
    <x v="0"/>
  </r>
  <r>
    <d v="2017-10-11T13:55:20"/>
    <d v="2017-09-30T00:00:00"/>
    <d v="2017-10-11T13:55:20"/>
    <x v="0"/>
    <x v="4"/>
    <s v="NF3966"/>
    <n v="919"/>
    <x v="1"/>
    <n v="2017"/>
    <x v="1"/>
    <x v="0"/>
    <x v="2"/>
    <x v="0"/>
    <x v="0"/>
  </r>
  <r>
    <d v="2017-10-17T23:52:55"/>
    <d v="2017-10-04T00:00:00"/>
    <d v="2017-10-17T23:52:55"/>
    <x v="0"/>
    <x v="2"/>
    <s v="NF6107"/>
    <n v="4590"/>
    <x v="1"/>
    <n v="2017"/>
    <x v="2"/>
    <x v="0"/>
    <x v="2"/>
    <x v="0"/>
    <x v="0"/>
  </r>
  <r>
    <d v="2017-11-13T10:54:19"/>
    <d v="2017-10-07T00:00:00"/>
    <d v="2017-11-13T10:54:19"/>
    <x v="0"/>
    <x v="3"/>
    <s v="NF4832"/>
    <n v="1958"/>
    <x v="2"/>
    <n v="2017"/>
    <x v="2"/>
    <x v="0"/>
    <x v="3"/>
    <x v="0"/>
    <x v="0"/>
  </r>
  <r>
    <s v=""/>
    <d v="2017-10-09T00:00:00"/>
    <d v="2017-11-04T07:09:50"/>
    <x v="0"/>
    <x v="0"/>
    <s v="NF5012"/>
    <n v="1171"/>
    <x v="4"/>
    <n v="0"/>
    <x v="2"/>
    <x v="0"/>
    <x v="3"/>
    <x v="0"/>
    <x v="1"/>
  </r>
  <r>
    <d v="2018-02-03T23:03:18"/>
    <d v="2017-10-11T00:00:00"/>
    <d v="2017-11-21T21:49:29"/>
    <x v="0"/>
    <x v="1"/>
    <s v="NF7669"/>
    <n v="2587"/>
    <x v="5"/>
    <n v="2018"/>
    <x v="2"/>
    <x v="0"/>
    <x v="3"/>
    <x v="0"/>
    <x v="0"/>
  </r>
  <r>
    <d v="2017-11-06T02:31:43"/>
    <d v="2017-10-15T00:00:00"/>
    <d v="2017-11-06T02:31:43"/>
    <x v="0"/>
    <x v="1"/>
    <s v="NF7663"/>
    <n v="3425"/>
    <x v="2"/>
    <n v="2017"/>
    <x v="2"/>
    <x v="0"/>
    <x v="3"/>
    <x v="0"/>
    <x v="0"/>
  </r>
  <r>
    <d v="2017-11-18T18:36:55"/>
    <d v="2017-10-18T00:00:00"/>
    <d v="2017-11-18T18:36:55"/>
    <x v="0"/>
    <x v="2"/>
    <s v="NF4063"/>
    <n v="4454"/>
    <x v="2"/>
    <n v="2017"/>
    <x v="2"/>
    <x v="0"/>
    <x v="3"/>
    <x v="0"/>
    <x v="0"/>
  </r>
  <r>
    <d v="2017-10-29T10:53:35"/>
    <d v="2017-10-22T00:00:00"/>
    <d v="2017-10-29T10:53:35"/>
    <x v="0"/>
    <x v="0"/>
    <s v="NF4290"/>
    <n v="2134"/>
    <x v="1"/>
    <n v="2017"/>
    <x v="2"/>
    <x v="0"/>
    <x v="2"/>
    <x v="0"/>
    <x v="0"/>
  </r>
  <r>
    <d v="2017-12-17T10:22:36"/>
    <d v="2017-10-24T00:00:00"/>
    <d v="2017-11-19T14:21:29"/>
    <x v="0"/>
    <x v="3"/>
    <s v="NF7319"/>
    <n v="257"/>
    <x v="3"/>
    <n v="2017"/>
    <x v="2"/>
    <x v="0"/>
    <x v="3"/>
    <x v="0"/>
    <x v="0"/>
  </r>
  <r>
    <d v="2017-11-29T02:08:45"/>
    <d v="2017-10-24T00:00:00"/>
    <d v="2017-11-29T02:08:45"/>
    <x v="0"/>
    <x v="4"/>
    <s v="NF7020"/>
    <n v="2019"/>
    <x v="2"/>
    <n v="2017"/>
    <x v="2"/>
    <x v="0"/>
    <x v="3"/>
    <x v="0"/>
    <x v="0"/>
  </r>
  <r>
    <d v="2017-12-22T17:30:02"/>
    <d v="2017-10-26T00:00:00"/>
    <d v="2017-12-22T17:30:02"/>
    <x v="0"/>
    <x v="1"/>
    <s v="NF7221"/>
    <n v="3696"/>
    <x v="3"/>
    <n v="2017"/>
    <x v="2"/>
    <x v="0"/>
    <x v="4"/>
    <x v="0"/>
    <x v="0"/>
  </r>
  <r>
    <d v="2017-11-13T11:03:59"/>
    <d v="2017-10-30T00:00:00"/>
    <d v="2017-11-13T11:03:59"/>
    <x v="0"/>
    <x v="4"/>
    <s v="NF5004"/>
    <n v="4446"/>
    <x v="2"/>
    <n v="2017"/>
    <x v="2"/>
    <x v="0"/>
    <x v="3"/>
    <x v="0"/>
    <x v="0"/>
  </r>
  <r>
    <d v="2017-11-18T14:20:32"/>
    <d v="2017-11-01T00:00:00"/>
    <d v="2017-11-18T14:20:32"/>
    <x v="0"/>
    <x v="4"/>
    <s v="NF8690"/>
    <n v="1445"/>
    <x v="2"/>
    <n v="2017"/>
    <x v="3"/>
    <x v="0"/>
    <x v="3"/>
    <x v="0"/>
    <x v="0"/>
  </r>
  <r>
    <d v="2017-12-13T11:46:54"/>
    <d v="2017-11-04T00:00:00"/>
    <d v="2017-11-29T13:59:41"/>
    <x v="0"/>
    <x v="0"/>
    <s v="NF3424"/>
    <n v="3559"/>
    <x v="3"/>
    <n v="2017"/>
    <x v="3"/>
    <x v="0"/>
    <x v="3"/>
    <x v="0"/>
    <x v="0"/>
  </r>
  <r>
    <d v="2017-12-04T00:54:45"/>
    <d v="2017-11-08T00:00:00"/>
    <d v="2017-11-14T16:52:19"/>
    <x v="0"/>
    <x v="1"/>
    <s v="NF5808"/>
    <n v="547"/>
    <x v="3"/>
    <n v="2017"/>
    <x v="3"/>
    <x v="0"/>
    <x v="3"/>
    <x v="0"/>
    <x v="0"/>
  </r>
  <r>
    <d v="2017-12-21T12:23:56"/>
    <d v="2017-11-12T00:00:00"/>
    <d v="2017-12-21T12:23:56"/>
    <x v="0"/>
    <x v="1"/>
    <s v="NF2852"/>
    <n v="1221"/>
    <x v="3"/>
    <n v="2017"/>
    <x v="3"/>
    <x v="0"/>
    <x v="4"/>
    <x v="0"/>
    <x v="0"/>
  </r>
  <r>
    <d v="2018-01-30T19:34:41"/>
    <d v="2017-11-14T00:00:00"/>
    <d v="2018-01-01T15:18:48"/>
    <x v="0"/>
    <x v="4"/>
    <s v="NF2347"/>
    <n v="4108"/>
    <x v="6"/>
    <n v="2018"/>
    <x v="3"/>
    <x v="0"/>
    <x v="5"/>
    <x v="1"/>
    <x v="0"/>
  </r>
  <r>
    <d v="2017-12-12T05:58:37"/>
    <d v="2017-11-16T00:00:00"/>
    <d v="2017-12-12T05:58:37"/>
    <x v="0"/>
    <x v="1"/>
    <s v="NF7848"/>
    <n v="3714"/>
    <x v="3"/>
    <n v="2017"/>
    <x v="3"/>
    <x v="0"/>
    <x v="4"/>
    <x v="0"/>
    <x v="0"/>
  </r>
  <r>
    <d v="2018-01-01T09:02:08"/>
    <d v="2017-11-18T00:00:00"/>
    <d v="2018-01-01T09:02:08"/>
    <x v="0"/>
    <x v="3"/>
    <s v="NF4449"/>
    <n v="4843"/>
    <x v="6"/>
    <n v="2018"/>
    <x v="3"/>
    <x v="0"/>
    <x v="5"/>
    <x v="1"/>
    <x v="0"/>
  </r>
  <r>
    <d v="2018-02-20T06:05:43"/>
    <d v="2017-11-19T00:00:00"/>
    <d v="2017-12-21T15:01:36"/>
    <x v="0"/>
    <x v="2"/>
    <s v="NF7540"/>
    <n v="4831"/>
    <x v="5"/>
    <n v="2018"/>
    <x v="3"/>
    <x v="0"/>
    <x v="4"/>
    <x v="0"/>
    <x v="0"/>
  </r>
  <r>
    <d v="2018-03-29T01:55:16"/>
    <d v="2017-11-20T00:00:00"/>
    <d v="2018-01-05T22:36:33"/>
    <x v="0"/>
    <x v="1"/>
    <s v="NF7741"/>
    <n v="2072"/>
    <x v="7"/>
    <n v="2018"/>
    <x v="3"/>
    <x v="0"/>
    <x v="5"/>
    <x v="1"/>
    <x v="0"/>
  </r>
  <r>
    <d v="2018-01-22T15:22:36"/>
    <d v="2017-11-24T00:00:00"/>
    <d v="2018-01-22T15:22:36"/>
    <x v="0"/>
    <x v="0"/>
    <s v="NF6190"/>
    <n v="3992"/>
    <x v="6"/>
    <n v="2018"/>
    <x v="3"/>
    <x v="0"/>
    <x v="5"/>
    <x v="1"/>
    <x v="0"/>
  </r>
  <r>
    <s v=""/>
    <d v="2017-11-29T00:00:00"/>
    <d v="2018-01-26T12:01:24"/>
    <x v="0"/>
    <x v="3"/>
    <s v="NF4129"/>
    <n v="1284"/>
    <x v="4"/>
    <n v="0"/>
    <x v="3"/>
    <x v="0"/>
    <x v="5"/>
    <x v="1"/>
    <x v="1"/>
  </r>
  <r>
    <d v="2018-01-21T02:17:00"/>
    <d v="2017-12-04T00:00:00"/>
    <d v="2018-01-21T02:17:00"/>
    <x v="0"/>
    <x v="0"/>
    <s v="NF6811"/>
    <n v="4073"/>
    <x v="6"/>
    <n v="2018"/>
    <x v="4"/>
    <x v="0"/>
    <x v="5"/>
    <x v="1"/>
    <x v="0"/>
  </r>
  <r>
    <d v="2017-12-15T22:54:22"/>
    <d v="2017-12-04T00:00:00"/>
    <d v="2017-12-15T22:54:22"/>
    <x v="0"/>
    <x v="3"/>
    <s v="NF1550"/>
    <n v="3008"/>
    <x v="3"/>
    <n v="2017"/>
    <x v="4"/>
    <x v="0"/>
    <x v="4"/>
    <x v="0"/>
    <x v="0"/>
  </r>
  <r>
    <d v="2018-01-31T13:32:16"/>
    <d v="2017-12-11T00:00:00"/>
    <d v="2018-01-31T13:32:16"/>
    <x v="0"/>
    <x v="3"/>
    <s v="NF7213"/>
    <n v="1267"/>
    <x v="6"/>
    <n v="2018"/>
    <x v="4"/>
    <x v="0"/>
    <x v="5"/>
    <x v="1"/>
    <x v="0"/>
  </r>
  <r>
    <d v="2018-01-03T00:39:23"/>
    <d v="2017-12-13T00:00:00"/>
    <d v="2018-01-03T00:39:23"/>
    <x v="0"/>
    <x v="3"/>
    <s v="NF8396"/>
    <n v="284"/>
    <x v="6"/>
    <n v="2018"/>
    <x v="4"/>
    <x v="0"/>
    <x v="5"/>
    <x v="1"/>
    <x v="0"/>
  </r>
  <r>
    <d v="2017-12-17T18:42:03"/>
    <d v="2017-12-14T00:00:00"/>
    <d v="2017-12-17T18:42:03"/>
    <x v="0"/>
    <x v="1"/>
    <s v="NF2432"/>
    <n v="2046"/>
    <x v="3"/>
    <n v="2017"/>
    <x v="4"/>
    <x v="0"/>
    <x v="4"/>
    <x v="0"/>
    <x v="0"/>
  </r>
  <r>
    <d v="2018-02-04T09:13:28"/>
    <d v="2017-12-16T00:00:00"/>
    <d v="2018-01-22T18:55:36"/>
    <x v="0"/>
    <x v="0"/>
    <s v="NF4722"/>
    <n v="3880"/>
    <x v="5"/>
    <n v="2018"/>
    <x v="4"/>
    <x v="0"/>
    <x v="5"/>
    <x v="1"/>
    <x v="0"/>
  </r>
  <r>
    <d v="2018-01-23T01:19:12"/>
    <d v="2017-12-17T00:00:00"/>
    <d v="2018-01-23T01:19:12"/>
    <x v="0"/>
    <x v="0"/>
    <s v="NF8944"/>
    <n v="3149"/>
    <x v="6"/>
    <n v="2018"/>
    <x v="4"/>
    <x v="0"/>
    <x v="5"/>
    <x v="1"/>
    <x v="0"/>
  </r>
  <r>
    <d v="2018-01-25T11:04:56"/>
    <d v="2017-12-19T00:00:00"/>
    <d v="2018-01-25T11:04:56"/>
    <x v="0"/>
    <x v="1"/>
    <s v="NF2816"/>
    <n v="668"/>
    <x v="6"/>
    <n v="2018"/>
    <x v="4"/>
    <x v="0"/>
    <x v="5"/>
    <x v="1"/>
    <x v="0"/>
  </r>
  <r>
    <d v="2018-01-17T06:21:52"/>
    <d v="2017-12-20T00:00:00"/>
    <d v="2018-01-17T06:21:52"/>
    <x v="0"/>
    <x v="2"/>
    <s v="NF6358"/>
    <n v="3721"/>
    <x v="6"/>
    <n v="2018"/>
    <x v="4"/>
    <x v="0"/>
    <x v="5"/>
    <x v="1"/>
    <x v="0"/>
  </r>
  <r>
    <d v="2018-05-02T19:49:33"/>
    <d v="2017-12-22T00:00:00"/>
    <d v="2018-02-02T19:42:39"/>
    <x v="0"/>
    <x v="0"/>
    <s v="NF8459"/>
    <n v="3114"/>
    <x v="8"/>
    <n v="2018"/>
    <x v="4"/>
    <x v="0"/>
    <x v="6"/>
    <x v="1"/>
    <x v="0"/>
  </r>
  <r>
    <d v="2018-03-12T12:37:55"/>
    <d v="2017-12-26T00:00:00"/>
    <d v="2018-02-19T00:57:48"/>
    <x v="0"/>
    <x v="1"/>
    <s v="NF5737"/>
    <n v="1436"/>
    <x v="7"/>
    <n v="2018"/>
    <x v="4"/>
    <x v="0"/>
    <x v="6"/>
    <x v="1"/>
    <x v="0"/>
  </r>
  <r>
    <d v="2018-01-01T16:21:35"/>
    <d v="2017-12-30T00:00:00"/>
    <d v="2018-01-01T16:21:35"/>
    <x v="0"/>
    <x v="1"/>
    <s v="NF8895"/>
    <n v="3192"/>
    <x v="6"/>
    <n v="2018"/>
    <x v="4"/>
    <x v="0"/>
    <x v="5"/>
    <x v="1"/>
    <x v="0"/>
  </r>
  <r>
    <d v="2018-02-13T01:41:49"/>
    <d v="2017-12-31T00:00:00"/>
    <d v="2018-02-13T01:41:49"/>
    <x v="0"/>
    <x v="2"/>
    <s v="NF2196"/>
    <n v="2687"/>
    <x v="5"/>
    <n v="2018"/>
    <x v="4"/>
    <x v="0"/>
    <x v="6"/>
    <x v="1"/>
    <x v="0"/>
  </r>
  <r>
    <d v="2018-02-28T18:26:30"/>
    <d v="2018-01-03T00:00:00"/>
    <d v="2018-02-28T18:26:30"/>
    <x v="0"/>
    <x v="1"/>
    <s v="NF1631"/>
    <n v="1561"/>
    <x v="5"/>
    <n v="2018"/>
    <x v="5"/>
    <x v="1"/>
    <x v="6"/>
    <x v="1"/>
    <x v="0"/>
  </r>
  <r>
    <d v="2018-01-13T12:51:39"/>
    <d v="2018-01-09T00:00:00"/>
    <d v="2018-01-13T12:51:39"/>
    <x v="0"/>
    <x v="1"/>
    <s v="NF9340"/>
    <n v="1573"/>
    <x v="6"/>
    <n v="2018"/>
    <x v="5"/>
    <x v="1"/>
    <x v="5"/>
    <x v="1"/>
    <x v="0"/>
  </r>
  <r>
    <d v="2018-02-16T15:16:57"/>
    <d v="2018-01-17T00:00:00"/>
    <d v="2018-02-16T15:16:57"/>
    <x v="0"/>
    <x v="1"/>
    <s v="NF6851"/>
    <n v="1364"/>
    <x v="5"/>
    <n v="2018"/>
    <x v="5"/>
    <x v="1"/>
    <x v="6"/>
    <x v="1"/>
    <x v="0"/>
  </r>
  <r>
    <d v="2018-03-07T12:09:07"/>
    <d v="2018-01-21T00:00:00"/>
    <d v="2018-03-07T12:09:07"/>
    <x v="0"/>
    <x v="2"/>
    <s v="NF3336"/>
    <n v="783"/>
    <x v="7"/>
    <n v="2018"/>
    <x v="5"/>
    <x v="1"/>
    <x v="7"/>
    <x v="1"/>
    <x v="0"/>
  </r>
  <r>
    <d v="2018-03-05T09:39:00"/>
    <d v="2018-01-22T00:00:00"/>
    <d v="2018-02-14T22:19:33"/>
    <x v="0"/>
    <x v="2"/>
    <s v="NF7526"/>
    <n v="3928"/>
    <x v="7"/>
    <n v="2018"/>
    <x v="5"/>
    <x v="1"/>
    <x v="6"/>
    <x v="1"/>
    <x v="0"/>
  </r>
  <r>
    <d v="2018-02-11T17:07:34"/>
    <d v="2018-01-24T00:00:00"/>
    <d v="2018-02-11T17:07:34"/>
    <x v="0"/>
    <x v="0"/>
    <s v="NF3023"/>
    <n v="3843"/>
    <x v="5"/>
    <n v="2018"/>
    <x v="5"/>
    <x v="1"/>
    <x v="6"/>
    <x v="1"/>
    <x v="0"/>
  </r>
  <r>
    <d v="2018-03-24T12:23:25"/>
    <d v="2018-01-25T00:00:00"/>
    <d v="2018-01-29T09:00:26"/>
    <x v="0"/>
    <x v="3"/>
    <s v="NF7934"/>
    <n v="1864"/>
    <x v="7"/>
    <n v="2018"/>
    <x v="5"/>
    <x v="1"/>
    <x v="5"/>
    <x v="1"/>
    <x v="0"/>
  </r>
  <r>
    <d v="2018-03-22T22:36:37"/>
    <d v="2018-01-28T00:00:00"/>
    <d v="2018-03-22T22:36:37"/>
    <x v="0"/>
    <x v="1"/>
    <s v="NF7720"/>
    <n v="1184"/>
    <x v="7"/>
    <n v="2018"/>
    <x v="5"/>
    <x v="1"/>
    <x v="7"/>
    <x v="1"/>
    <x v="0"/>
  </r>
  <r>
    <d v="2018-03-02T05:27:45"/>
    <d v="2018-01-29T00:00:00"/>
    <d v="2018-03-02T05:27:45"/>
    <x v="0"/>
    <x v="1"/>
    <s v="NF2719"/>
    <n v="4055"/>
    <x v="7"/>
    <n v="2018"/>
    <x v="5"/>
    <x v="1"/>
    <x v="7"/>
    <x v="1"/>
    <x v="0"/>
  </r>
  <r>
    <d v="2018-03-19T07:50:59"/>
    <d v="2018-01-30T00:00:00"/>
    <d v="2018-03-19T07:50:59"/>
    <x v="0"/>
    <x v="1"/>
    <s v="NF3036"/>
    <n v="427"/>
    <x v="7"/>
    <n v="2018"/>
    <x v="5"/>
    <x v="1"/>
    <x v="7"/>
    <x v="1"/>
    <x v="0"/>
  </r>
  <r>
    <d v="2018-02-07T02:03:02"/>
    <d v="2018-02-02T00:00:00"/>
    <d v="2018-02-07T02:03:02"/>
    <x v="0"/>
    <x v="4"/>
    <s v="NF4604"/>
    <n v="460"/>
    <x v="5"/>
    <n v="2018"/>
    <x v="6"/>
    <x v="1"/>
    <x v="6"/>
    <x v="1"/>
    <x v="0"/>
  </r>
  <r>
    <d v="2018-03-31T04:13:26"/>
    <d v="2018-02-05T00:00:00"/>
    <d v="2018-03-31T04:13:26"/>
    <x v="0"/>
    <x v="2"/>
    <s v="NF2493"/>
    <n v="964"/>
    <x v="7"/>
    <n v="2018"/>
    <x v="6"/>
    <x v="1"/>
    <x v="7"/>
    <x v="1"/>
    <x v="0"/>
  </r>
  <r>
    <d v="2018-02-14T22:35:00"/>
    <d v="2018-02-09T00:00:00"/>
    <d v="2018-02-14T22:35:00"/>
    <x v="0"/>
    <x v="1"/>
    <s v="NF5788"/>
    <n v="3412"/>
    <x v="5"/>
    <n v="2018"/>
    <x v="6"/>
    <x v="1"/>
    <x v="6"/>
    <x v="1"/>
    <x v="0"/>
  </r>
  <r>
    <d v="2018-02-15T05:25:05"/>
    <d v="2018-02-11T00:00:00"/>
    <d v="2018-02-15T05:25:05"/>
    <x v="0"/>
    <x v="0"/>
    <s v="NF9580"/>
    <n v="3095"/>
    <x v="5"/>
    <n v="2018"/>
    <x v="6"/>
    <x v="1"/>
    <x v="6"/>
    <x v="1"/>
    <x v="0"/>
  </r>
  <r>
    <d v="2018-04-03T11:13:40"/>
    <d v="2018-02-17T00:00:00"/>
    <d v="2018-04-03T11:13:40"/>
    <x v="0"/>
    <x v="4"/>
    <s v="NF4061"/>
    <n v="1532"/>
    <x v="9"/>
    <n v="2018"/>
    <x v="6"/>
    <x v="1"/>
    <x v="8"/>
    <x v="1"/>
    <x v="0"/>
  </r>
  <r>
    <d v="2018-04-03T09:49:51"/>
    <d v="2018-02-20T00:00:00"/>
    <d v="2018-04-03T09:49:51"/>
    <x v="0"/>
    <x v="4"/>
    <s v="NF6503"/>
    <n v="3726"/>
    <x v="9"/>
    <n v="2018"/>
    <x v="6"/>
    <x v="1"/>
    <x v="8"/>
    <x v="1"/>
    <x v="0"/>
  </r>
  <r>
    <d v="2018-06-10T04:12:10"/>
    <d v="2018-02-23T00:00:00"/>
    <d v="2018-03-21T08:10:09"/>
    <x v="0"/>
    <x v="1"/>
    <s v="NF6701"/>
    <n v="4322"/>
    <x v="10"/>
    <n v="2018"/>
    <x v="6"/>
    <x v="1"/>
    <x v="7"/>
    <x v="1"/>
    <x v="0"/>
  </r>
  <r>
    <d v="2018-06-02T17:20:12"/>
    <d v="2018-02-25T00:00:00"/>
    <d v="2018-04-15T18:04:54"/>
    <x v="0"/>
    <x v="0"/>
    <s v="NF8891"/>
    <n v="3998"/>
    <x v="10"/>
    <n v="2018"/>
    <x v="6"/>
    <x v="1"/>
    <x v="8"/>
    <x v="1"/>
    <x v="0"/>
  </r>
  <r>
    <d v="2018-06-17T01:41:37"/>
    <d v="2018-02-27T00:00:00"/>
    <d v="2018-03-29T19:54:34"/>
    <x v="0"/>
    <x v="0"/>
    <s v="NF2640"/>
    <n v="3252"/>
    <x v="10"/>
    <n v="2018"/>
    <x v="6"/>
    <x v="1"/>
    <x v="7"/>
    <x v="1"/>
    <x v="0"/>
  </r>
  <r>
    <d v="2018-03-10T10:39:14"/>
    <d v="2018-03-01T00:00:00"/>
    <d v="2018-03-10T10:39:14"/>
    <x v="0"/>
    <x v="4"/>
    <s v="NF8852"/>
    <n v="3701"/>
    <x v="7"/>
    <n v="2018"/>
    <x v="7"/>
    <x v="1"/>
    <x v="7"/>
    <x v="1"/>
    <x v="0"/>
  </r>
  <r>
    <d v="2018-04-12T19:30:21"/>
    <d v="2018-03-03T00:00:00"/>
    <d v="2018-04-12T19:30:21"/>
    <x v="0"/>
    <x v="2"/>
    <s v="NF7869"/>
    <n v="1977"/>
    <x v="9"/>
    <n v="2018"/>
    <x v="7"/>
    <x v="1"/>
    <x v="8"/>
    <x v="1"/>
    <x v="0"/>
  </r>
  <r>
    <d v="2018-06-26T16:36:24"/>
    <d v="2018-03-04T00:00:00"/>
    <d v="2018-04-21T02:43:37"/>
    <x v="0"/>
    <x v="4"/>
    <s v="NF4994"/>
    <n v="1217"/>
    <x v="10"/>
    <n v="2018"/>
    <x v="7"/>
    <x v="1"/>
    <x v="8"/>
    <x v="1"/>
    <x v="0"/>
  </r>
  <r>
    <d v="2018-07-02T19:37:07"/>
    <d v="2018-03-07T00:00:00"/>
    <d v="2018-04-13T04:11:14"/>
    <x v="0"/>
    <x v="3"/>
    <s v="NF5720"/>
    <n v="1660"/>
    <x v="11"/>
    <n v="2018"/>
    <x v="7"/>
    <x v="1"/>
    <x v="8"/>
    <x v="1"/>
    <x v="0"/>
  </r>
  <r>
    <d v="2018-03-25T02:00:56"/>
    <d v="2018-03-10T00:00:00"/>
    <d v="2018-03-25T02:00:56"/>
    <x v="0"/>
    <x v="3"/>
    <s v="NF6393"/>
    <n v="837"/>
    <x v="7"/>
    <n v="2018"/>
    <x v="7"/>
    <x v="1"/>
    <x v="7"/>
    <x v="1"/>
    <x v="0"/>
  </r>
  <r>
    <d v="2018-04-10T03:31:44"/>
    <d v="2018-03-12T00:00:00"/>
    <d v="2018-04-10T03:31:44"/>
    <x v="0"/>
    <x v="1"/>
    <s v="NF9057"/>
    <n v="1838"/>
    <x v="9"/>
    <n v="2018"/>
    <x v="7"/>
    <x v="1"/>
    <x v="8"/>
    <x v="1"/>
    <x v="0"/>
  </r>
  <r>
    <d v="2018-04-17T19:38:15"/>
    <d v="2018-03-17T00:00:00"/>
    <d v="2018-04-17T19:38:15"/>
    <x v="0"/>
    <x v="2"/>
    <s v="NF7365"/>
    <n v="4471"/>
    <x v="9"/>
    <n v="2018"/>
    <x v="7"/>
    <x v="1"/>
    <x v="8"/>
    <x v="1"/>
    <x v="0"/>
  </r>
  <r>
    <d v="2018-05-14T10:59:29"/>
    <d v="2018-03-18T00:00:00"/>
    <d v="2018-05-14T10:59:29"/>
    <x v="0"/>
    <x v="1"/>
    <s v="NF4559"/>
    <n v="3540"/>
    <x v="8"/>
    <n v="2018"/>
    <x v="7"/>
    <x v="1"/>
    <x v="9"/>
    <x v="1"/>
    <x v="0"/>
  </r>
  <r>
    <d v="2018-04-30T19:43:46"/>
    <d v="2018-03-21T00:00:00"/>
    <d v="2018-04-30T19:43:46"/>
    <x v="0"/>
    <x v="1"/>
    <s v="NF7119"/>
    <n v="4606"/>
    <x v="9"/>
    <n v="2018"/>
    <x v="7"/>
    <x v="1"/>
    <x v="8"/>
    <x v="1"/>
    <x v="0"/>
  </r>
  <r>
    <s v=""/>
    <d v="2018-03-23T00:00:00"/>
    <d v="2018-04-09T01:30:48"/>
    <x v="0"/>
    <x v="0"/>
    <s v="NF2814"/>
    <n v="2388"/>
    <x v="4"/>
    <n v="0"/>
    <x v="7"/>
    <x v="1"/>
    <x v="8"/>
    <x v="1"/>
    <x v="1"/>
  </r>
  <r>
    <d v="2018-03-28T13:03:26"/>
    <d v="2018-03-25T00:00:00"/>
    <d v="2018-03-28T13:03:26"/>
    <x v="0"/>
    <x v="3"/>
    <s v="NF5963"/>
    <n v="2303"/>
    <x v="7"/>
    <n v="2018"/>
    <x v="7"/>
    <x v="1"/>
    <x v="7"/>
    <x v="1"/>
    <x v="0"/>
  </r>
  <r>
    <d v="2018-04-15T06:12:30"/>
    <d v="2018-03-28T00:00:00"/>
    <d v="2018-04-15T06:12:30"/>
    <x v="0"/>
    <x v="2"/>
    <s v="NF3293"/>
    <n v="1662"/>
    <x v="9"/>
    <n v="2018"/>
    <x v="7"/>
    <x v="1"/>
    <x v="8"/>
    <x v="1"/>
    <x v="0"/>
  </r>
  <r>
    <d v="2018-05-08T11:30:41"/>
    <d v="2018-03-30T00:00:00"/>
    <d v="2018-05-08T11:30:41"/>
    <x v="0"/>
    <x v="0"/>
    <s v="NF8254"/>
    <n v="3241"/>
    <x v="8"/>
    <n v="2018"/>
    <x v="7"/>
    <x v="1"/>
    <x v="9"/>
    <x v="1"/>
    <x v="0"/>
  </r>
  <r>
    <d v="2018-05-08T12:38:09"/>
    <d v="2018-03-31T00:00:00"/>
    <d v="2018-05-08T12:38:09"/>
    <x v="0"/>
    <x v="2"/>
    <s v="NF4303"/>
    <n v="4017"/>
    <x v="8"/>
    <n v="2018"/>
    <x v="7"/>
    <x v="1"/>
    <x v="9"/>
    <x v="1"/>
    <x v="0"/>
  </r>
  <r>
    <d v="2018-07-08T13:51:36"/>
    <d v="2018-04-03T00:00:00"/>
    <d v="2018-05-31T22:52:18"/>
    <x v="0"/>
    <x v="1"/>
    <s v="NF2605"/>
    <n v="3586"/>
    <x v="11"/>
    <n v="2018"/>
    <x v="8"/>
    <x v="1"/>
    <x v="9"/>
    <x v="1"/>
    <x v="0"/>
  </r>
  <r>
    <d v="2018-05-01T02:11:19"/>
    <d v="2018-04-06T00:00:00"/>
    <d v="2018-05-01T02:11:19"/>
    <x v="0"/>
    <x v="0"/>
    <s v="NF8043"/>
    <n v="4467"/>
    <x v="8"/>
    <n v="2018"/>
    <x v="8"/>
    <x v="1"/>
    <x v="9"/>
    <x v="1"/>
    <x v="0"/>
  </r>
  <r>
    <d v="2018-05-31T04:06:26"/>
    <d v="2018-04-09T00:00:00"/>
    <d v="2018-05-31T04:06:26"/>
    <x v="0"/>
    <x v="1"/>
    <s v="NF6697"/>
    <n v="4262"/>
    <x v="8"/>
    <n v="2018"/>
    <x v="8"/>
    <x v="1"/>
    <x v="9"/>
    <x v="1"/>
    <x v="0"/>
  </r>
  <r>
    <d v="2018-06-13T21:25:50"/>
    <d v="2018-04-11T00:00:00"/>
    <d v="2018-06-09T12:51:29"/>
    <x v="0"/>
    <x v="1"/>
    <s v="NF5208"/>
    <n v="2593"/>
    <x v="10"/>
    <n v="2018"/>
    <x v="8"/>
    <x v="1"/>
    <x v="10"/>
    <x v="1"/>
    <x v="0"/>
  </r>
  <r>
    <d v="2018-05-04T20:26:07"/>
    <d v="2018-04-14T00:00:00"/>
    <d v="2018-05-04T20:26:07"/>
    <x v="0"/>
    <x v="1"/>
    <s v="NF2907"/>
    <n v="1885"/>
    <x v="8"/>
    <n v="2018"/>
    <x v="8"/>
    <x v="1"/>
    <x v="9"/>
    <x v="1"/>
    <x v="0"/>
  </r>
  <r>
    <s v=""/>
    <d v="2018-04-19T00:00:00"/>
    <d v="2018-06-15T08:09:46"/>
    <x v="0"/>
    <x v="1"/>
    <s v="NF9381"/>
    <n v="2224"/>
    <x v="4"/>
    <n v="0"/>
    <x v="8"/>
    <x v="1"/>
    <x v="10"/>
    <x v="1"/>
    <x v="1"/>
  </r>
  <r>
    <d v="2018-07-21T12:24:59"/>
    <d v="2018-04-23T00:00:00"/>
    <d v="2018-05-14T02:06:20"/>
    <x v="0"/>
    <x v="1"/>
    <s v="NF3247"/>
    <n v="3223"/>
    <x v="11"/>
    <n v="2018"/>
    <x v="8"/>
    <x v="1"/>
    <x v="9"/>
    <x v="1"/>
    <x v="0"/>
  </r>
  <r>
    <d v="2018-07-18T22:23:37"/>
    <d v="2018-04-26T00:00:00"/>
    <d v="2018-06-14T00:22:09"/>
    <x v="0"/>
    <x v="4"/>
    <s v="NF4377"/>
    <n v="3446"/>
    <x v="11"/>
    <n v="2018"/>
    <x v="8"/>
    <x v="1"/>
    <x v="10"/>
    <x v="1"/>
    <x v="0"/>
  </r>
  <r>
    <d v="2018-06-14T13:34:23"/>
    <d v="2018-04-30T00:00:00"/>
    <d v="2018-06-14T13:34:23"/>
    <x v="0"/>
    <x v="1"/>
    <s v="NF2988"/>
    <n v="4540"/>
    <x v="10"/>
    <n v="2018"/>
    <x v="8"/>
    <x v="1"/>
    <x v="10"/>
    <x v="1"/>
    <x v="0"/>
  </r>
  <r>
    <d v="2018-08-18T15:26:28"/>
    <d v="2018-05-08T00:00:00"/>
    <d v="2018-07-02T22:06:22"/>
    <x v="0"/>
    <x v="2"/>
    <s v="NF4912"/>
    <n v="3862"/>
    <x v="12"/>
    <n v="2018"/>
    <x v="9"/>
    <x v="1"/>
    <x v="11"/>
    <x v="1"/>
    <x v="0"/>
  </r>
  <r>
    <d v="2018-06-28T09:08:40"/>
    <d v="2018-05-11T00:00:00"/>
    <d v="2018-06-28T09:08:40"/>
    <x v="0"/>
    <x v="4"/>
    <s v="NF7104"/>
    <n v="611"/>
    <x v="10"/>
    <n v="2018"/>
    <x v="9"/>
    <x v="1"/>
    <x v="10"/>
    <x v="1"/>
    <x v="0"/>
  </r>
  <r>
    <d v="2018-07-04T11:06:55"/>
    <d v="2018-05-13T00:00:00"/>
    <d v="2018-07-04T11:06:55"/>
    <x v="0"/>
    <x v="3"/>
    <s v="NF6700"/>
    <n v="1486"/>
    <x v="11"/>
    <n v="2018"/>
    <x v="9"/>
    <x v="1"/>
    <x v="11"/>
    <x v="1"/>
    <x v="0"/>
  </r>
  <r>
    <d v="2018-06-01T02:54:58"/>
    <d v="2018-05-21T00:00:00"/>
    <d v="2018-06-01T02:54:58"/>
    <x v="0"/>
    <x v="1"/>
    <s v="NF7947"/>
    <n v="4850"/>
    <x v="10"/>
    <n v="2018"/>
    <x v="9"/>
    <x v="1"/>
    <x v="10"/>
    <x v="1"/>
    <x v="0"/>
  </r>
  <r>
    <s v=""/>
    <d v="2018-05-24T00:00:00"/>
    <d v="2018-06-24T10:58:45"/>
    <x v="0"/>
    <x v="3"/>
    <s v="NF7741"/>
    <n v="3878"/>
    <x v="4"/>
    <n v="0"/>
    <x v="9"/>
    <x v="1"/>
    <x v="10"/>
    <x v="1"/>
    <x v="1"/>
  </r>
  <r>
    <d v="2018-06-24T15:56:07"/>
    <d v="2018-05-29T00:00:00"/>
    <d v="2018-06-24T15:56:07"/>
    <x v="0"/>
    <x v="3"/>
    <s v="NF3255"/>
    <n v="976"/>
    <x v="10"/>
    <n v="2018"/>
    <x v="9"/>
    <x v="1"/>
    <x v="10"/>
    <x v="1"/>
    <x v="0"/>
  </r>
  <r>
    <d v="2018-06-14T09:49:26"/>
    <d v="2018-05-30T00:00:00"/>
    <d v="2018-06-14T09:49:26"/>
    <x v="0"/>
    <x v="2"/>
    <s v="NF7106"/>
    <n v="3346"/>
    <x v="10"/>
    <n v="2018"/>
    <x v="9"/>
    <x v="1"/>
    <x v="10"/>
    <x v="1"/>
    <x v="0"/>
  </r>
  <r>
    <d v="2018-08-01T18:40:48"/>
    <d v="2018-06-03T00:00:00"/>
    <d v="2018-08-01T18:40:48"/>
    <x v="0"/>
    <x v="4"/>
    <s v="NF1835"/>
    <n v="443"/>
    <x v="12"/>
    <n v="2018"/>
    <x v="10"/>
    <x v="1"/>
    <x v="0"/>
    <x v="1"/>
    <x v="0"/>
  </r>
  <r>
    <d v="2018-07-28T00:49:39"/>
    <d v="2018-06-04T00:00:00"/>
    <d v="2018-07-28T00:49:39"/>
    <x v="0"/>
    <x v="4"/>
    <s v="NF7322"/>
    <n v="2781"/>
    <x v="11"/>
    <n v="2018"/>
    <x v="10"/>
    <x v="1"/>
    <x v="11"/>
    <x v="1"/>
    <x v="0"/>
  </r>
  <r>
    <d v="2018-06-16T15:21:18"/>
    <d v="2018-06-05T00:00:00"/>
    <d v="2018-06-16T15:21:18"/>
    <x v="0"/>
    <x v="3"/>
    <s v="NF3899"/>
    <n v="1875"/>
    <x v="10"/>
    <n v="2018"/>
    <x v="10"/>
    <x v="1"/>
    <x v="10"/>
    <x v="1"/>
    <x v="0"/>
  </r>
  <r>
    <d v="2018-07-14T23:49:32"/>
    <d v="2018-06-08T00:00:00"/>
    <d v="2018-07-14T23:49:32"/>
    <x v="0"/>
    <x v="1"/>
    <s v="NF5496"/>
    <n v="3134"/>
    <x v="11"/>
    <n v="2018"/>
    <x v="10"/>
    <x v="1"/>
    <x v="11"/>
    <x v="1"/>
    <x v="0"/>
  </r>
  <r>
    <d v="2018-06-25T12:16:33"/>
    <d v="2018-06-10T00:00:00"/>
    <d v="2018-06-25T12:16:33"/>
    <x v="0"/>
    <x v="0"/>
    <s v="NF4824"/>
    <n v="2114"/>
    <x v="10"/>
    <n v="2018"/>
    <x v="10"/>
    <x v="1"/>
    <x v="10"/>
    <x v="1"/>
    <x v="0"/>
  </r>
  <r>
    <d v="2018-08-08T03:38:11"/>
    <d v="2018-06-13T00:00:00"/>
    <d v="2018-08-08T03:38:11"/>
    <x v="0"/>
    <x v="3"/>
    <s v="NF2022"/>
    <n v="4961"/>
    <x v="12"/>
    <n v="2018"/>
    <x v="10"/>
    <x v="1"/>
    <x v="0"/>
    <x v="1"/>
    <x v="0"/>
  </r>
  <r>
    <d v="2018-07-22T08:03:46"/>
    <d v="2018-06-14T00:00:00"/>
    <d v="2018-07-22T08:03:46"/>
    <x v="0"/>
    <x v="1"/>
    <s v="NF8075"/>
    <n v="909"/>
    <x v="11"/>
    <n v="2018"/>
    <x v="10"/>
    <x v="1"/>
    <x v="11"/>
    <x v="1"/>
    <x v="0"/>
  </r>
  <r>
    <d v="2018-07-12T09:15:11"/>
    <d v="2018-06-15T00:00:00"/>
    <d v="2018-07-12T09:15:11"/>
    <x v="0"/>
    <x v="1"/>
    <s v="NF1137"/>
    <n v="2197"/>
    <x v="11"/>
    <n v="2018"/>
    <x v="10"/>
    <x v="1"/>
    <x v="11"/>
    <x v="1"/>
    <x v="0"/>
  </r>
  <r>
    <d v="2018-09-04T18:49:58"/>
    <d v="2018-06-17T00:00:00"/>
    <d v="2018-07-29T06:14:28"/>
    <x v="0"/>
    <x v="2"/>
    <s v="NF3353"/>
    <n v="3045"/>
    <x v="0"/>
    <n v="2018"/>
    <x v="10"/>
    <x v="1"/>
    <x v="11"/>
    <x v="1"/>
    <x v="0"/>
  </r>
  <r>
    <d v="2018-08-16T03:25:23"/>
    <d v="2018-06-21T00:00:00"/>
    <d v="2018-07-28T09:26:34"/>
    <x v="0"/>
    <x v="2"/>
    <s v="NF5074"/>
    <n v="460"/>
    <x v="12"/>
    <n v="2018"/>
    <x v="10"/>
    <x v="1"/>
    <x v="11"/>
    <x v="1"/>
    <x v="0"/>
  </r>
  <r>
    <s v=""/>
    <d v="2018-06-24T00:00:00"/>
    <d v="2018-08-01T15:18:17"/>
    <x v="0"/>
    <x v="2"/>
    <s v="NF1725"/>
    <n v="770"/>
    <x v="4"/>
    <n v="0"/>
    <x v="10"/>
    <x v="1"/>
    <x v="0"/>
    <x v="1"/>
    <x v="1"/>
  </r>
  <r>
    <d v="2018-08-09T01:35:18"/>
    <d v="2018-06-25T00:00:00"/>
    <d v="2018-08-05T17:42:47"/>
    <x v="0"/>
    <x v="1"/>
    <s v="NF5560"/>
    <n v="3646"/>
    <x v="12"/>
    <n v="2018"/>
    <x v="10"/>
    <x v="1"/>
    <x v="0"/>
    <x v="1"/>
    <x v="0"/>
  </r>
  <r>
    <d v="2018-08-16T21:30:33"/>
    <d v="2018-06-29T00:00:00"/>
    <d v="2018-08-16T21:30:33"/>
    <x v="0"/>
    <x v="1"/>
    <s v="NF2674"/>
    <n v="2376"/>
    <x v="12"/>
    <n v="2018"/>
    <x v="10"/>
    <x v="1"/>
    <x v="0"/>
    <x v="1"/>
    <x v="0"/>
  </r>
  <r>
    <d v="2018-07-29T08:42:05"/>
    <d v="2018-07-03T00:00:00"/>
    <d v="2018-07-29T08:42:05"/>
    <x v="0"/>
    <x v="1"/>
    <s v="NF2175"/>
    <n v="3940"/>
    <x v="11"/>
    <n v="2018"/>
    <x v="11"/>
    <x v="1"/>
    <x v="11"/>
    <x v="1"/>
    <x v="0"/>
  </r>
  <r>
    <d v="2018-08-31T20:21:30"/>
    <d v="2018-07-04T00:00:00"/>
    <d v="2018-08-31T20:21:30"/>
    <x v="0"/>
    <x v="1"/>
    <s v="NF3338"/>
    <n v="1732"/>
    <x v="12"/>
    <n v="2018"/>
    <x v="11"/>
    <x v="1"/>
    <x v="0"/>
    <x v="1"/>
    <x v="0"/>
  </r>
  <r>
    <d v="2018-08-04T02:05:08"/>
    <d v="2018-07-05T00:00:00"/>
    <d v="2018-08-04T02:05:08"/>
    <x v="0"/>
    <x v="4"/>
    <s v="NF7689"/>
    <n v="1306"/>
    <x v="12"/>
    <n v="2018"/>
    <x v="11"/>
    <x v="1"/>
    <x v="0"/>
    <x v="1"/>
    <x v="0"/>
  </r>
  <r>
    <d v="2018-08-24T04:25:29"/>
    <d v="2018-07-07T00:00:00"/>
    <d v="2018-08-24T04:25:29"/>
    <x v="0"/>
    <x v="0"/>
    <s v="NF5938"/>
    <n v="3954"/>
    <x v="12"/>
    <n v="2018"/>
    <x v="11"/>
    <x v="1"/>
    <x v="0"/>
    <x v="1"/>
    <x v="0"/>
  </r>
  <r>
    <d v="2018-09-24T01:20:25"/>
    <d v="2018-07-11T00:00:00"/>
    <d v="2018-08-11T15:48:56"/>
    <x v="0"/>
    <x v="2"/>
    <s v="NF9391"/>
    <n v="4090"/>
    <x v="0"/>
    <n v="2018"/>
    <x v="11"/>
    <x v="1"/>
    <x v="0"/>
    <x v="1"/>
    <x v="0"/>
  </r>
  <r>
    <d v="2018-07-30T01:14:31"/>
    <d v="2018-07-12T00:00:00"/>
    <d v="2018-07-30T01:14:31"/>
    <x v="0"/>
    <x v="3"/>
    <s v="NF6298"/>
    <n v="2713"/>
    <x v="11"/>
    <n v="2018"/>
    <x v="11"/>
    <x v="1"/>
    <x v="11"/>
    <x v="1"/>
    <x v="0"/>
  </r>
  <r>
    <d v="2018-07-21T16:06:50"/>
    <d v="2018-07-16T00:00:00"/>
    <d v="2018-07-21T16:06:50"/>
    <x v="0"/>
    <x v="1"/>
    <s v="NF7941"/>
    <n v="3482"/>
    <x v="11"/>
    <n v="2018"/>
    <x v="11"/>
    <x v="1"/>
    <x v="11"/>
    <x v="1"/>
    <x v="0"/>
  </r>
  <r>
    <d v="2018-09-03T07:30:56"/>
    <d v="2018-07-18T00:00:00"/>
    <d v="2018-09-03T07:30:56"/>
    <x v="0"/>
    <x v="1"/>
    <s v="NF3604"/>
    <n v="2071"/>
    <x v="0"/>
    <n v="2018"/>
    <x v="11"/>
    <x v="1"/>
    <x v="1"/>
    <x v="1"/>
    <x v="0"/>
  </r>
  <r>
    <d v="2018-08-21T18:39:14"/>
    <d v="2018-07-23T00:00:00"/>
    <d v="2018-08-21T18:39:14"/>
    <x v="0"/>
    <x v="2"/>
    <s v="NF4605"/>
    <n v="4258"/>
    <x v="12"/>
    <n v="2018"/>
    <x v="11"/>
    <x v="1"/>
    <x v="0"/>
    <x v="1"/>
    <x v="0"/>
  </r>
  <r>
    <d v="2018-11-24T17:33:03"/>
    <d v="2018-07-25T00:00:00"/>
    <d v="2018-09-07T04:16:41"/>
    <x v="0"/>
    <x v="0"/>
    <s v="NF1759"/>
    <n v="4383"/>
    <x v="2"/>
    <n v="2018"/>
    <x v="11"/>
    <x v="1"/>
    <x v="1"/>
    <x v="1"/>
    <x v="0"/>
  </r>
  <r>
    <d v="2018-09-09T16:42:33"/>
    <d v="2018-07-29T00:00:00"/>
    <d v="2018-09-09T16:42:33"/>
    <x v="0"/>
    <x v="1"/>
    <s v="NF2800"/>
    <n v="1369"/>
    <x v="0"/>
    <n v="2018"/>
    <x v="11"/>
    <x v="1"/>
    <x v="1"/>
    <x v="1"/>
    <x v="0"/>
  </r>
  <r>
    <d v="2018-09-14T13:40:35"/>
    <d v="2018-08-03T00:00:00"/>
    <d v="2018-09-14T13:40:35"/>
    <x v="0"/>
    <x v="1"/>
    <s v="NF7248"/>
    <n v="331"/>
    <x v="0"/>
    <n v="2018"/>
    <x v="0"/>
    <x v="1"/>
    <x v="1"/>
    <x v="1"/>
    <x v="0"/>
  </r>
  <r>
    <d v="2018-08-09T08:15:02"/>
    <d v="2018-08-06T00:00:00"/>
    <d v="2018-08-09T08:15:02"/>
    <x v="0"/>
    <x v="1"/>
    <s v="NF5280"/>
    <n v="3031"/>
    <x v="12"/>
    <n v="2018"/>
    <x v="0"/>
    <x v="1"/>
    <x v="0"/>
    <x v="1"/>
    <x v="0"/>
  </r>
  <r>
    <d v="2018-08-29T10:43:21"/>
    <d v="2018-08-09T00:00:00"/>
    <d v="2018-08-29T10:43:21"/>
    <x v="0"/>
    <x v="0"/>
    <s v="NF2968"/>
    <n v="1200"/>
    <x v="12"/>
    <n v="2018"/>
    <x v="0"/>
    <x v="1"/>
    <x v="0"/>
    <x v="1"/>
    <x v="0"/>
  </r>
  <r>
    <d v="2018-08-31T18:29:50"/>
    <d v="2018-08-11T00:00:00"/>
    <d v="2018-08-31T18:29:50"/>
    <x v="0"/>
    <x v="0"/>
    <s v="NF4862"/>
    <n v="405"/>
    <x v="12"/>
    <n v="2018"/>
    <x v="0"/>
    <x v="1"/>
    <x v="0"/>
    <x v="1"/>
    <x v="0"/>
  </r>
  <r>
    <d v="2018-09-17T07:55:11"/>
    <d v="2018-08-14T00:00:00"/>
    <d v="2018-09-17T07:55:11"/>
    <x v="0"/>
    <x v="3"/>
    <s v="NF2988"/>
    <n v="3080"/>
    <x v="0"/>
    <n v="2018"/>
    <x v="0"/>
    <x v="1"/>
    <x v="1"/>
    <x v="1"/>
    <x v="0"/>
  </r>
  <r>
    <d v="2018-08-17T07:33:55"/>
    <d v="2018-08-17T00:00:00"/>
    <d v="2018-08-17T07:33:55"/>
    <x v="0"/>
    <x v="1"/>
    <s v="NF6224"/>
    <n v="2137"/>
    <x v="12"/>
    <n v="2018"/>
    <x v="0"/>
    <x v="1"/>
    <x v="0"/>
    <x v="1"/>
    <x v="0"/>
  </r>
  <r>
    <d v="2018-10-15T11:59:23"/>
    <d v="2018-08-24T00:00:00"/>
    <d v="2018-10-15T11:59:23"/>
    <x v="0"/>
    <x v="2"/>
    <s v="NF6974"/>
    <n v="4287"/>
    <x v="1"/>
    <n v="2018"/>
    <x v="0"/>
    <x v="1"/>
    <x v="2"/>
    <x v="1"/>
    <x v="0"/>
  </r>
  <r>
    <d v="2018-10-22T21:34:17"/>
    <d v="2018-08-26T00:00:00"/>
    <d v="2018-10-22T21:34:17"/>
    <x v="0"/>
    <x v="2"/>
    <s v="NF3171"/>
    <n v="4857"/>
    <x v="1"/>
    <n v="2018"/>
    <x v="0"/>
    <x v="1"/>
    <x v="2"/>
    <x v="1"/>
    <x v="0"/>
  </r>
  <r>
    <d v="2018-10-20T21:50:28"/>
    <d v="2018-08-30T00:00:00"/>
    <d v="2018-10-20T21:50:28"/>
    <x v="0"/>
    <x v="1"/>
    <s v="NF9089"/>
    <n v="507"/>
    <x v="1"/>
    <n v="2018"/>
    <x v="0"/>
    <x v="1"/>
    <x v="2"/>
    <x v="1"/>
    <x v="0"/>
  </r>
  <r>
    <d v="2018-09-11T09:18:13"/>
    <d v="2018-08-31T00:00:00"/>
    <d v="2018-09-11T09:18:13"/>
    <x v="0"/>
    <x v="0"/>
    <s v="NF9607"/>
    <n v="2467"/>
    <x v="0"/>
    <n v="2018"/>
    <x v="0"/>
    <x v="1"/>
    <x v="1"/>
    <x v="1"/>
    <x v="0"/>
  </r>
  <r>
    <s v=""/>
    <d v="2018-09-01T00:00:00"/>
    <d v="2018-09-27T15:55:52"/>
    <x v="0"/>
    <x v="1"/>
    <s v="NF6643"/>
    <n v="4253"/>
    <x v="4"/>
    <n v="0"/>
    <x v="1"/>
    <x v="1"/>
    <x v="1"/>
    <x v="1"/>
    <x v="1"/>
  </r>
  <r>
    <d v="2018-09-14T18:46:28"/>
    <d v="2018-09-07T00:00:00"/>
    <d v="2018-09-14T18:46:28"/>
    <x v="0"/>
    <x v="2"/>
    <s v="NF3939"/>
    <n v="2391"/>
    <x v="0"/>
    <n v="2018"/>
    <x v="1"/>
    <x v="1"/>
    <x v="1"/>
    <x v="1"/>
    <x v="0"/>
  </r>
  <r>
    <d v="2018-09-27T17:55:23"/>
    <d v="2018-09-09T00:00:00"/>
    <d v="2018-09-22T19:10:46"/>
    <x v="0"/>
    <x v="1"/>
    <s v="NF3599"/>
    <n v="3669"/>
    <x v="0"/>
    <n v="2018"/>
    <x v="1"/>
    <x v="1"/>
    <x v="1"/>
    <x v="1"/>
    <x v="0"/>
  </r>
  <r>
    <d v="2018-12-18T12:03:31"/>
    <d v="2018-09-12T00:00:00"/>
    <d v="2018-10-10T05:32:48"/>
    <x v="0"/>
    <x v="1"/>
    <s v="NF9914"/>
    <n v="1207"/>
    <x v="3"/>
    <n v="2018"/>
    <x v="1"/>
    <x v="1"/>
    <x v="2"/>
    <x v="1"/>
    <x v="0"/>
  </r>
  <r>
    <d v="2018-11-08T01:06:09"/>
    <d v="2018-09-18T00:00:00"/>
    <d v="2018-11-08T01:06:09"/>
    <x v="0"/>
    <x v="0"/>
    <s v="NF5492"/>
    <n v="2539"/>
    <x v="2"/>
    <n v="2018"/>
    <x v="1"/>
    <x v="1"/>
    <x v="3"/>
    <x v="1"/>
    <x v="0"/>
  </r>
  <r>
    <d v="2018-10-01T12:07:20"/>
    <d v="2018-09-20T00:00:00"/>
    <d v="2018-10-01T12:07:20"/>
    <x v="0"/>
    <x v="4"/>
    <s v="NF7516"/>
    <n v="2895"/>
    <x v="1"/>
    <n v="2018"/>
    <x v="1"/>
    <x v="1"/>
    <x v="2"/>
    <x v="1"/>
    <x v="0"/>
  </r>
  <r>
    <d v="2018-10-15T18:58:28"/>
    <d v="2018-09-21T00:00:00"/>
    <d v="2018-10-04T04:41:37"/>
    <x v="0"/>
    <x v="1"/>
    <s v="NF8652"/>
    <n v="2106"/>
    <x v="1"/>
    <n v="2018"/>
    <x v="1"/>
    <x v="1"/>
    <x v="2"/>
    <x v="1"/>
    <x v="0"/>
  </r>
  <r>
    <d v="2018-11-01T16:45:30"/>
    <d v="2018-09-23T00:00:00"/>
    <d v="2018-11-01T16:45:30"/>
    <x v="0"/>
    <x v="4"/>
    <s v="NF4809"/>
    <n v="3742"/>
    <x v="2"/>
    <n v="2018"/>
    <x v="1"/>
    <x v="1"/>
    <x v="3"/>
    <x v="1"/>
    <x v="0"/>
  </r>
  <r>
    <d v="2018-10-22T15:14:34"/>
    <d v="2018-09-26T00:00:00"/>
    <d v="2018-10-22T15:14:34"/>
    <x v="0"/>
    <x v="0"/>
    <s v="NF5491"/>
    <n v="3222"/>
    <x v="1"/>
    <n v="2018"/>
    <x v="1"/>
    <x v="1"/>
    <x v="2"/>
    <x v="1"/>
    <x v="0"/>
  </r>
  <r>
    <d v="2018-10-19T07:03:23"/>
    <d v="2018-10-01T00:00:00"/>
    <d v="2018-10-19T07:03:23"/>
    <x v="0"/>
    <x v="1"/>
    <s v="NF7862"/>
    <n v="673"/>
    <x v="1"/>
    <n v="2018"/>
    <x v="2"/>
    <x v="1"/>
    <x v="2"/>
    <x v="1"/>
    <x v="0"/>
  </r>
  <r>
    <s v=""/>
    <d v="2018-10-05T00:00:00"/>
    <d v="2018-10-26T19:35:25"/>
    <x v="0"/>
    <x v="3"/>
    <s v="NF3137"/>
    <n v="4922"/>
    <x v="4"/>
    <n v="0"/>
    <x v="2"/>
    <x v="1"/>
    <x v="2"/>
    <x v="1"/>
    <x v="1"/>
  </r>
  <r>
    <d v="2019-01-26T06:08:35"/>
    <d v="2018-10-09T00:00:00"/>
    <d v="2018-11-28T21:26:54"/>
    <x v="0"/>
    <x v="2"/>
    <s v="NF2705"/>
    <n v="1688"/>
    <x v="6"/>
    <n v="2019"/>
    <x v="2"/>
    <x v="1"/>
    <x v="3"/>
    <x v="1"/>
    <x v="0"/>
  </r>
  <r>
    <d v="2018-12-08T18:35:22"/>
    <d v="2018-10-09T00:00:00"/>
    <d v="2018-11-19T12:14:44"/>
    <x v="0"/>
    <x v="2"/>
    <s v="NF9537"/>
    <n v="979"/>
    <x v="3"/>
    <n v="2018"/>
    <x v="2"/>
    <x v="1"/>
    <x v="3"/>
    <x v="1"/>
    <x v="0"/>
  </r>
  <r>
    <d v="2018-10-27T20:54:27"/>
    <d v="2018-10-14T00:00:00"/>
    <d v="2018-10-27T20:54:27"/>
    <x v="0"/>
    <x v="1"/>
    <s v="NF1700"/>
    <n v="3744"/>
    <x v="1"/>
    <n v="2018"/>
    <x v="2"/>
    <x v="1"/>
    <x v="2"/>
    <x v="1"/>
    <x v="0"/>
  </r>
  <r>
    <d v="2018-12-04T03:16:57"/>
    <d v="2018-10-16T00:00:00"/>
    <d v="2018-12-04T03:16:57"/>
    <x v="0"/>
    <x v="2"/>
    <s v="NF9052"/>
    <n v="4061"/>
    <x v="3"/>
    <n v="2018"/>
    <x v="2"/>
    <x v="1"/>
    <x v="4"/>
    <x v="1"/>
    <x v="0"/>
  </r>
  <r>
    <d v="2019-01-28T02:30:23"/>
    <d v="2018-10-21T00:00:00"/>
    <d v="2018-12-01T19:29:45"/>
    <x v="0"/>
    <x v="0"/>
    <s v="NF9827"/>
    <n v="4404"/>
    <x v="6"/>
    <n v="2019"/>
    <x v="2"/>
    <x v="1"/>
    <x v="4"/>
    <x v="1"/>
    <x v="0"/>
  </r>
  <r>
    <d v="2018-11-15T14:37:18"/>
    <d v="2018-10-25T00:00:00"/>
    <d v="2018-11-15T14:37:18"/>
    <x v="0"/>
    <x v="1"/>
    <s v="NF4056"/>
    <n v="2429"/>
    <x v="2"/>
    <n v="2018"/>
    <x v="2"/>
    <x v="1"/>
    <x v="3"/>
    <x v="1"/>
    <x v="0"/>
  </r>
  <r>
    <d v="2018-12-23T10:14:59"/>
    <d v="2018-10-25T00:00:00"/>
    <d v="2018-12-23T10:14:59"/>
    <x v="0"/>
    <x v="0"/>
    <s v="NF4381"/>
    <n v="2713"/>
    <x v="3"/>
    <n v="2018"/>
    <x v="2"/>
    <x v="1"/>
    <x v="4"/>
    <x v="1"/>
    <x v="0"/>
  </r>
  <r>
    <d v="2018-11-12T18:59:39"/>
    <d v="2018-10-30T00:00:00"/>
    <d v="2018-11-12T18:59:39"/>
    <x v="0"/>
    <x v="1"/>
    <s v="NF5374"/>
    <n v="3787"/>
    <x v="2"/>
    <n v="2018"/>
    <x v="2"/>
    <x v="1"/>
    <x v="3"/>
    <x v="1"/>
    <x v="0"/>
  </r>
  <r>
    <d v="2019-02-07T00:24:31"/>
    <d v="2018-11-04T00:00:00"/>
    <d v="2018-12-08T21:36:08"/>
    <x v="0"/>
    <x v="4"/>
    <s v="NF4782"/>
    <n v="1820"/>
    <x v="5"/>
    <n v="2019"/>
    <x v="3"/>
    <x v="1"/>
    <x v="4"/>
    <x v="1"/>
    <x v="0"/>
  </r>
  <r>
    <d v="2018-11-27T14:09:21"/>
    <d v="2018-11-08T00:00:00"/>
    <d v="2018-11-27T14:09:21"/>
    <x v="0"/>
    <x v="1"/>
    <s v="NF9770"/>
    <n v="4135"/>
    <x v="2"/>
    <n v="2018"/>
    <x v="3"/>
    <x v="1"/>
    <x v="3"/>
    <x v="1"/>
    <x v="0"/>
  </r>
  <r>
    <d v="2019-01-02T08:14:42"/>
    <d v="2018-11-11T00:00:00"/>
    <d v="2018-11-17T02:12:26"/>
    <x v="0"/>
    <x v="1"/>
    <s v="NF3186"/>
    <n v="3902"/>
    <x v="6"/>
    <n v="2019"/>
    <x v="3"/>
    <x v="1"/>
    <x v="3"/>
    <x v="1"/>
    <x v="0"/>
  </r>
  <r>
    <d v="2019-02-27T01:57:03"/>
    <d v="2018-11-14T00:00:00"/>
    <d v="2018-12-07T17:43:50"/>
    <x v="0"/>
    <x v="1"/>
    <s v="NF7423"/>
    <n v="4319"/>
    <x v="5"/>
    <n v="2019"/>
    <x v="3"/>
    <x v="1"/>
    <x v="4"/>
    <x v="1"/>
    <x v="0"/>
  </r>
  <r>
    <d v="2018-12-30T17:57:50"/>
    <d v="2018-11-17T00:00:00"/>
    <d v="2018-12-30T17:57:50"/>
    <x v="0"/>
    <x v="0"/>
    <s v="NF3114"/>
    <n v="3068"/>
    <x v="3"/>
    <n v="2018"/>
    <x v="3"/>
    <x v="1"/>
    <x v="4"/>
    <x v="1"/>
    <x v="0"/>
  </r>
  <r>
    <d v="2018-12-21T09:00:52"/>
    <d v="2018-11-21T00:00:00"/>
    <d v="2018-12-21T09:00:52"/>
    <x v="0"/>
    <x v="1"/>
    <s v="NF1359"/>
    <n v="1880"/>
    <x v="3"/>
    <n v="2018"/>
    <x v="3"/>
    <x v="1"/>
    <x v="4"/>
    <x v="1"/>
    <x v="0"/>
  </r>
  <r>
    <s v=""/>
    <d v="2018-11-23T00:00:00"/>
    <d v="2018-12-31T01:31:16"/>
    <x v="0"/>
    <x v="1"/>
    <s v="NF5107"/>
    <n v="1414"/>
    <x v="4"/>
    <n v="0"/>
    <x v="3"/>
    <x v="1"/>
    <x v="4"/>
    <x v="1"/>
    <x v="1"/>
  </r>
  <r>
    <s v=""/>
    <d v="2018-11-26T00:00:00"/>
    <d v="2018-12-13T21:21:29"/>
    <x v="0"/>
    <x v="3"/>
    <s v="NF4367"/>
    <n v="919"/>
    <x v="4"/>
    <n v="0"/>
    <x v="3"/>
    <x v="1"/>
    <x v="4"/>
    <x v="1"/>
    <x v="1"/>
  </r>
  <r>
    <d v="2019-01-12T23:10:46"/>
    <d v="2018-11-27T00:00:00"/>
    <d v="2019-01-12T23:10:46"/>
    <x v="0"/>
    <x v="1"/>
    <s v="NF8386"/>
    <n v="4801"/>
    <x v="6"/>
    <n v="2019"/>
    <x v="3"/>
    <x v="1"/>
    <x v="5"/>
    <x v="2"/>
    <x v="0"/>
  </r>
  <r>
    <s v=""/>
    <d v="2018-11-30T00:00:00"/>
    <d v="2018-12-21T06:25:18"/>
    <x v="0"/>
    <x v="2"/>
    <s v="NF5922"/>
    <n v="4639"/>
    <x v="4"/>
    <n v="0"/>
    <x v="3"/>
    <x v="1"/>
    <x v="4"/>
    <x v="1"/>
    <x v="1"/>
  </r>
  <r>
    <d v="2019-03-20T03:24:50"/>
    <d v="2018-12-06T00:00:00"/>
    <d v="2019-01-22T09:22:29"/>
    <x v="0"/>
    <x v="1"/>
    <s v="NF9970"/>
    <n v="1209"/>
    <x v="7"/>
    <n v="2019"/>
    <x v="4"/>
    <x v="1"/>
    <x v="5"/>
    <x v="2"/>
    <x v="0"/>
  </r>
  <r>
    <s v=""/>
    <d v="2018-12-10T00:00:00"/>
    <d v="2019-01-12T04:05:06"/>
    <x v="0"/>
    <x v="2"/>
    <s v="NF1938"/>
    <n v="483"/>
    <x v="4"/>
    <n v="0"/>
    <x v="4"/>
    <x v="1"/>
    <x v="5"/>
    <x v="2"/>
    <x v="1"/>
  </r>
  <r>
    <d v="2019-01-04T09:42:41"/>
    <d v="2018-12-17T00:00:00"/>
    <d v="2019-01-04T09:42:41"/>
    <x v="0"/>
    <x v="1"/>
    <s v="NF7772"/>
    <n v="373"/>
    <x v="6"/>
    <n v="2019"/>
    <x v="4"/>
    <x v="1"/>
    <x v="5"/>
    <x v="2"/>
    <x v="0"/>
  </r>
  <r>
    <d v="2018-12-25T16:39:40"/>
    <d v="2018-12-20T00:00:00"/>
    <d v="2018-12-25T16:39:40"/>
    <x v="0"/>
    <x v="0"/>
    <s v="NF9932"/>
    <n v="2088"/>
    <x v="3"/>
    <n v="2018"/>
    <x v="4"/>
    <x v="1"/>
    <x v="4"/>
    <x v="1"/>
    <x v="0"/>
  </r>
  <r>
    <d v="2019-02-01T19:36:46"/>
    <d v="2018-12-21T00:00:00"/>
    <d v="2019-02-01T19:36:46"/>
    <x v="0"/>
    <x v="2"/>
    <s v="NF2970"/>
    <n v="1168"/>
    <x v="5"/>
    <n v="2019"/>
    <x v="4"/>
    <x v="1"/>
    <x v="6"/>
    <x v="2"/>
    <x v="0"/>
  </r>
  <r>
    <d v="2019-03-26T21:47:46"/>
    <d v="2018-12-23T00:00:00"/>
    <d v="2019-01-28T21:24:55"/>
    <x v="0"/>
    <x v="2"/>
    <s v="NF4423"/>
    <n v="4429"/>
    <x v="7"/>
    <n v="2019"/>
    <x v="4"/>
    <x v="1"/>
    <x v="5"/>
    <x v="2"/>
    <x v="0"/>
  </r>
  <r>
    <d v="2019-02-23T16:37:34"/>
    <d v="2018-12-28T00:00:00"/>
    <d v="2019-02-23T16:37:34"/>
    <x v="0"/>
    <x v="1"/>
    <s v="NF9682"/>
    <n v="4955"/>
    <x v="5"/>
    <n v="2019"/>
    <x v="4"/>
    <x v="1"/>
    <x v="6"/>
    <x v="2"/>
    <x v="0"/>
  </r>
  <r>
    <d v="2019-01-19T02:05:23"/>
    <d v="2018-12-31T00:00:00"/>
    <d v="2019-01-18T02:10:28"/>
    <x v="0"/>
    <x v="1"/>
    <s v="NF7840"/>
    <n v="3201"/>
    <x v="6"/>
    <n v="2019"/>
    <x v="4"/>
    <x v="1"/>
    <x v="5"/>
    <x v="2"/>
    <x v="0"/>
  </r>
  <r>
    <d v="2019-02-15T16:37:04"/>
    <d v="2019-01-04T00:00:00"/>
    <d v="2019-02-15T16:37:04"/>
    <x v="0"/>
    <x v="4"/>
    <s v="NF4946"/>
    <n v="3007"/>
    <x v="5"/>
    <n v="2019"/>
    <x v="5"/>
    <x v="2"/>
    <x v="6"/>
    <x v="2"/>
    <x v="0"/>
  </r>
  <r>
    <d v="2019-02-15T02:44:50"/>
    <d v="2019-01-08T00:00:00"/>
    <d v="2019-02-15T02:44:50"/>
    <x v="0"/>
    <x v="2"/>
    <s v="NF6806"/>
    <n v="900"/>
    <x v="5"/>
    <n v="2019"/>
    <x v="5"/>
    <x v="2"/>
    <x v="6"/>
    <x v="2"/>
    <x v="0"/>
  </r>
  <r>
    <d v="2019-02-13T05:18:28"/>
    <d v="2019-01-13T00:00:00"/>
    <d v="2019-02-13T05:18:28"/>
    <x v="0"/>
    <x v="1"/>
    <s v="NF3882"/>
    <n v="2970"/>
    <x v="5"/>
    <n v="2019"/>
    <x v="5"/>
    <x v="2"/>
    <x v="6"/>
    <x v="2"/>
    <x v="0"/>
  </r>
  <r>
    <d v="2019-05-16T18:46:13"/>
    <d v="2019-01-17T00:00:00"/>
    <d v="2019-03-14T13:02:36"/>
    <x v="0"/>
    <x v="3"/>
    <s v="NF1850"/>
    <n v="4993"/>
    <x v="8"/>
    <n v="2019"/>
    <x v="5"/>
    <x v="2"/>
    <x v="7"/>
    <x v="2"/>
    <x v="0"/>
  </r>
  <r>
    <d v="2019-01-20T22:55:55"/>
    <d v="2019-01-20T00:00:00"/>
    <d v="2019-01-20T22:55:55"/>
    <x v="0"/>
    <x v="2"/>
    <s v="NF7979"/>
    <n v="1664"/>
    <x v="6"/>
    <n v="2019"/>
    <x v="5"/>
    <x v="2"/>
    <x v="5"/>
    <x v="2"/>
    <x v="0"/>
  </r>
  <r>
    <d v="2019-02-26T14:45:57"/>
    <d v="2019-01-21T00:00:00"/>
    <d v="2019-02-26T14:45:57"/>
    <x v="0"/>
    <x v="1"/>
    <s v="NF1547"/>
    <n v="1815"/>
    <x v="5"/>
    <n v="2019"/>
    <x v="5"/>
    <x v="2"/>
    <x v="6"/>
    <x v="2"/>
    <x v="0"/>
  </r>
  <r>
    <d v="2019-02-09T01:03:10"/>
    <d v="2019-01-23T00:00:00"/>
    <d v="2019-02-09T01:03:10"/>
    <x v="0"/>
    <x v="4"/>
    <s v="NF2309"/>
    <n v="3752"/>
    <x v="5"/>
    <n v="2019"/>
    <x v="5"/>
    <x v="2"/>
    <x v="6"/>
    <x v="2"/>
    <x v="0"/>
  </r>
  <r>
    <d v="2019-02-17T10:09:23"/>
    <d v="2019-01-27T00:00:00"/>
    <d v="2019-02-17T10:09:23"/>
    <x v="0"/>
    <x v="1"/>
    <s v="NF5791"/>
    <n v="177"/>
    <x v="5"/>
    <n v="2019"/>
    <x v="5"/>
    <x v="2"/>
    <x v="6"/>
    <x v="2"/>
    <x v="0"/>
  </r>
  <r>
    <d v="2019-02-17T09:41:51"/>
    <d v="2019-01-29T00:00:00"/>
    <d v="2019-02-17T09:41:51"/>
    <x v="0"/>
    <x v="1"/>
    <s v="NF2982"/>
    <n v="3619"/>
    <x v="5"/>
    <n v="2019"/>
    <x v="5"/>
    <x v="2"/>
    <x v="6"/>
    <x v="2"/>
    <x v="0"/>
  </r>
  <r>
    <d v="2019-03-10T23:45:15"/>
    <d v="2019-02-02T00:00:00"/>
    <d v="2019-03-10T23:45:15"/>
    <x v="0"/>
    <x v="4"/>
    <s v="NF1796"/>
    <n v="4030"/>
    <x v="7"/>
    <n v="2019"/>
    <x v="6"/>
    <x v="2"/>
    <x v="7"/>
    <x v="2"/>
    <x v="0"/>
  </r>
  <r>
    <d v="2019-02-16T21:15:54"/>
    <d v="2019-02-05T00:00:00"/>
    <d v="2019-02-16T21:15:54"/>
    <x v="0"/>
    <x v="4"/>
    <s v="NF2396"/>
    <n v="4157"/>
    <x v="5"/>
    <n v="2019"/>
    <x v="6"/>
    <x v="2"/>
    <x v="6"/>
    <x v="2"/>
    <x v="0"/>
  </r>
  <r>
    <d v="2019-03-08T19:47:59"/>
    <d v="2019-02-06T00:00:00"/>
    <d v="2019-03-08T19:47:59"/>
    <x v="0"/>
    <x v="0"/>
    <s v="NF8281"/>
    <n v="1417"/>
    <x v="7"/>
    <n v="2019"/>
    <x v="6"/>
    <x v="2"/>
    <x v="7"/>
    <x v="2"/>
    <x v="0"/>
  </r>
  <r>
    <d v="2019-03-16T07:28:02"/>
    <d v="2019-02-09T00:00:00"/>
    <d v="2019-03-16T07:28:02"/>
    <x v="0"/>
    <x v="2"/>
    <s v="NF3155"/>
    <n v="1117"/>
    <x v="7"/>
    <n v="2019"/>
    <x v="6"/>
    <x v="2"/>
    <x v="7"/>
    <x v="2"/>
    <x v="0"/>
  </r>
  <r>
    <d v="2019-03-17T15:39:40"/>
    <d v="2019-02-10T00:00:00"/>
    <d v="2019-03-17T15:39:40"/>
    <x v="0"/>
    <x v="3"/>
    <s v="NF4849"/>
    <n v="4461"/>
    <x v="7"/>
    <n v="2019"/>
    <x v="6"/>
    <x v="2"/>
    <x v="7"/>
    <x v="2"/>
    <x v="0"/>
  </r>
  <r>
    <d v="2019-04-05T01:14:25"/>
    <d v="2019-02-12T00:00:00"/>
    <d v="2019-03-30T02:17:21"/>
    <x v="0"/>
    <x v="1"/>
    <s v="NF4647"/>
    <n v="3732"/>
    <x v="9"/>
    <n v="2019"/>
    <x v="6"/>
    <x v="2"/>
    <x v="7"/>
    <x v="2"/>
    <x v="0"/>
  </r>
  <r>
    <d v="2019-02-16T10:14:23"/>
    <d v="2019-02-13T00:00:00"/>
    <d v="2019-02-16T10:14:23"/>
    <x v="0"/>
    <x v="2"/>
    <s v="NF9056"/>
    <n v="2024"/>
    <x v="5"/>
    <n v="2019"/>
    <x v="6"/>
    <x v="2"/>
    <x v="6"/>
    <x v="2"/>
    <x v="0"/>
  </r>
  <r>
    <s v=""/>
    <d v="2019-02-16T00:00:00"/>
    <d v="2019-04-15T04:56:28"/>
    <x v="0"/>
    <x v="1"/>
    <s v="NF4097"/>
    <n v="928"/>
    <x v="4"/>
    <n v="0"/>
    <x v="6"/>
    <x v="2"/>
    <x v="8"/>
    <x v="2"/>
    <x v="1"/>
  </r>
  <r>
    <d v="2019-04-05T01:36:02"/>
    <d v="2019-02-17T00:00:00"/>
    <d v="2019-04-05T01:36:02"/>
    <x v="0"/>
    <x v="1"/>
    <s v="NF9792"/>
    <n v="3557"/>
    <x v="9"/>
    <n v="2019"/>
    <x v="6"/>
    <x v="2"/>
    <x v="8"/>
    <x v="2"/>
    <x v="0"/>
  </r>
  <r>
    <d v="2019-03-16T19:41:49"/>
    <d v="2019-02-18T00:00:00"/>
    <d v="2019-03-16T19:41:49"/>
    <x v="0"/>
    <x v="2"/>
    <s v="NF1943"/>
    <n v="741"/>
    <x v="7"/>
    <n v="2019"/>
    <x v="6"/>
    <x v="2"/>
    <x v="7"/>
    <x v="2"/>
    <x v="0"/>
  </r>
  <r>
    <d v="2019-03-24T05:21:02"/>
    <d v="2019-02-21T00:00:00"/>
    <d v="2019-03-24T05:21:02"/>
    <x v="0"/>
    <x v="2"/>
    <s v="NF5598"/>
    <n v="850"/>
    <x v="7"/>
    <n v="2019"/>
    <x v="6"/>
    <x v="2"/>
    <x v="7"/>
    <x v="2"/>
    <x v="0"/>
  </r>
  <r>
    <d v="2019-06-09T01:55:14"/>
    <d v="2019-02-26T00:00:00"/>
    <d v="2019-04-08T19:32:27"/>
    <x v="0"/>
    <x v="1"/>
    <s v="NF8881"/>
    <n v="4741"/>
    <x v="10"/>
    <n v="2019"/>
    <x v="6"/>
    <x v="2"/>
    <x v="8"/>
    <x v="2"/>
    <x v="0"/>
  </r>
  <r>
    <d v="2019-04-16T11:01:03"/>
    <d v="2019-03-01T00:00:00"/>
    <d v="2019-04-16T11:01:03"/>
    <x v="0"/>
    <x v="0"/>
    <s v="NF3500"/>
    <n v="471"/>
    <x v="9"/>
    <n v="2019"/>
    <x v="7"/>
    <x v="2"/>
    <x v="8"/>
    <x v="2"/>
    <x v="0"/>
  </r>
  <r>
    <d v="2019-05-05T00:09:47"/>
    <d v="2019-03-03T00:00:00"/>
    <d v="2019-04-13T17:11:44"/>
    <x v="0"/>
    <x v="0"/>
    <s v="NF3489"/>
    <n v="517"/>
    <x v="8"/>
    <n v="2019"/>
    <x v="7"/>
    <x v="2"/>
    <x v="8"/>
    <x v="2"/>
    <x v="0"/>
  </r>
  <r>
    <d v="2019-04-08T05:18:52"/>
    <d v="2019-03-10T00:00:00"/>
    <d v="2019-04-08T05:18:52"/>
    <x v="0"/>
    <x v="0"/>
    <s v="NF8682"/>
    <n v="3034"/>
    <x v="9"/>
    <n v="2019"/>
    <x v="7"/>
    <x v="2"/>
    <x v="8"/>
    <x v="2"/>
    <x v="0"/>
  </r>
  <r>
    <d v="2019-04-23T13:50:46"/>
    <d v="2019-03-13T00:00:00"/>
    <d v="2019-04-23T13:50:46"/>
    <x v="0"/>
    <x v="1"/>
    <s v="NF8525"/>
    <n v="3172"/>
    <x v="9"/>
    <n v="2019"/>
    <x v="7"/>
    <x v="2"/>
    <x v="8"/>
    <x v="2"/>
    <x v="0"/>
  </r>
  <r>
    <d v="2019-03-31T16:25:16"/>
    <d v="2019-03-19T00:00:00"/>
    <d v="2019-03-31T16:25:16"/>
    <x v="0"/>
    <x v="4"/>
    <s v="NF2006"/>
    <n v="2069"/>
    <x v="7"/>
    <n v="2019"/>
    <x v="7"/>
    <x v="2"/>
    <x v="7"/>
    <x v="2"/>
    <x v="0"/>
  </r>
  <r>
    <d v="2019-05-29T08:20:09"/>
    <d v="2019-03-21T00:00:00"/>
    <d v="2019-04-04T11:22:30"/>
    <x v="0"/>
    <x v="4"/>
    <s v="NF7648"/>
    <n v="3849"/>
    <x v="8"/>
    <n v="2019"/>
    <x v="7"/>
    <x v="2"/>
    <x v="8"/>
    <x v="2"/>
    <x v="0"/>
  </r>
  <r>
    <d v="2019-06-06T15:52:07"/>
    <d v="2019-03-27T00:00:00"/>
    <d v="2019-05-01T01:07:37"/>
    <x v="0"/>
    <x v="2"/>
    <s v="NF6770"/>
    <n v="4141"/>
    <x v="10"/>
    <n v="2019"/>
    <x v="7"/>
    <x v="2"/>
    <x v="9"/>
    <x v="2"/>
    <x v="0"/>
  </r>
  <r>
    <s v=""/>
    <d v="2019-03-28T00:00:00"/>
    <d v="2019-05-01T21:23:18"/>
    <x v="0"/>
    <x v="2"/>
    <s v="NF2352"/>
    <n v="1348"/>
    <x v="4"/>
    <n v="0"/>
    <x v="7"/>
    <x v="2"/>
    <x v="9"/>
    <x v="2"/>
    <x v="1"/>
  </r>
  <r>
    <d v="2019-04-24T13:27:37"/>
    <d v="2019-04-03T00:00:00"/>
    <d v="2019-04-24T13:27:37"/>
    <x v="0"/>
    <x v="1"/>
    <s v="NF4686"/>
    <n v="1738"/>
    <x v="9"/>
    <n v="2019"/>
    <x v="8"/>
    <x v="2"/>
    <x v="8"/>
    <x v="2"/>
    <x v="0"/>
  </r>
  <r>
    <d v="2019-05-31T22:15:59"/>
    <d v="2019-04-06T00:00:00"/>
    <d v="2019-05-31T22:15:59"/>
    <x v="0"/>
    <x v="1"/>
    <s v="NF9108"/>
    <n v="732"/>
    <x v="8"/>
    <n v="2019"/>
    <x v="8"/>
    <x v="2"/>
    <x v="9"/>
    <x v="2"/>
    <x v="0"/>
  </r>
  <r>
    <d v="2019-06-09T19:48:45"/>
    <d v="2019-04-07T00:00:00"/>
    <d v="2019-05-01T16:38:34"/>
    <x v="0"/>
    <x v="2"/>
    <s v="NF1934"/>
    <n v="373"/>
    <x v="10"/>
    <n v="2019"/>
    <x v="8"/>
    <x v="2"/>
    <x v="9"/>
    <x v="2"/>
    <x v="0"/>
  </r>
  <r>
    <d v="2019-08-03T02:13:16"/>
    <d v="2019-04-09T00:00:00"/>
    <d v="2019-05-24T04:50:10"/>
    <x v="0"/>
    <x v="0"/>
    <s v="NF5748"/>
    <n v="609"/>
    <x v="12"/>
    <n v="2019"/>
    <x v="8"/>
    <x v="2"/>
    <x v="9"/>
    <x v="2"/>
    <x v="0"/>
  </r>
  <r>
    <d v="2019-05-30T01:49:11"/>
    <d v="2019-04-12T00:00:00"/>
    <d v="2019-05-30T01:49:11"/>
    <x v="0"/>
    <x v="1"/>
    <s v="NF3443"/>
    <n v="2883"/>
    <x v="8"/>
    <n v="2019"/>
    <x v="8"/>
    <x v="2"/>
    <x v="9"/>
    <x v="2"/>
    <x v="0"/>
  </r>
  <r>
    <d v="2019-04-15T18:28:04"/>
    <d v="2019-04-14T00:00:00"/>
    <d v="2019-04-15T18:28:04"/>
    <x v="0"/>
    <x v="0"/>
    <s v="NF4433"/>
    <n v="4651"/>
    <x v="9"/>
    <n v="2019"/>
    <x v="8"/>
    <x v="2"/>
    <x v="8"/>
    <x v="2"/>
    <x v="0"/>
  </r>
  <r>
    <d v="2019-04-24T22:21:53"/>
    <d v="2019-04-18T00:00:00"/>
    <d v="2019-04-24T22:21:53"/>
    <x v="0"/>
    <x v="0"/>
    <s v="NF7700"/>
    <n v="4797"/>
    <x v="9"/>
    <n v="2019"/>
    <x v="8"/>
    <x v="2"/>
    <x v="8"/>
    <x v="2"/>
    <x v="0"/>
  </r>
  <r>
    <d v="2019-05-13T22:29:22"/>
    <d v="2019-04-20T00:00:00"/>
    <d v="2019-05-13T22:29:22"/>
    <x v="0"/>
    <x v="4"/>
    <s v="NF8475"/>
    <n v="1620"/>
    <x v="8"/>
    <n v="2019"/>
    <x v="8"/>
    <x v="2"/>
    <x v="9"/>
    <x v="2"/>
    <x v="0"/>
  </r>
  <r>
    <d v="2019-06-09T20:50:45"/>
    <d v="2019-04-27T00:00:00"/>
    <d v="2019-06-09T20:50:45"/>
    <x v="0"/>
    <x v="2"/>
    <s v="NF3694"/>
    <n v="245"/>
    <x v="10"/>
    <n v="2019"/>
    <x v="8"/>
    <x v="2"/>
    <x v="10"/>
    <x v="2"/>
    <x v="0"/>
  </r>
  <r>
    <d v="2019-05-10T23:40:58"/>
    <d v="2019-04-29T00:00:00"/>
    <d v="2019-05-10T23:40:58"/>
    <x v="0"/>
    <x v="1"/>
    <s v="NF5571"/>
    <n v="2091"/>
    <x v="8"/>
    <n v="2019"/>
    <x v="8"/>
    <x v="2"/>
    <x v="9"/>
    <x v="2"/>
    <x v="0"/>
  </r>
  <r>
    <d v="2019-05-09T10:26:18"/>
    <d v="2019-04-30T00:00:00"/>
    <d v="2019-05-09T10:26:18"/>
    <x v="0"/>
    <x v="1"/>
    <s v="NF7836"/>
    <n v="3200"/>
    <x v="8"/>
    <n v="2019"/>
    <x v="8"/>
    <x v="2"/>
    <x v="9"/>
    <x v="2"/>
    <x v="0"/>
  </r>
  <r>
    <d v="2019-05-19T01:37:55"/>
    <d v="2019-05-02T00:00:00"/>
    <d v="2019-05-19T01:37:55"/>
    <x v="0"/>
    <x v="2"/>
    <s v="NF7705"/>
    <n v="583"/>
    <x v="8"/>
    <n v="2019"/>
    <x v="9"/>
    <x v="2"/>
    <x v="9"/>
    <x v="2"/>
    <x v="0"/>
  </r>
  <r>
    <d v="2019-06-10T13:50:40"/>
    <d v="2019-05-05T00:00:00"/>
    <d v="2019-06-10T13:50:40"/>
    <x v="0"/>
    <x v="1"/>
    <s v="NF1629"/>
    <n v="4505"/>
    <x v="10"/>
    <n v="2019"/>
    <x v="9"/>
    <x v="2"/>
    <x v="10"/>
    <x v="2"/>
    <x v="0"/>
  </r>
  <r>
    <d v="2019-06-08T12:57:32"/>
    <d v="2019-05-07T00:00:00"/>
    <d v="2019-05-24T02:45:41"/>
    <x v="0"/>
    <x v="1"/>
    <s v="NF4027"/>
    <n v="343"/>
    <x v="10"/>
    <n v="2019"/>
    <x v="9"/>
    <x v="2"/>
    <x v="9"/>
    <x v="2"/>
    <x v="0"/>
  </r>
  <r>
    <d v="2019-05-18T16:19:11"/>
    <d v="2019-05-08T00:00:00"/>
    <d v="2019-05-18T16:19:11"/>
    <x v="0"/>
    <x v="0"/>
    <s v="NF7582"/>
    <n v="4510"/>
    <x v="8"/>
    <n v="2019"/>
    <x v="9"/>
    <x v="2"/>
    <x v="9"/>
    <x v="2"/>
    <x v="0"/>
  </r>
  <r>
    <s v=""/>
    <d v="2019-05-12T00:00:00"/>
    <d v="2019-05-20T09:30:20"/>
    <x v="0"/>
    <x v="1"/>
    <s v="NF7868"/>
    <n v="667"/>
    <x v="4"/>
    <n v="0"/>
    <x v="9"/>
    <x v="2"/>
    <x v="9"/>
    <x v="2"/>
    <x v="1"/>
  </r>
  <r>
    <d v="2019-06-15T04:03:49"/>
    <d v="2019-05-15T00:00:00"/>
    <d v="2019-06-15T04:03:49"/>
    <x v="0"/>
    <x v="1"/>
    <s v="NF6154"/>
    <n v="1006"/>
    <x v="10"/>
    <n v="2019"/>
    <x v="9"/>
    <x v="2"/>
    <x v="10"/>
    <x v="2"/>
    <x v="0"/>
  </r>
  <r>
    <d v="2019-08-09T15:25:27"/>
    <d v="2019-05-19T00:00:00"/>
    <d v="2019-06-19T21:04:28"/>
    <x v="0"/>
    <x v="2"/>
    <s v="NF5531"/>
    <n v="1071"/>
    <x v="12"/>
    <n v="2019"/>
    <x v="9"/>
    <x v="2"/>
    <x v="10"/>
    <x v="2"/>
    <x v="0"/>
  </r>
  <r>
    <d v="2019-06-14T06:55:19"/>
    <d v="2019-05-24T00:00:00"/>
    <d v="2019-06-14T06:55:19"/>
    <x v="0"/>
    <x v="4"/>
    <s v="NF9744"/>
    <n v="2194"/>
    <x v="10"/>
    <n v="2019"/>
    <x v="9"/>
    <x v="2"/>
    <x v="10"/>
    <x v="2"/>
    <x v="0"/>
  </r>
  <r>
    <d v="2019-05-26T20:19:16"/>
    <d v="2019-05-26T00:00:00"/>
    <d v="2019-05-26T20:19:16"/>
    <x v="0"/>
    <x v="1"/>
    <s v="NF1516"/>
    <n v="2531"/>
    <x v="8"/>
    <n v="2019"/>
    <x v="9"/>
    <x v="2"/>
    <x v="9"/>
    <x v="2"/>
    <x v="0"/>
  </r>
  <r>
    <d v="2019-08-31T16:25:56"/>
    <d v="2019-05-29T00:00:00"/>
    <d v="2019-07-09T05:14:28"/>
    <x v="0"/>
    <x v="0"/>
    <s v="NF2007"/>
    <n v="657"/>
    <x v="12"/>
    <n v="2019"/>
    <x v="9"/>
    <x v="2"/>
    <x v="11"/>
    <x v="2"/>
    <x v="0"/>
  </r>
  <r>
    <d v="2019-07-02T04:12:39"/>
    <d v="2019-05-30T00:00:00"/>
    <d v="2019-07-02T04:12:39"/>
    <x v="0"/>
    <x v="3"/>
    <s v="NF9904"/>
    <n v="4535"/>
    <x v="11"/>
    <n v="2019"/>
    <x v="9"/>
    <x v="2"/>
    <x v="11"/>
    <x v="2"/>
    <x v="0"/>
  </r>
  <r>
    <d v="2019-07-21T12:07:00"/>
    <d v="2019-06-04T00:00:00"/>
    <d v="2019-06-25T14:48:17"/>
    <x v="0"/>
    <x v="1"/>
    <s v="NF8631"/>
    <n v="1848"/>
    <x v="11"/>
    <n v="2019"/>
    <x v="10"/>
    <x v="2"/>
    <x v="10"/>
    <x v="2"/>
    <x v="0"/>
  </r>
  <r>
    <d v="2019-06-17T04:51:59"/>
    <d v="2019-06-09T00:00:00"/>
    <d v="2019-06-16T20:20:17"/>
    <x v="0"/>
    <x v="1"/>
    <s v="NF5098"/>
    <n v="191"/>
    <x v="10"/>
    <n v="2019"/>
    <x v="10"/>
    <x v="2"/>
    <x v="10"/>
    <x v="2"/>
    <x v="0"/>
  </r>
  <r>
    <s v=""/>
    <d v="2019-06-13T00:00:00"/>
    <d v="2019-07-22T22:11:49"/>
    <x v="0"/>
    <x v="3"/>
    <s v="NF8169"/>
    <n v="508"/>
    <x v="4"/>
    <n v="0"/>
    <x v="10"/>
    <x v="2"/>
    <x v="11"/>
    <x v="2"/>
    <x v="1"/>
  </r>
  <r>
    <d v="2019-07-17T14:30:41"/>
    <d v="2019-06-15T00:00:00"/>
    <d v="2019-07-17T14:30:41"/>
    <x v="0"/>
    <x v="4"/>
    <s v="NF4469"/>
    <n v="1482"/>
    <x v="11"/>
    <n v="2019"/>
    <x v="10"/>
    <x v="2"/>
    <x v="11"/>
    <x v="2"/>
    <x v="0"/>
  </r>
  <r>
    <d v="2019-07-01T14:28:40"/>
    <d v="2019-06-16T00:00:00"/>
    <d v="2019-07-01T14:28:40"/>
    <x v="0"/>
    <x v="2"/>
    <s v="NF6729"/>
    <n v="555"/>
    <x v="11"/>
    <n v="2019"/>
    <x v="10"/>
    <x v="2"/>
    <x v="11"/>
    <x v="2"/>
    <x v="0"/>
  </r>
  <r>
    <d v="2019-10-03T03:26:59"/>
    <d v="2019-06-20T00:00:00"/>
    <d v="2019-08-10T13:42:12"/>
    <x v="0"/>
    <x v="3"/>
    <s v="NF3586"/>
    <n v="1906"/>
    <x v="1"/>
    <n v="2019"/>
    <x v="10"/>
    <x v="2"/>
    <x v="0"/>
    <x v="2"/>
    <x v="0"/>
  </r>
  <r>
    <d v="2019-06-29T06:28:21"/>
    <d v="2019-06-25T00:00:00"/>
    <d v="2019-06-29T06:28:21"/>
    <x v="0"/>
    <x v="3"/>
    <s v="NF9837"/>
    <n v="450"/>
    <x v="10"/>
    <n v="2019"/>
    <x v="10"/>
    <x v="2"/>
    <x v="10"/>
    <x v="2"/>
    <x v="0"/>
  </r>
  <r>
    <s v=""/>
    <d v="2019-06-28T00:00:00"/>
    <d v="2019-07-16T06:26:47"/>
    <x v="0"/>
    <x v="1"/>
    <s v="NF6344"/>
    <n v="1479"/>
    <x v="4"/>
    <n v="0"/>
    <x v="10"/>
    <x v="2"/>
    <x v="11"/>
    <x v="2"/>
    <x v="1"/>
  </r>
  <r>
    <d v="2019-09-19T08:33:43"/>
    <d v="2019-06-29T00:00:00"/>
    <d v="2019-07-01T19:32:54"/>
    <x v="0"/>
    <x v="1"/>
    <s v="NF3701"/>
    <n v="3446"/>
    <x v="0"/>
    <n v="2019"/>
    <x v="10"/>
    <x v="2"/>
    <x v="1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823710-C6BB-4475-A1B2-6D7769B6954C}" name="TdDetalhaReceita" cacheId="48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B6:G14" firstHeaderRow="1" firstDataRow="2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h="1" x="9"/>
        <item h="1" x="10"/>
        <item h="1" x="11"/>
        <item h="1" x="0"/>
        <item h="1" x="1"/>
        <item h="1" x="2"/>
        <item h="1" x="3"/>
        <item h="1"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pageFields count="1">
    <pageField fld="10" item="2" hier="-1"/>
  </pageFields>
  <dataFields count="1">
    <dataField name="Soma de Valor" fld="6" baseField="4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22BAB8-489C-4507-B19B-3CFFC55B433F}" name="TdDetalhaDespesa" cacheId="25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B6:F14" firstHeaderRow="1" firstDataRow="3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h="1" x="5"/>
        <item x="6"/>
        <item h="1" x="7"/>
        <item h="1" x="8"/>
        <item h="1" x="9"/>
        <item h="1" x="10"/>
        <item h="1" x="11"/>
        <item h="1" x="0"/>
        <item h="1" x="1"/>
        <item h="1" x="2"/>
        <item h="1" x="3"/>
        <item h="1" x="4"/>
        <item t="default"/>
      </items>
    </pivotField>
    <pivotField axis="axisPage" dataField="1" showAll="0">
      <items count="4">
        <item x="0"/>
        <item x="1"/>
        <item x="2"/>
        <item t="default"/>
      </items>
    </pivotField>
    <pivotField showAll="0"/>
    <pivotField showAll="0"/>
  </pivotFields>
  <rowFields count="2">
    <field x="3"/>
    <field x="4"/>
  </rowFields>
  <rowItems count="6">
    <i>
      <x/>
    </i>
    <i r="1">
      <x/>
    </i>
    <i r="1">
      <x v="1"/>
    </i>
    <i r="1">
      <x v="2"/>
    </i>
    <i r="1">
      <x v="4"/>
    </i>
    <i t="grand">
      <x/>
    </i>
  </rowItems>
  <colFields count="2">
    <field x="9"/>
    <field x="-2"/>
  </colFields>
  <colItems count="4">
    <i>
      <x v="1"/>
      <x/>
    </i>
    <i r="1" i="1">
      <x v="1"/>
    </i>
    <i t="grand">
      <x/>
    </i>
    <i t="grand" i="1">
      <x/>
    </i>
  </colItems>
  <pageFields count="1">
    <pageField fld="10" item="1" hier="-1"/>
  </pageFields>
  <dataFields count="2">
    <dataField name="Soma de Ano Competência" fld="10" baseField="0" baseItem="0"/>
    <dataField name="Soma de Valor" fld="6" baseField="4" baseItem="1" numFmtId="4"/>
  </dataFields>
  <formats count="2">
    <format dxfId="13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2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13D0CA-F1E8-4BEC-8EF9-8413D9302807}" name="TdContasPagar" cacheId="25" applyNumberFormats="0" applyBorderFormats="0" applyFontFormats="0" applyPatternFormats="0" applyAlignmentFormats="0" applyWidthHeightFormats="1" dataCaption="Valores" updatedVersion="8" minRefreshableVersion="3" colGrandTotals="0" itemPrintTitles="1" createdVersion="8" indent="0" outline="1" outlineData="1" multipleFieldFilters="0">
  <location ref="B6:G12" firstHeaderRow="1" firstDataRow="3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44" showAll="0"/>
    <pivotField axis="axisCol" showAll="0">
      <items count="14">
        <item x="2"/>
        <item h="1" x="4"/>
        <item h="1" x="5"/>
        <item h="1" x="7"/>
        <item h="1" x="9"/>
        <item h="1" x="8"/>
        <item h="1" x="11"/>
        <item h="1" x="10"/>
        <item h="1" x="12"/>
        <item h="1" x="1"/>
        <item h="1" x="0"/>
        <item h="1" x="3"/>
        <item h="1" x="6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axis="axisCol" showAll="0">
      <items count="13">
        <item x="4"/>
        <item x="5"/>
        <item x="6"/>
        <item x="7"/>
        <item x="8"/>
        <item x="9"/>
        <item x="10"/>
        <item x="11"/>
        <item x="1"/>
        <item x="0"/>
        <item x="2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</pivotFields>
  <rowFields count="2">
    <field x="3"/>
    <field x="4"/>
  </rowFields>
  <rowItems count="4">
    <i>
      <x/>
    </i>
    <i r="1">
      <x v="3"/>
    </i>
    <i r="1">
      <x v="4"/>
    </i>
    <i t="grand">
      <x/>
    </i>
  </rowItems>
  <colFields count="2">
    <field x="7"/>
    <field x="11"/>
  </colFields>
  <colItems count="5">
    <i>
      <x/>
      <x/>
    </i>
    <i r="1">
      <x v="3"/>
    </i>
    <i r="1">
      <x v="6"/>
    </i>
    <i r="1">
      <x v="7"/>
    </i>
    <i t="default">
      <x/>
    </i>
  </colItems>
  <pageFields count="1">
    <pageField fld="12" item="2" hier="-1"/>
  </pageFields>
  <dataFields count="1">
    <dataField name="Soma de Valor" fld="6" baseField="3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84DBD7-E6BC-47F1-B42B-1D2045440866}" name="TdContasReceber" cacheId="48" applyNumberFormats="0" applyBorderFormats="0" applyFontFormats="0" applyPatternFormats="0" applyAlignmentFormats="0" applyWidthHeightFormats="1" dataCaption="Valores" updatedVersion="8" minRefreshableVersion="3" colGrandTotals="0" itemPrintTitles="1" createdVersion="8" indent="0" outline="1" outlineData="1" multipleFieldFilters="0">
  <location ref="B6:G13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axis="axisCol" showAll="0">
      <items count="14">
        <item x="4"/>
        <item h="1" x="6"/>
        <item h="1" x="5"/>
        <item h="1" x="7"/>
        <item h="1" x="9"/>
        <item h="1" x="8"/>
        <item h="1" x="10"/>
        <item h="1" x="11"/>
        <item h="1" x="12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</pivotFields>
  <rowFields count="2">
    <field x="3"/>
    <field x="4"/>
  </rowFields>
  <rowItems count="5">
    <i>
      <x/>
    </i>
    <i r="1">
      <x/>
    </i>
    <i r="1">
      <x v="3"/>
    </i>
    <i r="1">
      <x v="4"/>
    </i>
    <i t="grand">
      <x/>
    </i>
  </rowItems>
  <colFields count="2">
    <field x="7"/>
    <field x="11"/>
  </colFields>
  <colItems count="5">
    <i>
      <x/>
      <x/>
    </i>
    <i r="1">
      <x v="3"/>
    </i>
    <i r="1">
      <x v="4"/>
    </i>
    <i r="1">
      <x v="6"/>
    </i>
    <i t="default">
      <x/>
    </i>
  </colItems>
  <pageFields count="1">
    <pageField fld="12" item="2" hier="-1"/>
  </pageFields>
  <dataFields count="1">
    <dataField name="Soma de Valor" fld="6" baseField="4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1E514C-E0E2-41AD-A0AA-39A744ECB964}" name="TdContasReceberVencidas" cacheId="48" applyNumberFormats="0" applyBorderFormats="0" applyFontFormats="0" applyPatternFormats="0" applyAlignmentFormats="0" applyWidthHeightFormats="1" dataCaption="Valores" updatedVersion="8" minRefreshableVersion="3" colGrandTotals="0" itemPrintTitles="1" createdVersion="8" indent="0" outline="1" outlineData="1" multipleFieldFilters="0">
  <location ref="B6:F13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3">
        <item h="1" sd="0" x="0"/>
        <item x="1"/>
        <item t="default"/>
      </items>
    </pivotField>
  </pivotFields>
  <rowFields count="2">
    <field x="3"/>
    <field x="4"/>
  </rowFields>
  <rowItems count="5">
    <i>
      <x/>
    </i>
    <i r="1">
      <x/>
    </i>
    <i r="1">
      <x v="1"/>
    </i>
    <i r="1">
      <x v="3"/>
    </i>
    <i t="grand">
      <x/>
    </i>
  </rowItems>
  <colFields count="2">
    <field x="13"/>
    <field x="9"/>
  </colFields>
  <colItems count="4">
    <i>
      <x v="1"/>
      <x v="8"/>
    </i>
    <i r="1">
      <x v="9"/>
    </i>
    <i r="1">
      <x v="10"/>
    </i>
    <i t="default">
      <x v="1"/>
    </i>
  </colItems>
  <pageFields count="1">
    <pageField fld="10" item="0" hier="-1"/>
  </pageFields>
  <dataFields count="1">
    <dataField name="Soma de Valor" fld="6" baseField="4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Competência" xr10:uid="{A93DC852-9D80-499C-96AB-C4CCF9836423}" sourceName="Mês Competência">
  <pivotTables>
    <pivotTable tabId="10" name="TdDetalhaReceita"/>
  </pivotTables>
  <data>
    <tabular pivotCacheId="816661254">
      <items count="12">
        <i x="5" s="1"/>
        <i x="6" s="1"/>
        <i x="7" s="1"/>
        <i x="8" s="1"/>
        <i x="9"/>
        <i x="10"/>
        <i x="11" nd="1"/>
        <i x="0" nd="1"/>
        <i x="1" nd="1"/>
        <i x="2" nd="1"/>
        <i x="3" nd="1"/>
        <i x="4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" xr10:uid="{6F17FEC0-ADF8-46F5-9495-1C94A701C491}" sourceName="Ano Competência">
  <pivotTables>
    <pivotTable tabId="10" name="TdDetalhaReceita"/>
  </pivotTables>
  <data>
    <tabular pivotCacheId="816661254">
      <items count="3">
        <i x="1"/>
        <i x="2" s="1"/>
        <i x="0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Competência1" xr10:uid="{E44BD54C-216E-4662-9DEB-E6CA2FF42326}" sourceName="Mês Competência">
  <pivotTables>
    <pivotTable tabId="11" name="TdDetalhaDespesa"/>
  </pivotTables>
  <data>
    <tabular pivotCacheId="149186519">
      <items count="12">
        <i x="5"/>
        <i x="6" s="1"/>
        <i x="7"/>
        <i x="8"/>
        <i x="9"/>
        <i x="10"/>
        <i x="11"/>
        <i x="0"/>
        <i x="1"/>
        <i x="2"/>
        <i x="3"/>
        <i x="4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1" xr10:uid="{D30E500F-C8FB-4FE1-87FE-7B956D14B592}" sourceName="Ano Competência">
  <pivotTables>
    <pivotTable tabId="11" name="TdDetalhaDespesa"/>
  </pivotTables>
  <data>
    <tabular pivotCacheId="149186519">
      <items count="3">
        <i x="1" s="1"/>
        <i x="2"/>
        <i x="0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Previsto" xr10:uid="{3D87EF7C-6EAC-425A-91D2-BB7B788B6651}" sourceName="Mês Previsto">
  <pivotTables>
    <pivotTable tabId="12" name="TdContasPagar"/>
  </pivotTables>
  <data>
    <tabular pivotCacheId="149186519">
      <items count="12">
        <i x="4" s="1"/>
        <i x="7" s="1"/>
        <i x="10" s="1"/>
        <i x="11" s="1"/>
        <i x="5" s="1" nd="1"/>
        <i x="6" s="1" nd="1"/>
        <i x="8" s="1" nd="1"/>
        <i x="9" s="1" nd="1"/>
        <i x="1" s="1" nd="1"/>
        <i x="0" s="1" nd="1"/>
        <i x="2" s="1" nd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Previsto" xr10:uid="{48ACBA85-C4EC-4FFD-B119-17DD911D270D}" sourceName="Ano Previsto">
  <pivotTables>
    <pivotTable tabId="12" name="TdContasPagar"/>
  </pivotTables>
  <data>
    <tabular pivotCacheId="149186519">
      <items count="3">
        <i x="0"/>
        <i x="1"/>
        <i x="2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Previsto1" xr10:uid="{D67BB349-6296-47B2-B467-5236268DC8B1}" sourceName="Mês Previsto">
  <pivotTables>
    <pivotTable tabId="13" name="TdContasReceber"/>
  </pivotTables>
  <data>
    <tabular pivotCacheId="816661254">
      <items count="12">
        <i x="5" s="1"/>
        <i x="8" s="1"/>
        <i x="9" s="1"/>
        <i x="11" s="1"/>
        <i x="6" s="1" nd="1"/>
        <i x="7" s="1" nd="1"/>
        <i x="10" s="1" nd="1"/>
        <i x="0" s="1" nd="1"/>
        <i x="1" s="1" nd="1"/>
        <i x="2" s="1" nd="1"/>
        <i x="3" s="1" nd="1"/>
        <i x="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Previsto1" xr10:uid="{E3DA5500-A31D-465D-BF9A-7319A62335EC}" sourceName="Ano Previsto">
  <pivotTables>
    <pivotTable tabId="13" name="TdContasReceber"/>
  </pivotTables>
  <data>
    <tabular pivotCacheId="816661254">
      <items count="3">
        <i x="0"/>
        <i x="1"/>
        <i x="2" s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2" xr10:uid="{2DE61BD3-6979-4D33-AA0D-FEB5C338A3E2}" sourceName="Ano Competência">
  <pivotTables>
    <pivotTable tabId="14" name="TdContasReceberVencidas"/>
  </pivotTables>
  <data>
    <tabular pivotCacheId="816661254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Competência" xr10:uid="{0403F6BD-3085-4929-AF61-28DB63324BD2}" cache="SegmentaçãodeDados_Mês_Competência" caption="Mês Competência" columnCount="6" rowHeight="234950"/>
  <slicer name="Ano Competência" xr10:uid="{733F3E31-2491-4447-AA59-F13649ED7D6D}" cache="SegmentaçãodeDados_Ano_Competência" caption="Ano Competência" columnCount="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Competência 1" xr10:uid="{E47EBFE5-F636-4C07-BCDB-1478F614AE9A}" cache="SegmentaçãodeDados_Mês_Competência1" caption="Mês Competência" columnCount="6" rowHeight="234950"/>
  <slicer name="Ano Competência 1" xr10:uid="{C60656D1-CB6E-47A2-8B27-D6D44E6CD639}" cache="SegmentaçãodeDados_Ano_Competência1" caption="Ano Competênci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Previsto" xr10:uid="{4916CB3B-2B7C-41C9-BBF7-E2B00F3648FE}" cache="SegmentaçãodeDados_Mês_Previsto" caption="Mês Previsto" columnCount="6" rowHeight="234950"/>
  <slicer name="Ano Previsto" xr10:uid="{8649D468-EFC0-45C0-841E-4200D4CEDAF9}" cache="SegmentaçãodeDados_Ano_Previsto" caption="Ano Previsto" columnCount="2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Previsto 1" xr10:uid="{851DE2E4-3FBD-4C7D-A118-B80E0F952589}" cache="SegmentaçãodeDados_Mês_Previsto1" caption="Mês Previsto" columnCount="6" rowHeight="234950"/>
  <slicer name="Ano Previsto 1" xr10:uid="{4E773F9E-2FB9-461A-85B6-47A6818A7599}" cache="SegmentaçãodeDados_Ano_Previsto1" caption="Ano Previsto" columnCount="2" rowHeight="23495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Competência 2" xr10:uid="{74C15E62-C531-4818-9AA3-CCABEF019E71}" cache="SegmentaçãodeDados_Ano_Competência2" caption="Ano Competência" columnCount="3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7BE30E-229B-4EF3-A997-6E7E4BBDDD0A}" name="TbPCEntradasN1" displayName="TbPCEntradasN1" ref="B4:B9" totalsRowShown="0" headerRowDxfId="40">
  <autoFilter ref="B4:B9" xr:uid="{1D7BE30E-229B-4EF3-A997-6E7E4BBDDD0A}"/>
  <tableColumns count="1">
    <tableColumn id="1" xr3:uid="{E1C9D888-13CB-4B74-92BA-0A52A98DB41E}" name="Nível 1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C8A08FB-77C8-4A0F-90F3-EC26CF34985D}" name="TbPCEntradasN2" displayName="TbPCEntradasN2" ref="B4:C13" totalsRowShown="0" headerRowDxfId="39">
  <autoFilter ref="B4:C13" xr:uid="{1C8A08FB-77C8-4A0F-90F3-EC26CF34985D}"/>
  <tableColumns count="2">
    <tableColumn id="1" xr3:uid="{3D2D3213-0E65-4E36-B30B-DA0C99872269}" name="Nível 1"/>
    <tableColumn id="2" xr3:uid="{3066601E-AC4E-4CC6-B89C-9DCCEA43FC4C}" name="Nível 2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6138B4F-322E-4A40-815F-12FAA78E05F6}" name="TbPCSaídasN1" displayName="TbPCSaídasN1" ref="B4:B10" totalsRowShown="0" headerRowDxfId="38">
  <autoFilter ref="B4:B10" xr:uid="{26138B4F-322E-4A40-815F-12FAA78E05F6}"/>
  <tableColumns count="1">
    <tableColumn id="1" xr3:uid="{18E6A164-1695-4095-8C50-C00A20C49DE3}" name="Nível 1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541C6FC-95C5-4E50-B3FD-6E039C4BD690}" name="TbPCSaídasN2" displayName="TbPCSaídasN2" ref="B4:C16" totalsRowShown="0" headerRowDxfId="37" tableBorderDxfId="36">
  <autoFilter ref="B4:C16" xr:uid="{0541C6FC-95C5-4E50-B3FD-6E039C4BD690}"/>
  <tableColumns count="2">
    <tableColumn id="1" xr3:uid="{B1A577B8-05F9-4ECE-A917-1C0A1540B52B}" name="Nível 1"/>
    <tableColumn id="2" xr3:uid="{631FD7C2-AA40-4A60-BC6D-F689999EA5C1}" name="Nível 2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25E2E95-0F78-4230-A750-657816DA3731}" name="TbRegistroEntradas" displayName="TbRegistroEntradas" ref="B3:Q234" totalsRowShown="0" headerRowDxfId="35">
  <autoFilter ref="B3:Q234" xr:uid="{E25E2E95-0F78-4230-A750-657816DA3731}"/>
  <tableColumns count="16">
    <tableColumn id="1" xr3:uid="{7A002DBB-EDA6-479A-AEA9-F8C9020C413B}" name="Data do Caixa Realizado" dataDxfId="34"/>
    <tableColumn id="2" xr3:uid="{44A9D0D4-99FB-46E1-9908-886FC55AE9EF}" name="Data da Competência" dataDxfId="33"/>
    <tableColumn id="3" xr3:uid="{3AD71C7F-8D58-47FD-97D5-C2F9E169D875}" name="Data do Caixa Previsto" dataDxfId="32"/>
    <tableColumn id="4" xr3:uid="{8BED8FB0-B56C-4F0F-9A02-E2F12E101E0D}" name="Conta Nível 1"/>
    <tableColumn id="5" xr3:uid="{50E7C0FC-6FE6-481B-BAD2-A4E296965C13}" name="Conta Nível 2"/>
    <tableColumn id="6" xr3:uid="{6A42913F-324B-4A91-9B40-E7AB19C0ECDE}" name="Histórico"/>
    <tableColumn id="7" xr3:uid="{CD1D043C-27A5-4A94-9E64-E9E8D6CA01D9}" name="Valor" dataDxfId="31"/>
    <tableColumn id="8" xr3:uid="{FA98AEA5-5448-4E36-A276-C41EF125EF06}" name="Mês Caixa" dataDxfId="23">
      <calculatedColumnFormula>IF(TbRegistroEntradas[[#This Row],[Data do Caixa Realizado]]="",0,MONTH(TbRegistroEntradas[[#This Row],[Data do Caixa Realizado]]))</calculatedColumnFormula>
    </tableColumn>
    <tableColumn id="9" xr3:uid="{EA7C37D5-2DF4-4D05-889F-13C7E21D1667}" name="Ano Caixa" dataDxfId="22">
      <calculatedColumnFormula>IF(TbRegistroEntradas[[#This Row],[Data do Caixa Realizado]]="",0,YEAR(TbRegistroEntradas[[#This Row],[Data do Caixa Realizado]]))</calculatedColumnFormula>
    </tableColumn>
    <tableColumn id="10" xr3:uid="{44D2BE93-73ED-42A5-BCB8-4704ECBC0359}" name="Mês Competência" dataDxfId="19">
      <calculatedColumnFormula>IF(TbRegistroEntradas[[#This Row],[Data da Competência]]="",0,MONTH(TbRegistroEntradas[[#This Row],[Data da Competência]]))</calculatedColumnFormula>
    </tableColumn>
    <tableColumn id="11" xr3:uid="{D51A0123-890B-4328-ACE7-BF1328099127}" name="Ano Competência" dataDxfId="18">
      <calculatedColumnFormula>IF(TbRegistroEntradas[[#This Row],[Data da Competência]]="",0,YEAR(TbRegistroEntradas[[#This Row],[Data da Competência]]))</calculatedColumnFormula>
    </tableColumn>
    <tableColumn id="14" xr3:uid="{60EAA2FE-B88D-4F12-A015-C206717734B1}" name="Mês Previsto" dataDxfId="11">
      <calculatedColumnFormula>IF(TbRegistroEntradas[[#This Row],[Data do Caixa Previsto]]="",0,MONTH(TbRegistroEntradas[[#This Row],[Data do Caixa Previsto]]))</calculatedColumnFormula>
    </tableColumn>
    <tableColumn id="15" xr3:uid="{13BEED16-7FFD-4309-9EDB-71A45C467094}" name="Ano Previsto" dataDxfId="10">
      <calculatedColumnFormula>IF(TbRegistroEntradas[[#This Row],[Data do Caixa Previsto]]="",0,YEAR(TbRegistroEntradas[[#This Row],[Data do Caixa Previsto]]))</calculatedColumnFormula>
    </tableColumn>
    <tableColumn id="16" xr3:uid="{2E27418C-7302-44DB-AAF2-EA038F5998B6}" name="Conta Vencida" dataDxfId="9">
      <calculatedColumnFormula>IF(AND(TbRegistroEntradas[[#This Row],[Data do Caixa Previsto]]&lt;TODAY(),TbRegistroEntradas[[#This Row],[Data do Caixa Realizado]]=""),"Vencida","Não Vencida")</calculatedColumnFormula>
    </tableColumn>
    <tableColumn id="17" xr3:uid="{355C57AD-00D9-4972-9AF4-88D5EA1CCEAD}" name="Venda à Vista" dataDxfId="8">
      <calculatedColumnFormula>IF(TbRegistroEntradas[[#This Row],[Data da Competência]]=TbRegistroEntradas[[#This Row],[Data do Caixa Previsto]],"Vista","Prazo")</calculatedColumnFormula>
    </tableColumn>
    <tableColumn id="18" xr3:uid="{CECB7418-0260-4F7D-ABA6-0D45E678DD6A}" name="Dias de Atraso" dataDxfId="7">
      <calculatedColumnFormula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calculatedColumnFormula>
    </tableColumn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6B1F54F-13E0-4EF9-9CF8-AF7E1003124A}" name="TbRegistroSaídas" displayName="TbRegistroSaídas" ref="B3:O232" totalsRowShown="0" headerRowDxfId="30" headerRowBorderDxfId="29" tableBorderDxfId="28">
  <autoFilter ref="B3:O232" xr:uid="{26B1F54F-13E0-4EF9-9CF8-AF7E1003124A}"/>
  <tableColumns count="14">
    <tableColumn id="1" xr3:uid="{A7333DC1-FC05-46AA-9880-6212ADBF9FF5}" name="Data do Caixa Realizado" dataDxfId="27"/>
    <tableColumn id="2" xr3:uid="{0F297BD8-FC91-4428-B64C-47770944FFD5}" name="Data da Competência" dataDxfId="26"/>
    <tableColumn id="3" xr3:uid="{D3B85428-D78A-4F6B-AF57-0656623A3E2E}" name="Data do Caixa Previsto" dataDxfId="25"/>
    <tableColumn id="4" xr3:uid="{245AB15F-EEDB-4411-8389-FB263D9386FE}" name="Conta Nível 1"/>
    <tableColumn id="5" xr3:uid="{AC7F30DF-DE49-4057-82C2-0C9276ED4201}" name="Conta Nível 2"/>
    <tableColumn id="6" xr3:uid="{891C3FE1-68E5-4B3A-99E7-995BDB4B634E}" name="Histórico"/>
    <tableColumn id="7" xr3:uid="{0E38351E-17FB-47BF-BDB7-B2DBDF7AEB2B}" name="Valor" dataDxfId="24"/>
    <tableColumn id="8" xr3:uid="{E1E83240-3025-4BEA-B90E-F1EADCFBDB3C}" name="Mês Caixa" dataDxfId="21">
      <calculatedColumnFormula>IF(TbRegistroSaídas[[#This Row],[Data do Caixa Realizado]]="",0,MONTH(TbRegistroSaídas[[#This Row],[Data do Caixa Realizado]]))</calculatedColumnFormula>
    </tableColumn>
    <tableColumn id="9" xr3:uid="{E4187CEE-BA0F-48EE-9345-A7EEB102C485}" name="Ano Caixa" dataDxfId="20">
      <calculatedColumnFormula>IF(TbRegistroSaídas[[#This Row],[Data do Caixa Realizado]]="",0,YEAR(TbRegistroSaídas[[#This Row],[Data do Caixa Realizado]]))</calculatedColumnFormula>
    </tableColumn>
    <tableColumn id="10" xr3:uid="{0CA0679A-19FF-43EF-9A0B-03DDEEEBB3C5}" name="Mês Competência" dataDxfId="17">
      <calculatedColumnFormula>IF(TbRegistroSaídas[[#This Row],[Data da Competência]]="",0,MONTH(TbRegistroSaídas[[#This Row],[Data da Competência]]))</calculatedColumnFormula>
    </tableColumn>
    <tableColumn id="11" xr3:uid="{756890C4-A60B-4A2F-B881-ED4F363D48DB}" name="Ano Competência" dataDxfId="16">
      <calculatedColumnFormula>IF(TbRegistroSaídas[[#This Row],[Data da Competência]]="",0,YEAR(TbRegistroSaídas[[#This Row],[Data da Competência]]))</calculatedColumnFormula>
    </tableColumn>
    <tableColumn id="12" xr3:uid="{14E05DCC-5F55-455B-9E9A-E520BD5E53A7}" name="Mês Previsto" dataDxfId="15">
      <calculatedColumnFormula>IF(TbRegistroSaídas[[#This Row],[Data do Caixa Previsto]]="",0,MONTH(TbRegistroSaídas[[#This Row],[Data do Caixa Previsto]]))</calculatedColumnFormula>
    </tableColumn>
    <tableColumn id="13" xr3:uid="{95DAC0A6-E9D6-4D36-A05D-050983382062}" name="Ano Previsto" dataDxfId="14">
      <calculatedColumnFormula>IF(TbRegistroSaídas[[#This Row],[Data do Caixa Previsto]]="",0,YEAR(TbRegistroSaídas[[#This Row],[Data do Caixa Previsto]]))</calculatedColumnFormula>
    </tableColumn>
    <tableColumn id="14" xr3:uid="{A7F6341A-8FAE-4BE9-AE6F-A8DE068D3BA3}" name="Dias de Atraso" dataDxfId="6">
      <calculatedColumnFormula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4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showGridLines="0" showRowColHeaders="0" workbookViewId="0">
      <selection activeCell="B8" sqref="B8"/>
    </sheetView>
  </sheetViews>
  <sheetFormatPr defaultColWidth="0" defaultRowHeight="14.4" x14ac:dyDescent="0.3"/>
  <cols>
    <col min="1" max="1" width="2.88671875" customWidth="1"/>
    <col min="2" max="2" width="40.6640625" customWidth="1"/>
    <col min="3" max="14" width="11.6640625" customWidth="1"/>
    <col min="15" max="15" width="2.5546875" customWidth="1"/>
    <col min="16" max="16384" width="9.109375" hidden="1"/>
  </cols>
  <sheetData>
    <row r="1" spans="1:14" ht="39.9" customHeight="1" x14ac:dyDescent="0.3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0</v>
      </c>
    </row>
    <row r="2" spans="1:14" ht="27" customHeight="1" x14ac:dyDescent="0.3"/>
    <row r="3" spans="1:14" ht="20.100000000000001" customHeight="1" x14ac:dyDescent="0.3">
      <c r="B3" s="4" t="s">
        <v>2</v>
      </c>
    </row>
    <row r="4" spans="1:14" ht="20.100000000000001" customHeight="1" x14ac:dyDescent="0.3">
      <c r="B4" s="159" t="s">
        <v>3</v>
      </c>
    </row>
    <row r="5" spans="1:14" ht="20.100000000000001" customHeight="1" x14ac:dyDescent="0.3"/>
    <row r="6" spans="1:14" ht="20.100000000000001" customHeight="1" x14ac:dyDescent="0.3"/>
    <row r="7" spans="1:14" ht="20.100000000000001" customHeight="1" x14ac:dyDescent="0.3">
      <c r="B7" s="4" t="s">
        <v>4</v>
      </c>
    </row>
    <row r="8" spans="1:14" ht="20.100000000000001" customHeight="1" x14ac:dyDescent="0.3">
      <c r="B8" s="159" t="s">
        <v>5</v>
      </c>
    </row>
    <row r="9" spans="1:14" ht="20.100000000000001" customHeight="1" x14ac:dyDescent="0.3"/>
    <row r="10" spans="1:14" ht="20.100000000000001" customHeight="1" x14ac:dyDescent="0.3"/>
    <row r="11" spans="1:14" ht="20.100000000000001" customHeight="1" x14ac:dyDescent="0.3"/>
    <row r="12" spans="1:14" ht="20.100000000000001" customHeight="1" x14ac:dyDescent="0.3"/>
    <row r="13" spans="1:14" ht="20.100000000000001" customHeight="1" x14ac:dyDescent="0.3"/>
    <row r="14" spans="1:14" ht="20.100000000000001" customHeight="1" x14ac:dyDescent="0.3"/>
    <row r="15" spans="1:14" ht="20.100000000000001" customHeight="1" x14ac:dyDescent="0.3"/>
    <row r="16" spans="1:14" ht="20.100000000000001" customHeight="1" x14ac:dyDescent="0.3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ht="20.100000000000001" customHeight="1" x14ac:dyDescent="0.3"/>
  </sheetData>
  <sheetProtection sheet="1" objects="1" scenarios="1" selectLockedCells="1"/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FD17"/>
  <sheetViews>
    <sheetView showGridLines="0" workbookViewId="0">
      <selection activeCell="J1" sqref="J1:J2"/>
    </sheetView>
  </sheetViews>
  <sheetFormatPr defaultColWidth="9.109375" defaultRowHeight="14.4" x14ac:dyDescent="0.3"/>
  <cols>
    <col min="1" max="1" width="2.88671875" customWidth="1"/>
    <col min="2" max="2" width="30.77734375" customWidth="1"/>
    <col min="3" max="15" width="11.77734375" customWidth="1"/>
    <col min="16" max="16382" width="9.109375" customWidth="1"/>
    <col min="16383" max="16383" width="2.44140625" customWidth="1"/>
    <col min="16384" max="16384" width="1.88671875" hidden="1" customWidth="1"/>
  </cols>
  <sheetData>
    <row r="1" spans="1:14" ht="39.9" customHeight="1" x14ac:dyDescent="0.3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15</v>
      </c>
    </row>
    <row r="2" spans="1:14" ht="83.4" customHeigh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20.100000000000001" customHeight="1" x14ac:dyDescent="0.3"/>
    <row r="4" spans="1:14" ht="20.100000000000001" customHeight="1" x14ac:dyDescent="0.3">
      <c r="B4" s="49" t="s">
        <v>541</v>
      </c>
      <c r="C4" s="50">
        <v>2019</v>
      </c>
    </row>
    <row r="5" spans="1:14" ht="20.100000000000001" customHeight="1" x14ac:dyDescent="0.3"/>
    <row r="6" spans="1:14" ht="20.100000000000001" customHeight="1" x14ac:dyDescent="0.3">
      <c r="B6" s="49" t="s">
        <v>545</v>
      </c>
      <c r="C6" s="49" t="s">
        <v>544</v>
      </c>
    </row>
    <row r="7" spans="1:14" ht="20.100000000000001" customHeight="1" x14ac:dyDescent="0.3">
      <c r="B7" s="49" t="s">
        <v>542</v>
      </c>
      <c r="C7">
        <v>1</v>
      </c>
      <c r="D7">
        <v>2</v>
      </c>
      <c r="E7">
        <v>3</v>
      </c>
      <c r="F7">
        <v>4</v>
      </c>
      <c r="G7" t="s">
        <v>543</v>
      </c>
    </row>
    <row r="8" spans="1:14" ht="20.100000000000001" customHeight="1" x14ac:dyDescent="0.3">
      <c r="B8" s="50" t="s">
        <v>27</v>
      </c>
      <c r="C8" s="52">
        <v>22897</v>
      </c>
      <c r="D8" s="52">
        <v>31755</v>
      </c>
      <c r="E8" s="52">
        <v>18601</v>
      </c>
      <c r="F8" s="52">
        <v>22939</v>
      </c>
      <c r="G8" s="52">
        <v>96192</v>
      </c>
    </row>
    <row r="9" spans="1:14" ht="20.100000000000001" customHeight="1" x14ac:dyDescent="0.3">
      <c r="B9" s="51" t="s">
        <v>33</v>
      </c>
      <c r="C9" s="52">
        <v>4993</v>
      </c>
      <c r="D9" s="52">
        <v>4461</v>
      </c>
      <c r="E9" s="52"/>
      <c r="F9" s="52"/>
      <c r="G9" s="52">
        <v>9454</v>
      </c>
    </row>
    <row r="10" spans="1:14" ht="20.100000000000001" customHeight="1" x14ac:dyDescent="0.3">
      <c r="B10" s="51" t="s">
        <v>34</v>
      </c>
      <c r="C10" s="52"/>
      <c r="D10" s="52">
        <v>1417</v>
      </c>
      <c r="E10" s="52">
        <v>4022</v>
      </c>
      <c r="F10" s="52">
        <v>10057</v>
      </c>
      <c r="G10" s="52">
        <v>15496</v>
      </c>
    </row>
    <row r="11" spans="1:14" ht="20.100000000000001" customHeight="1" x14ac:dyDescent="0.3">
      <c r="B11" s="51" t="s">
        <v>35</v>
      </c>
      <c r="C11" s="52">
        <v>6759</v>
      </c>
      <c r="D11" s="52">
        <v>8187</v>
      </c>
      <c r="E11" s="52">
        <v>5918</v>
      </c>
      <c r="F11" s="52">
        <v>1620</v>
      </c>
      <c r="G11" s="52">
        <v>22484</v>
      </c>
    </row>
    <row r="12" spans="1:14" ht="20.100000000000001" customHeight="1" x14ac:dyDescent="0.3">
      <c r="B12" s="51" t="s">
        <v>36</v>
      </c>
      <c r="C12" s="52">
        <v>8581</v>
      </c>
      <c r="D12" s="52">
        <v>12958</v>
      </c>
      <c r="E12" s="52">
        <v>3172</v>
      </c>
      <c r="F12" s="52">
        <v>10644</v>
      </c>
      <c r="G12" s="52">
        <v>35355</v>
      </c>
    </row>
    <row r="13" spans="1:14" ht="20.100000000000001" customHeight="1" x14ac:dyDescent="0.3">
      <c r="B13" s="51" t="s">
        <v>37</v>
      </c>
      <c r="C13" s="52">
        <v>2564</v>
      </c>
      <c r="D13" s="52">
        <v>4732</v>
      </c>
      <c r="E13" s="52">
        <v>5489</v>
      </c>
      <c r="F13" s="52">
        <v>618</v>
      </c>
      <c r="G13" s="52">
        <v>13403</v>
      </c>
    </row>
    <row r="14" spans="1:14" ht="20.100000000000001" customHeight="1" x14ac:dyDescent="0.3">
      <c r="B14" s="50" t="s">
        <v>543</v>
      </c>
      <c r="C14" s="52">
        <v>22897</v>
      </c>
      <c r="D14" s="52">
        <v>31755</v>
      </c>
      <c r="E14" s="52">
        <v>18601</v>
      </c>
      <c r="F14" s="52">
        <v>22939</v>
      </c>
      <c r="G14" s="52">
        <v>96192</v>
      </c>
    </row>
    <row r="15" spans="1:14" ht="20.100000000000001" customHeight="1" x14ac:dyDescent="0.3"/>
    <row r="16" spans="1:14" ht="20.100000000000001" customHeight="1" x14ac:dyDescent="0.3"/>
    <row r="17" ht="20.100000000000001" customHeight="1" x14ac:dyDescent="0.3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FD17"/>
  <sheetViews>
    <sheetView showGridLines="0" workbookViewId="0">
      <selection activeCell="E7" sqref="E7"/>
    </sheetView>
  </sheetViews>
  <sheetFormatPr defaultColWidth="11.77734375" defaultRowHeight="14.4" x14ac:dyDescent="0.3"/>
  <cols>
    <col min="1" max="1" width="2.88671875" customWidth="1"/>
    <col min="2" max="2" width="30.77734375" customWidth="1"/>
    <col min="3" max="14" width="11.77734375" customWidth="1"/>
  </cols>
  <sheetData>
    <row r="1" spans="1:15" ht="39.9" customHeight="1" x14ac:dyDescent="0.3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16</v>
      </c>
    </row>
    <row r="2" spans="1:15" ht="79.8" customHeigh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20.100000000000001" customHeight="1" x14ac:dyDescent="0.3"/>
    <row r="4" spans="1:15" ht="20.100000000000001" customHeight="1" x14ac:dyDescent="0.3">
      <c r="B4" s="49" t="s">
        <v>541</v>
      </c>
      <c r="C4" s="50">
        <v>2018</v>
      </c>
    </row>
    <row r="5" spans="1:15" ht="20.100000000000001" customHeight="1" x14ac:dyDescent="0.3"/>
    <row r="6" spans="1:15" ht="20.100000000000001" customHeight="1" x14ac:dyDescent="0.3">
      <c r="C6" s="49" t="s">
        <v>544</v>
      </c>
    </row>
    <row r="7" spans="1:15" ht="20.100000000000001" customHeight="1" x14ac:dyDescent="0.3">
      <c r="C7">
        <v>2</v>
      </c>
      <c r="E7" s="57" t="s">
        <v>547</v>
      </c>
      <c r="F7" t="s">
        <v>548</v>
      </c>
    </row>
    <row r="8" spans="1:15" x14ac:dyDescent="0.3">
      <c r="B8" s="49" t="s">
        <v>542</v>
      </c>
      <c r="C8" t="s">
        <v>546</v>
      </c>
      <c r="D8" t="s">
        <v>545</v>
      </c>
      <c r="E8" s="54"/>
    </row>
    <row r="9" spans="1:15" ht="20.100000000000001" customHeight="1" x14ac:dyDescent="0.3">
      <c r="B9" s="50" t="s">
        <v>39</v>
      </c>
      <c r="C9" s="53">
        <v>16144</v>
      </c>
      <c r="D9" s="52">
        <v>25578</v>
      </c>
      <c r="E9" s="53">
        <v>16144</v>
      </c>
      <c r="F9" s="52">
        <v>25578</v>
      </c>
    </row>
    <row r="10" spans="1:15" ht="20.100000000000001" customHeight="1" x14ac:dyDescent="0.3">
      <c r="B10" s="51" t="s">
        <v>33</v>
      </c>
      <c r="C10" s="53">
        <v>2018</v>
      </c>
      <c r="D10" s="52">
        <v>3255</v>
      </c>
      <c r="E10" s="53">
        <v>2018</v>
      </c>
      <c r="F10" s="52">
        <v>3255</v>
      </c>
    </row>
    <row r="11" spans="1:15" ht="20.100000000000001" customHeight="1" x14ac:dyDescent="0.3">
      <c r="B11" s="51" t="s">
        <v>34</v>
      </c>
      <c r="C11" s="53">
        <v>4036</v>
      </c>
      <c r="D11" s="52">
        <v>8702</v>
      </c>
      <c r="E11" s="53">
        <v>4036</v>
      </c>
      <c r="F11" s="52">
        <v>8702</v>
      </c>
    </row>
    <row r="12" spans="1:15" ht="20.100000000000001" customHeight="1" x14ac:dyDescent="0.3">
      <c r="B12" s="51" t="s">
        <v>35</v>
      </c>
      <c r="C12" s="53">
        <v>4036</v>
      </c>
      <c r="D12" s="52">
        <v>3503</v>
      </c>
      <c r="E12" s="53">
        <v>4036</v>
      </c>
      <c r="F12" s="52">
        <v>3503</v>
      </c>
    </row>
    <row r="13" spans="1:15" ht="20.100000000000001" customHeight="1" x14ac:dyDescent="0.3">
      <c r="B13" s="51" t="s">
        <v>46</v>
      </c>
      <c r="C13" s="53">
        <v>6054</v>
      </c>
      <c r="D13" s="52">
        <v>10118</v>
      </c>
      <c r="E13" s="53">
        <v>6054</v>
      </c>
      <c r="F13" s="52">
        <v>10118</v>
      </c>
    </row>
    <row r="14" spans="1:15" ht="20.100000000000001" customHeight="1" x14ac:dyDescent="0.3">
      <c r="B14" s="50" t="s">
        <v>543</v>
      </c>
      <c r="C14" s="53">
        <v>16144</v>
      </c>
      <c r="D14" s="52">
        <v>25578</v>
      </c>
      <c r="E14" s="53">
        <v>16144</v>
      </c>
      <c r="F14" s="52">
        <v>25578</v>
      </c>
    </row>
    <row r="15" spans="1:15" ht="20.100000000000001" customHeight="1" x14ac:dyDescent="0.3"/>
    <row r="16" spans="1:15" ht="20.100000000000001" customHeight="1" x14ac:dyDescent="0.3"/>
    <row r="17" ht="20.100000000000001" customHeight="1" x14ac:dyDescent="0.3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7"/>
  <sheetViews>
    <sheetView showGridLines="0" workbookViewId="0">
      <selection activeCell="J7" sqref="J7"/>
    </sheetView>
  </sheetViews>
  <sheetFormatPr defaultColWidth="0" defaultRowHeight="14.4" x14ac:dyDescent="0.3"/>
  <cols>
    <col min="1" max="1" width="2.88671875" customWidth="1"/>
    <col min="2" max="2" width="30.77734375" customWidth="1"/>
    <col min="3" max="15" width="11.77734375" customWidth="1"/>
    <col min="16" max="16384" width="9.109375" hidden="1"/>
  </cols>
  <sheetData>
    <row r="1" spans="1:15" ht="39.9" customHeight="1" x14ac:dyDescent="0.3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17</v>
      </c>
    </row>
    <row r="2" spans="1:15" ht="81.599999999999994" customHeigh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20.100000000000001" customHeight="1" x14ac:dyDescent="0.3"/>
    <row r="4" spans="1:15" ht="20.100000000000001" customHeight="1" x14ac:dyDescent="0.3">
      <c r="B4" s="49" t="s">
        <v>549</v>
      </c>
      <c r="C4" s="50">
        <v>2019</v>
      </c>
    </row>
    <row r="5" spans="1:15" ht="20.100000000000001" customHeight="1" x14ac:dyDescent="0.3"/>
    <row r="6" spans="1:15" ht="20.100000000000001" customHeight="1" x14ac:dyDescent="0.3">
      <c r="B6" s="49" t="s">
        <v>545</v>
      </c>
      <c r="C6" s="49" t="s">
        <v>544</v>
      </c>
    </row>
    <row r="7" spans="1:15" ht="20.100000000000001" customHeight="1" x14ac:dyDescent="0.3">
      <c r="C7">
        <v>0</v>
      </c>
      <c r="G7" t="s">
        <v>551</v>
      </c>
    </row>
    <row r="8" spans="1:15" ht="20.100000000000001" customHeight="1" x14ac:dyDescent="0.3">
      <c r="B8" s="49" t="s">
        <v>542</v>
      </c>
      <c r="C8">
        <v>1</v>
      </c>
      <c r="D8">
        <v>4</v>
      </c>
      <c r="E8">
        <v>7</v>
      </c>
      <c r="F8">
        <v>8</v>
      </c>
    </row>
    <row r="9" spans="1:15" ht="20.100000000000001" customHeight="1" x14ac:dyDescent="0.3">
      <c r="B9" s="50" t="s">
        <v>39</v>
      </c>
      <c r="C9" s="52">
        <v>5159</v>
      </c>
      <c r="D9" s="52">
        <v>1753</v>
      </c>
      <c r="E9" s="52">
        <v>2338</v>
      </c>
      <c r="F9" s="52">
        <v>2759</v>
      </c>
      <c r="G9" s="52">
        <v>12009</v>
      </c>
    </row>
    <row r="10" spans="1:15" ht="20.100000000000001" customHeight="1" x14ac:dyDescent="0.3">
      <c r="B10" s="51" t="s">
        <v>37</v>
      </c>
      <c r="C10" s="52"/>
      <c r="D10" s="52">
        <v>1753</v>
      </c>
      <c r="E10" s="52"/>
      <c r="F10" s="52">
        <v>2759</v>
      </c>
      <c r="G10" s="52">
        <v>4512</v>
      </c>
    </row>
    <row r="11" spans="1:15" ht="20.100000000000001" customHeight="1" x14ac:dyDescent="0.3">
      <c r="B11" s="51" t="s">
        <v>46</v>
      </c>
      <c r="C11" s="52">
        <v>5159</v>
      </c>
      <c r="D11" s="52"/>
      <c r="E11" s="52">
        <v>2338</v>
      </c>
      <c r="F11" s="52"/>
      <c r="G11" s="52">
        <v>7497</v>
      </c>
    </row>
    <row r="12" spans="1:15" ht="20.100000000000001" customHeight="1" x14ac:dyDescent="0.3">
      <c r="B12" s="50" t="s">
        <v>543</v>
      </c>
      <c r="C12" s="52">
        <v>5159</v>
      </c>
      <c r="D12" s="52">
        <v>1753</v>
      </c>
      <c r="E12" s="52">
        <v>2338</v>
      </c>
      <c r="F12" s="52">
        <v>2759</v>
      </c>
      <c r="G12" s="52">
        <v>12009</v>
      </c>
    </row>
    <row r="13" spans="1:15" ht="20.100000000000001" customHeight="1" x14ac:dyDescent="0.3"/>
    <row r="14" spans="1:15" ht="20.100000000000001" customHeight="1" x14ac:dyDescent="0.3"/>
    <row r="15" spans="1:15" ht="20.100000000000001" customHeight="1" x14ac:dyDescent="0.3"/>
    <row r="16" spans="1:15" ht="20.100000000000001" customHeight="1" x14ac:dyDescent="0.3"/>
    <row r="17" ht="20.100000000000001" customHeight="1" x14ac:dyDescent="0.3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7"/>
  <sheetViews>
    <sheetView showGridLines="0" workbookViewId="0">
      <selection activeCell="E9" sqref="E9"/>
    </sheetView>
  </sheetViews>
  <sheetFormatPr defaultColWidth="0" defaultRowHeight="14.4" x14ac:dyDescent="0.3"/>
  <cols>
    <col min="1" max="1" width="2.88671875" customWidth="1"/>
    <col min="2" max="2" width="30.77734375" customWidth="1"/>
    <col min="3" max="15" width="11.77734375" customWidth="1"/>
    <col min="16" max="16384" width="9.109375" hidden="1"/>
  </cols>
  <sheetData>
    <row r="1" spans="1:15" ht="39.9" customHeight="1" x14ac:dyDescent="0.3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18</v>
      </c>
    </row>
    <row r="2" spans="1:15" ht="79.2" customHeigh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20.100000000000001" customHeight="1" x14ac:dyDescent="0.3"/>
    <row r="4" spans="1:15" ht="20.100000000000001" customHeight="1" x14ac:dyDescent="0.3">
      <c r="B4" s="49" t="s">
        <v>549</v>
      </c>
      <c r="C4" s="50">
        <v>2019</v>
      </c>
    </row>
    <row r="5" spans="1:15" ht="20.100000000000001" customHeight="1" x14ac:dyDescent="0.3"/>
    <row r="6" spans="1:15" ht="20.100000000000001" customHeight="1" x14ac:dyDescent="0.3">
      <c r="B6" s="49" t="s">
        <v>545</v>
      </c>
      <c r="C6" s="49" t="s">
        <v>544</v>
      </c>
    </row>
    <row r="7" spans="1:15" ht="20.100000000000001" customHeight="1" x14ac:dyDescent="0.3">
      <c r="C7">
        <v>0</v>
      </c>
      <c r="G7" t="s">
        <v>551</v>
      </c>
    </row>
    <row r="8" spans="1:15" ht="20.100000000000001" customHeight="1" x14ac:dyDescent="0.3">
      <c r="B8" s="49" t="s">
        <v>542</v>
      </c>
      <c r="C8">
        <v>1</v>
      </c>
      <c r="D8">
        <v>4</v>
      </c>
      <c r="E8">
        <v>5</v>
      </c>
      <c r="F8">
        <v>7</v>
      </c>
    </row>
    <row r="9" spans="1:15" ht="20.100000000000001" customHeight="1" x14ac:dyDescent="0.3">
      <c r="B9" s="50" t="s">
        <v>27</v>
      </c>
      <c r="C9" s="52">
        <v>483</v>
      </c>
      <c r="D9" s="52">
        <v>928</v>
      </c>
      <c r="E9" s="52">
        <v>2015</v>
      </c>
      <c r="F9" s="52">
        <v>1987</v>
      </c>
      <c r="G9" s="52">
        <v>5413</v>
      </c>
    </row>
    <row r="10" spans="1:15" ht="20.100000000000001" customHeight="1" x14ac:dyDescent="0.3">
      <c r="B10" s="51" t="s">
        <v>33</v>
      </c>
      <c r="C10" s="52"/>
      <c r="D10" s="52"/>
      <c r="E10" s="52"/>
      <c r="F10" s="52">
        <v>508</v>
      </c>
      <c r="G10" s="52">
        <v>508</v>
      </c>
    </row>
    <row r="11" spans="1:15" ht="20.100000000000001" customHeight="1" x14ac:dyDescent="0.3">
      <c r="B11" s="51" t="s">
        <v>36</v>
      </c>
      <c r="C11" s="52"/>
      <c r="D11" s="52">
        <v>928</v>
      </c>
      <c r="E11" s="52">
        <v>667</v>
      </c>
      <c r="F11" s="52">
        <v>1479</v>
      </c>
      <c r="G11" s="52">
        <v>3074</v>
      </c>
    </row>
    <row r="12" spans="1:15" ht="20.100000000000001" customHeight="1" x14ac:dyDescent="0.3">
      <c r="B12" s="51" t="s">
        <v>37</v>
      </c>
      <c r="C12" s="52">
        <v>483</v>
      </c>
      <c r="D12" s="52"/>
      <c r="E12" s="52">
        <v>1348</v>
      </c>
      <c r="F12" s="52"/>
      <c r="G12" s="52">
        <v>1831</v>
      </c>
    </row>
    <row r="13" spans="1:15" ht="20.100000000000001" customHeight="1" x14ac:dyDescent="0.3">
      <c r="B13" s="50" t="s">
        <v>543</v>
      </c>
      <c r="C13" s="52">
        <v>483</v>
      </c>
      <c r="D13" s="52">
        <v>928</v>
      </c>
      <c r="E13" s="52">
        <v>2015</v>
      </c>
      <c r="F13" s="52">
        <v>1987</v>
      </c>
      <c r="G13" s="52">
        <v>5413</v>
      </c>
    </row>
    <row r="14" spans="1:15" ht="20.100000000000001" customHeight="1" x14ac:dyDescent="0.3"/>
    <row r="15" spans="1:15" ht="20.100000000000001" customHeight="1" x14ac:dyDescent="0.3"/>
    <row r="16" spans="1:15" ht="20.100000000000001" customHeight="1" x14ac:dyDescent="0.3"/>
    <row r="17" ht="20.100000000000001" customHeight="1" x14ac:dyDescent="0.3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7"/>
  <sheetViews>
    <sheetView showGridLines="0" workbookViewId="0">
      <selection activeCell="H5" sqref="H5"/>
    </sheetView>
  </sheetViews>
  <sheetFormatPr defaultColWidth="0" defaultRowHeight="14.4" x14ac:dyDescent="0.3"/>
  <cols>
    <col min="1" max="1" width="2.88671875" customWidth="1"/>
    <col min="2" max="2" width="22.88671875" bestFit="1" customWidth="1"/>
    <col min="3" max="15" width="11.77734375" customWidth="1"/>
    <col min="16" max="16384" width="9.109375" hidden="1"/>
  </cols>
  <sheetData>
    <row r="1" spans="1:15" ht="39.9" customHeight="1" x14ac:dyDescent="0.3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19</v>
      </c>
    </row>
    <row r="2" spans="1:15" ht="66.599999999999994" customHeigh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8">
        <f ca="1">TODAY()</f>
        <v>45609</v>
      </c>
    </row>
    <row r="3" spans="1:15" ht="20.100000000000001" customHeight="1" x14ac:dyDescent="0.3"/>
    <row r="4" spans="1:15" ht="20.100000000000001" customHeight="1" x14ac:dyDescent="0.3">
      <c r="B4" s="49" t="s">
        <v>541</v>
      </c>
      <c r="C4" s="50">
        <v>2017</v>
      </c>
    </row>
    <row r="5" spans="1:15" ht="20.100000000000001" customHeight="1" x14ac:dyDescent="0.3"/>
    <row r="6" spans="1:15" ht="20.100000000000001" customHeight="1" x14ac:dyDescent="0.3">
      <c r="B6" s="49" t="s">
        <v>545</v>
      </c>
      <c r="C6" s="49" t="s">
        <v>544</v>
      </c>
    </row>
    <row r="7" spans="1:15" ht="20.100000000000001" customHeight="1" x14ac:dyDescent="0.3">
      <c r="C7" t="s">
        <v>553</v>
      </c>
      <c r="F7" t="s">
        <v>554</v>
      </c>
    </row>
    <row r="8" spans="1:15" ht="20.100000000000001" customHeight="1" x14ac:dyDescent="0.3">
      <c r="B8" s="49" t="s">
        <v>542</v>
      </c>
      <c r="C8">
        <v>9</v>
      </c>
      <c r="D8">
        <v>10</v>
      </c>
      <c r="E8">
        <v>11</v>
      </c>
    </row>
    <row r="9" spans="1:15" ht="20.100000000000001" customHeight="1" x14ac:dyDescent="0.3">
      <c r="B9" s="50" t="s">
        <v>27</v>
      </c>
      <c r="C9" s="52">
        <v>4983</v>
      </c>
      <c r="D9" s="52">
        <v>1171</v>
      </c>
      <c r="E9" s="52">
        <v>1284</v>
      </c>
      <c r="F9" s="52">
        <v>7438</v>
      </c>
    </row>
    <row r="10" spans="1:15" ht="20.100000000000001" customHeight="1" x14ac:dyDescent="0.3">
      <c r="B10" s="51" t="s">
        <v>33</v>
      </c>
      <c r="C10" s="52"/>
      <c r="D10" s="52"/>
      <c r="E10" s="52">
        <v>1284</v>
      </c>
      <c r="F10" s="52">
        <v>1284</v>
      </c>
    </row>
    <row r="11" spans="1:15" ht="20.100000000000001" customHeight="1" x14ac:dyDescent="0.3">
      <c r="B11" s="51" t="s">
        <v>34</v>
      </c>
      <c r="C11" s="52"/>
      <c r="D11" s="52">
        <v>1171</v>
      </c>
      <c r="E11" s="52"/>
      <c r="F11" s="52">
        <v>1171</v>
      </c>
    </row>
    <row r="12" spans="1:15" ht="20.100000000000001" customHeight="1" x14ac:dyDescent="0.3">
      <c r="B12" s="51" t="s">
        <v>36</v>
      </c>
      <c r="C12" s="52">
        <v>4983</v>
      </c>
      <c r="D12" s="52"/>
      <c r="E12" s="52"/>
      <c r="F12" s="52">
        <v>4983</v>
      </c>
    </row>
    <row r="13" spans="1:15" ht="20.100000000000001" customHeight="1" x14ac:dyDescent="0.3">
      <c r="B13" s="50" t="s">
        <v>543</v>
      </c>
      <c r="C13" s="52">
        <v>4983</v>
      </c>
      <c r="D13" s="52">
        <v>1171</v>
      </c>
      <c r="E13" s="52">
        <v>1284</v>
      </c>
      <c r="F13" s="52">
        <v>7438</v>
      </c>
    </row>
    <row r="14" spans="1:15" ht="20.100000000000001" customHeight="1" x14ac:dyDescent="0.3"/>
    <row r="15" spans="1:15" ht="20.100000000000001" customHeight="1" x14ac:dyDescent="0.3"/>
    <row r="16" spans="1:15" ht="20.100000000000001" customHeight="1" x14ac:dyDescent="0.3"/>
    <row r="17" ht="20.100000000000001" customHeight="1" x14ac:dyDescent="0.3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30"/>
  <sheetViews>
    <sheetView showGridLines="0" topLeftCell="A2" workbookViewId="0">
      <selection activeCell="K14" sqref="K14"/>
    </sheetView>
  </sheetViews>
  <sheetFormatPr defaultColWidth="0" defaultRowHeight="20.100000000000001" customHeight="1" x14ac:dyDescent="0.3"/>
  <cols>
    <col min="1" max="1" width="2.109375" style="60" customWidth="1"/>
    <col min="2" max="2" width="30.6640625" style="60" customWidth="1"/>
    <col min="3" max="3" width="1.6640625" style="60" customWidth="1"/>
    <col min="4" max="4" width="30.6640625" style="60" customWidth="1"/>
    <col min="5" max="5" width="5.6640625" style="60" customWidth="1"/>
    <col min="6" max="6" width="14.6640625" style="60" customWidth="1"/>
    <col min="7" max="7" width="17.88671875" style="60" customWidth="1"/>
    <col min="8" max="8" width="4.6640625" style="60" customWidth="1"/>
    <col min="9" max="9" width="34.44140625" style="60" customWidth="1"/>
    <col min="10" max="10" width="4.5546875" style="60" customWidth="1"/>
    <col min="11" max="11" width="37.6640625" style="60" customWidth="1"/>
    <col min="12" max="12" width="3" style="60" customWidth="1"/>
    <col min="13" max="15" width="9.109375" style="60" hidden="1" customWidth="1"/>
    <col min="16" max="17" width="0" style="60" hidden="1"/>
    <col min="18" max="16384" width="9.109375" style="60" hidden="1"/>
  </cols>
  <sheetData>
    <row r="1" spans="1:11" customFormat="1" ht="39.9" customHeight="1" x14ac:dyDescent="0.3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2" t="s">
        <v>20</v>
      </c>
    </row>
    <row r="2" spans="1:11" customFormat="1" ht="39.9" customHeight="1" x14ac:dyDescent="0.3">
      <c r="B2" s="5"/>
      <c r="C2" s="5"/>
      <c r="D2" s="5"/>
      <c r="E2" s="5"/>
      <c r="F2" s="5"/>
      <c r="G2" s="5"/>
      <c r="H2" s="5"/>
      <c r="I2" s="5"/>
      <c r="J2" s="5"/>
      <c r="K2" s="156">
        <v>43585</v>
      </c>
    </row>
    <row r="4" spans="1:11" ht="20.100000000000001" customHeight="1" x14ac:dyDescent="0.3">
      <c r="B4" s="61" t="s">
        <v>555</v>
      </c>
      <c r="D4" s="62" t="s">
        <v>556</v>
      </c>
      <c r="F4" s="63"/>
      <c r="G4" s="64"/>
      <c r="H4" s="64"/>
      <c r="I4" s="65" t="s">
        <v>557</v>
      </c>
      <c r="J4" s="64"/>
      <c r="K4" s="66" t="s">
        <v>35</v>
      </c>
    </row>
    <row r="5" spans="1:11" ht="20.100000000000001" customHeight="1" x14ac:dyDescent="0.3">
      <c r="B5" s="67">
        <f>[2]DashBoardFinanceiroAtualD!C11</f>
        <v>39267</v>
      </c>
      <c r="D5" s="68" t="s">
        <v>611</v>
      </c>
      <c r="F5" s="69"/>
      <c r="G5"/>
      <c r="H5"/>
      <c r="J5" s="70"/>
      <c r="K5" s="71"/>
    </row>
    <row r="6" spans="1:11" ht="20.100000000000001" customHeight="1" x14ac:dyDescent="0.3">
      <c r="F6" s="69"/>
      <c r="G6"/>
      <c r="H6"/>
      <c r="K6" s="71"/>
    </row>
    <row r="7" spans="1:11" ht="20.100000000000001" customHeight="1" x14ac:dyDescent="0.3">
      <c r="B7" s="61" t="s">
        <v>558</v>
      </c>
      <c r="D7" s="149"/>
      <c r="F7" s="69"/>
      <c r="G7"/>
      <c r="H7"/>
      <c r="K7" s="72" t="s">
        <v>559</v>
      </c>
    </row>
    <row r="8" spans="1:11" ht="20.100000000000001" customHeight="1" x14ac:dyDescent="0.3">
      <c r="B8" s="73">
        <f>[2]DashBoardFinanceiroAtualD!D13</f>
        <v>14256</v>
      </c>
      <c r="D8" s="150"/>
      <c r="F8" s="69"/>
      <c r="G8"/>
      <c r="H8"/>
      <c r="K8" s="74">
        <f>SUM([2]DashBoardFinanceiroAtualD!J5:J16)</f>
        <v>22484</v>
      </c>
    </row>
    <row r="9" spans="1:11" ht="20.100000000000001" customHeight="1" x14ac:dyDescent="0.3">
      <c r="F9" s="69"/>
      <c r="G9"/>
      <c r="H9"/>
      <c r="K9" s="75"/>
    </row>
    <row r="10" spans="1:11" ht="20.100000000000001" customHeight="1" x14ac:dyDescent="0.3">
      <c r="B10" s="61" t="s">
        <v>560</v>
      </c>
      <c r="D10" s="149"/>
      <c r="F10" s="69"/>
      <c r="G10"/>
      <c r="H10"/>
      <c r="K10" s="75"/>
    </row>
    <row r="11" spans="1:11" ht="20.100000000000001" customHeight="1" x14ac:dyDescent="0.3">
      <c r="B11" s="76">
        <f>[2]DashBoardFinanceiroAtualD!D14</f>
        <v>7998</v>
      </c>
      <c r="D11" s="150"/>
      <c r="F11" s="77"/>
      <c r="G11" s="78"/>
      <c r="H11" s="78"/>
      <c r="I11" s="79"/>
      <c r="J11" s="79"/>
      <c r="K11" s="80"/>
    </row>
    <row r="12" spans="1:11" ht="20.100000000000001" customHeight="1" x14ac:dyDescent="0.3">
      <c r="F12"/>
      <c r="G12"/>
      <c r="H12"/>
    </row>
    <row r="13" spans="1:11" ht="20.100000000000001" customHeight="1" x14ac:dyDescent="0.3">
      <c r="B13" s="81" t="s">
        <v>561</v>
      </c>
      <c r="C13" s="82"/>
      <c r="D13" s="83"/>
      <c r="F13" s="81" t="s">
        <v>562</v>
      </c>
      <c r="G13" s="83"/>
      <c r="H13"/>
      <c r="I13" s="84" t="s">
        <v>563</v>
      </c>
      <c r="K13" s="85" t="s">
        <v>564</v>
      </c>
    </row>
    <row r="14" spans="1:11" ht="20.100000000000001" customHeight="1" x14ac:dyDescent="0.3">
      <c r="B14" s="86"/>
      <c r="C14" s="87"/>
      <c r="D14" s="88"/>
      <c r="F14" s="86" t="s">
        <v>565</v>
      </c>
      <c r="G14" s="89" t="s">
        <v>566</v>
      </c>
      <c r="H14"/>
      <c r="I14" s="90">
        <f>[2]DashBoardFinanceiroAtualD!E32</f>
        <v>-19319</v>
      </c>
      <c r="K14" s="91" t="s">
        <v>46</v>
      </c>
    </row>
    <row r="15" spans="1:11" ht="20.100000000000001" customHeight="1" x14ac:dyDescent="0.3">
      <c r="B15" s="86"/>
      <c r="D15" s="88"/>
      <c r="F15" s="92"/>
      <c r="G15" s="93"/>
      <c r="H15"/>
      <c r="I15" s="94"/>
      <c r="K15" s="95" t="e">
        <f>DashBoardFinanceiroAtualD!H44</f>
        <v>#REF!</v>
      </c>
    </row>
    <row r="16" spans="1:11" ht="20.100000000000001" customHeight="1" x14ac:dyDescent="0.3">
      <c r="B16" s="96">
        <f>[2]DashBoardFinanceiroAtualD!E22</f>
        <v>96192</v>
      </c>
      <c r="D16" s="88"/>
      <c r="F16" s="97">
        <f>[2]DashBoardFinanceiroAtualD!E27</f>
        <v>845.2</v>
      </c>
      <c r="G16" s="98">
        <f>[2]DashBoardFinanceiroAtualD!J27</f>
        <v>1251.2</v>
      </c>
      <c r="H16"/>
      <c r="I16" s="94"/>
      <c r="K16" s="99"/>
    </row>
    <row r="17" spans="2:11" ht="20.100000000000001" customHeight="1" x14ac:dyDescent="0.3">
      <c r="B17" s="96"/>
      <c r="D17" s="88"/>
      <c r="F17" s="100"/>
      <c r="G17" s="93"/>
      <c r="H17"/>
      <c r="I17" s="94"/>
      <c r="K17" s="99"/>
    </row>
    <row r="18" spans="2:11" ht="18" x14ac:dyDescent="0.3">
      <c r="B18" s="86"/>
      <c r="D18" s="88"/>
      <c r="F18" s="101" t="s">
        <v>567</v>
      </c>
      <c r="G18" s="102" t="s">
        <v>567</v>
      </c>
      <c r="H18"/>
      <c r="I18" s="94"/>
      <c r="K18" s="99"/>
    </row>
    <row r="19" spans="2:11" ht="25.8" x14ac:dyDescent="0.3">
      <c r="B19" s="103"/>
      <c r="C19" s="104"/>
      <c r="D19" s="105"/>
      <c r="F19" s="106"/>
      <c r="G19" s="107"/>
      <c r="H19"/>
      <c r="I19" s="108"/>
      <c r="K19" s="109"/>
    </row>
    <row r="20" spans="2:11" ht="14.4" x14ac:dyDescent="0.3">
      <c r="F20"/>
      <c r="G20"/>
      <c r="H20"/>
    </row>
    <row r="21" spans="2:11" ht="14.4" x14ac:dyDescent="0.3">
      <c r="B21" s="110"/>
      <c r="C21" s="110"/>
      <c r="D21" s="110"/>
      <c r="E21" s="110"/>
      <c r="F21" s="110"/>
      <c r="G21" s="110"/>
      <c r="H21" s="110"/>
      <c r="I21" s="110"/>
      <c r="J21" s="110"/>
      <c r="K21" s="110"/>
    </row>
    <row r="27" spans="2:11" ht="14.4" x14ac:dyDescent="0.3">
      <c r="D27" s="111"/>
    </row>
    <row r="30" spans="2:11" ht="14.4" x14ac:dyDescent="0.3">
      <c r="C30" s="111"/>
    </row>
  </sheetData>
  <mergeCells count="4">
    <mergeCell ref="D7:D8"/>
    <mergeCell ref="D10:D11"/>
    <mergeCell ref="B13:D13"/>
    <mergeCell ref="F13:G13"/>
  </mergeCells>
  <conditionalFormatting sqref="I14">
    <cfRule type="cellIs" dxfId="0" priority="1" operator="lessThan">
      <formula>0</formula>
    </cfRule>
  </conditionalFormatting>
  <dataValidations count="2">
    <dataValidation type="list" allowBlank="1" showInputMessage="1" showErrorMessage="1" errorTitle="Conta Inexisente!" error="Selecione um item da conta." sqref="K4" xr:uid="{4B24CD02-6FCF-443C-A449-BF637BB4D298}">
      <formula1>PCEntradasN2_Nível_2</formula1>
    </dataValidation>
    <dataValidation type="list" allowBlank="1" showInputMessage="1" showErrorMessage="1" errorTitle="Conta Inexistente!" error="Selecione uma conta da lista." sqref="K14" xr:uid="{2F6A4D49-3110-4DA8-86AB-1B523D7395F2}">
      <formula1>PCSaídasN2_Nível_2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B163E54C-9F5A-468C-8DA8-5526FC13D588}">
          <x14:colorSeries rgb="FFFF000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[2]DashBoardFinanceiroAtualD!G5:G16</xm:f>
              <xm:sqref>D7</xm:sqref>
            </x14:sparkline>
          </x14:sparklines>
        </x14:sparklineGroup>
        <x14:sparklineGroup type="column" displayEmptyCellsAs="gap" xr2:uid="{C60580D5-BFEB-45B0-A3E7-468DFB3DE57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[2]DashBoardFinanceiroAtualD!H5:H16</xm:f>
              <xm:sqref>D10</xm:sqref>
            </x14:sparkline>
          </x14:sparklines>
        </x14:sparklineGroup>
      </x14:sparklineGroup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02127-7DC3-410A-B4E3-E4EA7284CAA0}">
  <dimension ref="A1:L46"/>
  <sheetViews>
    <sheetView workbookViewId="0">
      <selection activeCell="C5" sqref="C5"/>
    </sheetView>
  </sheetViews>
  <sheetFormatPr defaultRowHeight="14.4" x14ac:dyDescent="0.3"/>
  <cols>
    <col min="1" max="1" width="3.88671875" customWidth="1"/>
    <col min="2" max="2" width="13.33203125" customWidth="1"/>
    <col min="3" max="3" width="13.6640625" customWidth="1"/>
    <col min="4" max="5" width="13.33203125" customWidth="1"/>
    <col min="7" max="7" width="15.88671875" customWidth="1"/>
    <col min="8" max="8" width="18" customWidth="1"/>
    <col min="10" max="10" width="19.88671875" customWidth="1"/>
    <col min="11" max="11" width="13.88671875" customWidth="1"/>
  </cols>
  <sheetData>
    <row r="1" spans="1:12" x14ac:dyDescent="0.3">
      <c r="A1" s="112"/>
      <c r="B1" s="113" t="s">
        <v>612</v>
      </c>
      <c r="C1" s="113"/>
      <c r="D1" s="113"/>
      <c r="E1" s="113"/>
      <c r="F1" s="113"/>
      <c r="G1" s="113"/>
      <c r="H1" s="113"/>
      <c r="I1" s="113"/>
      <c r="J1" s="113"/>
      <c r="K1" s="113"/>
      <c r="L1" s="113"/>
    </row>
    <row r="2" spans="1:12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</row>
    <row r="3" spans="1:12" x14ac:dyDescent="0.3">
      <c r="A3" s="112"/>
      <c r="B3" s="112"/>
      <c r="C3" s="112"/>
      <c r="D3" s="112"/>
      <c r="E3" s="112"/>
      <c r="F3" s="114" t="s">
        <v>570</v>
      </c>
      <c r="G3" s="112"/>
      <c r="H3" s="112"/>
      <c r="I3" s="112"/>
      <c r="J3" s="114" t="s">
        <v>571</v>
      </c>
      <c r="K3" s="115" t="s">
        <v>572</v>
      </c>
      <c r="L3" s="116" t="e">
        <f>C4</f>
        <v>#REF!</v>
      </c>
    </row>
    <row r="4" spans="1:12" x14ac:dyDescent="0.3">
      <c r="A4" s="112"/>
      <c r="B4" s="115" t="s">
        <v>573</v>
      </c>
      <c r="C4" s="117" t="e">
        <f>YEAR([4]DashBoardFinanceiroAtual!K2)</f>
        <v>#REF!</v>
      </c>
      <c r="D4" s="112"/>
      <c r="E4" s="112"/>
      <c r="F4" s="118" t="s">
        <v>574</v>
      </c>
      <c r="G4" s="119" t="s">
        <v>575</v>
      </c>
      <c r="H4" s="118" t="s">
        <v>576</v>
      </c>
      <c r="I4" s="112"/>
      <c r="J4" s="120" t="str">
        <f>[2]DashBoardFinanceiroAtual!K4</f>
        <v>Livros</v>
      </c>
      <c r="K4" s="118" t="s">
        <v>577</v>
      </c>
      <c r="L4" s="118" t="s">
        <v>574</v>
      </c>
    </row>
    <row r="5" spans="1:12" x14ac:dyDescent="0.3">
      <c r="A5" s="112"/>
      <c r="B5" s="115" t="s">
        <v>613</v>
      </c>
      <c r="C5" s="157">
        <f>[2]DashBoardFinanceiroAtual!K2</f>
        <v>43585</v>
      </c>
      <c r="D5" s="112"/>
      <c r="E5" s="112"/>
      <c r="F5" s="121">
        <v>1</v>
      </c>
      <c r="G5" s="122" t="e">
        <f>SUMIFS([2]!TbRegistroSaídas[Valor],[2]!TbRegistroSaídas[Mês Previsto],F5,[2]!TbRegistroSaídas[Ano Previsto],$C$4,[2]!TbRegistroSaídas[Data do Caixa Realizado],"",[2]!TbRegistroSaídas[Data do Caixa Previsto],"&lt;="&amp;$C$5)</f>
        <v>#REF!</v>
      </c>
      <c r="H5" s="122" t="e">
        <f>SUMIFS([2]!TbRegistroEntradas[Valor],[2]!TbRegistroEntradas[Mês Previsto],F5,[2]!TbRegistroEntradas[Ano Previsto],$C$4,[2]!TbRegistroEntradas[Data do Caixa Realizado],"",[2]!TbRegistroEntradas[Data do Caixa Previsto],"&lt;="&amp;$C$5)</f>
        <v>#REF!</v>
      </c>
      <c r="I5" s="112"/>
      <c r="J5" s="122" t="e">
        <f>SUMIFS([2]!TbRegistroEntradas[Valor],[2]!TbRegistroEntradas[Conta Nível 2],$J$4,[2]!TbRegistroEntradas[Ano Competência],$L$3,[2]!TbRegistroEntradas[Mês Competência],F5,[2]!TbRegistroEntradas[Data da Competência],"&lt;="&amp;$C$5)</f>
        <v>#REF!</v>
      </c>
      <c r="K5" s="122" t="e">
        <f>IF(J5=0,NA(),J5)</f>
        <v>#REF!</v>
      </c>
      <c r="L5" s="123" t="s">
        <v>578</v>
      </c>
    </row>
    <row r="6" spans="1:12" x14ac:dyDescent="0.3">
      <c r="A6" s="112"/>
      <c r="B6" s="112"/>
      <c r="C6" s="112"/>
      <c r="D6" s="112"/>
      <c r="E6" s="112"/>
      <c r="F6" s="112">
        <v>2</v>
      </c>
      <c r="G6" s="124" t="e">
        <f>SUMIFS([2]!TbRegistroSaídas[Valor],[2]!TbRegistroSaídas[Mês Previsto],F6,[2]!TbRegistroSaídas[Ano Previsto],$C$4,[2]!TbRegistroSaídas[Data do Caixa Realizado],"",[2]!TbRegistroSaídas[Data do Caixa Previsto],"&lt;="&amp;$C$5)</f>
        <v>#REF!</v>
      </c>
      <c r="H6" s="124" t="e">
        <f>SUMIFS([2]!TbRegistroEntradas[Valor],[2]!TbRegistroEntradas[Mês Previsto],F6,[2]!TbRegistroEntradas[Ano Previsto],$C$4,[2]!TbRegistroEntradas[Data do Caixa Realizado],"",[2]!TbRegistroEntradas[Data do Caixa Previsto],"&lt;="&amp;$C$5)</f>
        <v>#REF!</v>
      </c>
      <c r="I6" s="112"/>
      <c r="J6" s="124" t="e">
        <f>SUMIFS([2]!TbRegistroEntradas[Valor],[2]!TbRegistroEntradas[Conta Nível 2],$J$4,[2]!TbRegistroEntradas[Ano Competência],$L$3,[2]!TbRegistroEntradas[Mês Competência],F6,[2]!TbRegistroEntradas[Data da Competência],"&lt;="&amp;$C$5)</f>
        <v>#REF!</v>
      </c>
      <c r="K6" s="124" t="e">
        <f t="shared" ref="K6:K16" si="0">IF(J6=0,NA(),J6)</f>
        <v>#REF!</v>
      </c>
      <c r="L6" s="115" t="s">
        <v>579</v>
      </c>
    </row>
    <row r="7" spans="1:12" x14ac:dyDescent="0.3">
      <c r="A7" s="112"/>
      <c r="B7" s="114" t="s">
        <v>580</v>
      </c>
      <c r="C7" s="112"/>
      <c r="D7" s="112"/>
      <c r="E7" s="112"/>
      <c r="F7" s="112">
        <v>3</v>
      </c>
      <c r="G7" s="124" t="e">
        <f>SUMIFS([2]!TbRegistroSaídas[Valor],[2]!TbRegistroSaídas[Mês Previsto],F7,[2]!TbRegistroSaídas[Ano Previsto],$C$4,[2]!TbRegistroSaídas[Data do Caixa Realizado],"",[2]!TbRegistroSaídas[Data do Caixa Previsto],"&lt;="&amp;$C$5)</f>
        <v>#REF!</v>
      </c>
      <c r="H7" s="124" t="e">
        <f>SUMIFS([2]!TbRegistroEntradas[Valor],[2]!TbRegistroEntradas[Mês Previsto],F7,[2]!TbRegistroEntradas[Ano Previsto],$C$4,[2]!TbRegistroEntradas[Data do Caixa Realizado],"",[2]!TbRegistroEntradas[Data do Caixa Previsto],"&lt;="&amp;$C$5)</f>
        <v>#REF!</v>
      </c>
      <c r="I7" s="112"/>
      <c r="J7" s="124" t="e">
        <f>SUMIFS([2]!TbRegistroEntradas[Valor],[2]!TbRegistroEntradas[Conta Nível 2],$J$4,[2]!TbRegistroEntradas[Ano Competência],$L$3,[2]!TbRegistroEntradas[Mês Competência],F7,[2]!TbRegistroEntradas[Data da Competência],"&lt;="&amp;$C$5)</f>
        <v>#REF!</v>
      </c>
      <c r="K7" s="124" t="e">
        <f t="shared" si="0"/>
        <v>#REF!</v>
      </c>
      <c r="L7" s="115" t="s">
        <v>581</v>
      </c>
    </row>
    <row r="8" spans="1:12" x14ac:dyDescent="0.3">
      <c r="A8" s="112"/>
      <c r="B8" s="121" t="s">
        <v>607</v>
      </c>
      <c r="C8" s="125" t="e">
        <f>SUMIFS([2]!TbRegistroEntradas[Valor],[2]!TbRegistroEntradas[Ano Caixa],"&lt;"&amp;C4,[2]!TbRegistroEntradas[Ano Caixa],"&lt;&gt;0")-SUMIFS([2]!TbRegistroSaídas[Valor],[2]!TbRegistroSaídas[Ano Caixa],"&lt;"&amp;C4,[2]!TbRegistroSaídas[Ano Caixa],"&lt;&gt;0")</f>
        <v>#REF!</v>
      </c>
      <c r="D8" s="112"/>
      <c r="E8" s="112"/>
      <c r="F8" s="112">
        <v>4</v>
      </c>
      <c r="G8" s="124" t="e">
        <f>SUMIFS([2]!TbRegistroSaídas[Valor],[2]!TbRegistroSaídas[Mês Previsto],F8,[2]!TbRegistroSaídas[Ano Previsto],$C$4,[2]!TbRegistroSaídas[Data do Caixa Realizado],"",[2]!TbRegistroSaídas[Data do Caixa Previsto],"&lt;="&amp;$C$5)</f>
        <v>#REF!</v>
      </c>
      <c r="H8" s="124" t="e">
        <f>SUMIFS([2]!TbRegistroEntradas[Valor],[2]!TbRegistroEntradas[Mês Previsto],F8,[2]!TbRegistroEntradas[Ano Previsto],$C$4,[2]!TbRegistroEntradas[Data do Caixa Realizado],"",[2]!TbRegistroEntradas[Data do Caixa Previsto],"&lt;="&amp;$C$5)</f>
        <v>#REF!</v>
      </c>
      <c r="I8" s="112"/>
      <c r="J8" s="124" t="e">
        <f>SUMIFS([2]!TbRegistroEntradas[Valor],[2]!TbRegistroEntradas[Conta Nível 2],$J$4,[2]!TbRegistroEntradas[Ano Competência],$L$3,[2]!TbRegistroEntradas[Mês Competência],F8,[2]!TbRegistroEntradas[Data da Competência],"&lt;="&amp;$C$5)</f>
        <v>#REF!</v>
      </c>
      <c r="K8" s="124" t="e">
        <f t="shared" si="0"/>
        <v>#REF!</v>
      </c>
      <c r="L8" s="115" t="s">
        <v>583</v>
      </c>
    </row>
    <row r="9" spans="1:12" x14ac:dyDescent="0.3">
      <c r="A9" s="112"/>
      <c r="B9" s="112" t="s">
        <v>582</v>
      </c>
      <c r="C9" s="126" t="e">
        <f>SUMIFS([2]!TbRegistroEntradas[Valor],[2]!TbRegistroEntradas[Ano Caixa],"="&amp;C4,[2]!TbRegistroEntradas[Data do Caixa Realizado],"&lt;="&amp;C5)</f>
        <v>#REF!</v>
      </c>
      <c r="D9" s="112"/>
      <c r="E9" s="112"/>
      <c r="F9" s="112">
        <v>5</v>
      </c>
      <c r="G9" s="124" t="e">
        <f>SUMIFS([2]!TbRegistroSaídas[Valor],[2]!TbRegistroSaídas[Mês Previsto],F9,[2]!TbRegistroSaídas[Ano Previsto],$C$4,[2]!TbRegistroSaídas[Data do Caixa Realizado],"",[2]!TbRegistroSaídas[Data do Caixa Previsto],"&lt;="&amp;$C$5)</f>
        <v>#REF!</v>
      </c>
      <c r="H9" s="124" t="e">
        <f>SUMIFS([2]!TbRegistroEntradas[Valor],[2]!TbRegistroEntradas[Mês Previsto],F9,[2]!TbRegistroEntradas[Ano Previsto],$C$4,[2]!TbRegistroEntradas[Data do Caixa Realizado],"",[2]!TbRegistroEntradas[Data do Caixa Previsto],"&lt;="&amp;$C$5)</f>
        <v>#REF!</v>
      </c>
      <c r="I9" s="112"/>
      <c r="J9" s="124" t="e">
        <f>SUMIFS([2]!TbRegistroEntradas[Valor],[2]!TbRegistroEntradas[Conta Nível 2],$J$4,[2]!TbRegistroEntradas[Ano Competência],$L$3,[2]!TbRegistroEntradas[Mês Competência],F9,[2]!TbRegistroEntradas[Data da Competência],"&lt;="&amp;$C$5)</f>
        <v>#REF!</v>
      </c>
      <c r="K9" s="124" t="e">
        <f t="shared" si="0"/>
        <v>#REF!</v>
      </c>
      <c r="L9" s="115" t="s">
        <v>585</v>
      </c>
    </row>
    <row r="10" spans="1:12" x14ac:dyDescent="0.3">
      <c r="A10" s="112"/>
      <c r="B10" s="112" t="s">
        <v>584</v>
      </c>
      <c r="C10" s="126" t="e">
        <f>SUMIFS([2]!TbRegistroSaídas[Valor],[2]!TbRegistroSaídas[Ano Caixa],"="&amp;C4,[2]!TbRegistroSaídas[Data do Caixa Realizado],"&lt;="&amp;C5)</f>
        <v>#REF!</v>
      </c>
      <c r="D10" s="112"/>
      <c r="E10" s="112"/>
      <c r="F10" s="112">
        <v>6</v>
      </c>
      <c r="G10" s="124" t="e">
        <f>SUMIFS([2]!TbRegistroSaídas[Valor],[2]!TbRegistroSaídas[Mês Previsto],F10,[2]!TbRegistroSaídas[Ano Previsto],$C$4,[2]!TbRegistroSaídas[Data do Caixa Realizado],"",[2]!TbRegistroSaídas[Data do Caixa Previsto],"&lt;="&amp;$C$5)</f>
        <v>#REF!</v>
      </c>
      <c r="H10" s="124" t="e">
        <f>SUMIFS([2]!TbRegistroEntradas[Valor],[2]!TbRegistroEntradas[Mês Previsto],F10,[2]!TbRegistroEntradas[Ano Previsto],$C$4,[2]!TbRegistroEntradas[Data do Caixa Realizado],"",[2]!TbRegistroEntradas[Data do Caixa Previsto],"&lt;="&amp;$C$5)</f>
        <v>#REF!</v>
      </c>
      <c r="I10" s="112"/>
      <c r="J10" s="124" t="e">
        <f>SUMIFS([2]!TbRegistroEntradas[Valor],[2]!TbRegistroEntradas[Conta Nível 2],$J$4,[2]!TbRegistroEntradas[Ano Competência],$L$3,[2]!TbRegistroEntradas[Mês Competência],F10,[2]!TbRegistroEntradas[Data da Competência],"&lt;="&amp;$C$5)</f>
        <v>#REF!</v>
      </c>
      <c r="K10" s="124" t="e">
        <f t="shared" si="0"/>
        <v>#REF!</v>
      </c>
      <c r="L10" s="115" t="s">
        <v>587</v>
      </c>
    </row>
    <row r="11" spans="1:12" x14ac:dyDescent="0.3">
      <c r="A11" s="112"/>
      <c r="B11" s="127" t="s">
        <v>586</v>
      </c>
      <c r="C11" s="128" t="e">
        <f>C8+C9-C10</f>
        <v>#REF!</v>
      </c>
      <c r="D11" s="112"/>
      <c r="E11" s="112"/>
      <c r="F11" s="112">
        <v>7</v>
      </c>
      <c r="G11" s="124" t="e">
        <f>SUMIFS([2]!TbRegistroSaídas[Valor],[2]!TbRegistroSaídas[Mês Previsto],F11,[2]!TbRegistroSaídas[Ano Previsto],$C$4,[2]!TbRegistroSaídas[Data do Caixa Realizado],"",[2]!TbRegistroSaídas[Data do Caixa Previsto],"&lt;="&amp;$C$5)</f>
        <v>#REF!</v>
      </c>
      <c r="H11" s="124" t="e">
        <f>SUMIFS([2]!TbRegistroEntradas[Valor],[2]!TbRegistroEntradas[Mês Previsto],F11,[2]!TbRegistroEntradas[Ano Previsto],$C$4,[2]!TbRegistroEntradas[Data do Caixa Realizado],"",[2]!TbRegistroEntradas[Data do Caixa Previsto],"&lt;="&amp;$C$5)</f>
        <v>#REF!</v>
      </c>
      <c r="I11" s="112"/>
      <c r="J11" s="124" t="e">
        <f>SUMIFS([2]!TbRegistroEntradas[Valor],[2]!TbRegistroEntradas[Conta Nível 2],$J$4,[2]!TbRegistroEntradas[Ano Competência],$L$3,[2]!TbRegistroEntradas[Mês Competência],F11,[2]!TbRegistroEntradas[Data da Competência],"&lt;="&amp;$C$5)</f>
        <v>#REF!</v>
      </c>
      <c r="K11" s="124" t="e">
        <f t="shared" si="0"/>
        <v>#REF!</v>
      </c>
      <c r="L11" s="115" t="s">
        <v>588</v>
      </c>
    </row>
    <row r="12" spans="1:12" x14ac:dyDescent="0.3">
      <c r="A12" s="112"/>
      <c r="B12" s="112"/>
      <c r="C12" s="112"/>
      <c r="D12" s="112"/>
      <c r="E12" s="112"/>
      <c r="F12" s="112">
        <v>8</v>
      </c>
      <c r="G12" s="124" t="e">
        <f>SUMIFS([2]!TbRegistroSaídas[Valor],[2]!TbRegistroSaídas[Mês Previsto],F12,[2]!TbRegistroSaídas[Ano Previsto],$C$4,[2]!TbRegistroSaídas[Data do Caixa Realizado],"",[2]!TbRegistroSaídas[Data do Caixa Previsto],"&lt;="&amp;$C$5)</f>
        <v>#REF!</v>
      </c>
      <c r="H12" s="124" t="e">
        <f>SUMIFS([2]!TbRegistroEntradas[Valor],[2]!TbRegistroEntradas[Mês Previsto],F12,[2]!TbRegistroEntradas[Ano Previsto],$C$4,[2]!TbRegistroEntradas[Data do Caixa Realizado],"",[2]!TbRegistroEntradas[Data do Caixa Previsto],"&lt;="&amp;$C$5)</f>
        <v>#REF!</v>
      </c>
      <c r="I12" s="112"/>
      <c r="J12" s="124" t="e">
        <f>SUMIFS([2]!TbRegistroEntradas[Valor],[2]!TbRegistroEntradas[Conta Nível 2],$J$4,[2]!TbRegistroEntradas[Ano Competência],$L$3,[2]!TbRegistroEntradas[Mês Competência],F12,[2]!TbRegistroEntradas[Data da Competência],"&lt;="&amp;$C$5)</f>
        <v>#REF!</v>
      </c>
      <c r="K12" s="124" t="e">
        <f t="shared" si="0"/>
        <v>#REF!</v>
      </c>
      <c r="L12" s="115" t="s">
        <v>590</v>
      </c>
    </row>
    <row r="13" spans="1:12" x14ac:dyDescent="0.3">
      <c r="A13" s="112"/>
      <c r="B13" s="129" t="s">
        <v>589</v>
      </c>
      <c r="C13" s="129"/>
      <c r="D13" s="125" t="e">
        <f>SUMIFS([2]!TbRegistroSaídas[Valor],[2]!TbRegistroSaídas[Data do Caixa Realizado],"",[2]!TbRegistroSaídas[Ano Previsto],C4,[2]!TbRegistroSaídas[Data do Caixa Previsto],"&lt;="&amp;C5)</f>
        <v>#REF!</v>
      </c>
      <c r="E13" s="112"/>
      <c r="F13" s="112">
        <v>9</v>
      </c>
      <c r="G13" s="124" t="e">
        <f>SUMIFS([2]!TbRegistroSaídas[Valor],[2]!TbRegistroSaídas[Mês Previsto],F13,[2]!TbRegistroSaídas[Ano Previsto],$C$4,[2]!TbRegistroSaídas[Data do Caixa Realizado],"",[2]!TbRegistroSaídas[Data do Caixa Previsto],"&lt;="&amp;$C$5)</f>
        <v>#REF!</v>
      </c>
      <c r="H13" s="124" t="e">
        <f>SUMIFS([2]!TbRegistroEntradas[Valor],[2]!TbRegistroEntradas[Mês Previsto],F13,[2]!TbRegistroEntradas[Ano Previsto],$C$4,[2]!TbRegistroEntradas[Data do Caixa Realizado],"",[2]!TbRegistroEntradas[Data do Caixa Previsto],"&lt;="&amp;$C$5)</f>
        <v>#REF!</v>
      </c>
      <c r="I13" s="112"/>
      <c r="J13" s="124" t="e">
        <f>SUMIFS([2]!TbRegistroEntradas[Valor],[2]!TbRegistroEntradas[Conta Nível 2],$J$4,[2]!TbRegistroEntradas[Ano Competência],$L$3,[2]!TbRegistroEntradas[Mês Competência],F13,[2]!TbRegistroEntradas[Data da Competência],"&lt;="&amp;$C$5)</f>
        <v>#REF!</v>
      </c>
      <c r="K13" s="124" t="e">
        <f t="shared" si="0"/>
        <v>#REF!</v>
      </c>
      <c r="L13" s="115" t="s">
        <v>592</v>
      </c>
    </row>
    <row r="14" spans="1:12" x14ac:dyDescent="0.3">
      <c r="A14" s="112"/>
      <c r="B14" s="130" t="s">
        <v>591</v>
      </c>
      <c r="C14" s="130"/>
      <c r="D14" s="131" t="e">
        <f>SUMIFS([2]!TbRegistroEntradas[Valor],[2]!TbRegistroEntradas[Data do Caixa Realizado],"",[2]!TbRegistroEntradas[Ano Previsto],C4,[2]!TbRegistroEntradas[Data do Caixa Previsto],"&lt;="&amp;C5)</f>
        <v>#REF!</v>
      </c>
      <c r="E14" s="112"/>
      <c r="F14" s="112">
        <v>10</v>
      </c>
      <c r="G14" s="124" t="e">
        <f>SUMIFS([2]!TbRegistroSaídas[Valor],[2]!TbRegistroSaídas[Mês Previsto],F14,[2]!TbRegistroSaídas[Ano Previsto],$C$4,[2]!TbRegistroSaídas[Data do Caixa Realizado],"",[2]!TbRegistroSaídas[Data do Caixa Previsto],"&lt;="&amp;$C$5)</f>
        <v>#REF!</v>
      </c>
      <c r="H14" s="124" t="e">
        <f>SUMIFS([2]!TbRegistroEntradas[Valor],[2]!TbRegistroEntradas[Mês Previsto],F14,[2]!TbRegistroEntradas[Ano Previsto],$C$4,[2]!TbRegistroEntradas[Data do Caixa Realizado],"",[2]!TbRegistroEntradas[Data do Caixa Previsto],"&lt;="&amp;$C$5)</f>
        <v>#REF!</v>
      </c>
      <c r="I14" s="112"/>
      <c r="J14" s="124" t="e">
        <f>SUMIFS([2]!TbRegistroEntradas[Valor],[2]!TbRegistroEntradas[Conta Nível 2],$J$4,[2]!TbRegistroEntradas[Ano Competência],$L$3,[2]!TbRegistroEntradas[Mês Competência],F14,[2]!TbRegistroEntradas[Data da Competência],"&lt;="&amp;$C$5)</f>
        <v>#REF!</v>
      </c>
      <c r="K14" s="124" t="e">
        <f t="shared" si="0"/>
        <v>#REF!</v>
      </c>
      <c r="L14" s="115" t="s">
        <v>593</v>
      </c>
    </row>
    <row r="15" spans="1:12" x14ac:dyDescent="0.3">
      <c r="A15" s="112"/>
      <c r="B15" s="112"/>
      <c r="C15" s="112"/>
      <c r="D15" s="112"/>
      <c r="E15" s="112"/>
      <c r="F15" s="112">
        <v>11</v>
      </c>
      <c r="G15" s="124" t="e">
        <f>SUMIFS([2]!TbRegistroSaídas[Valor],[2]!TbRegistroSaídas[Mês Previsto],F15,[2]!TbRegistroSaídas[Ano Previsto],$C$4,[2]!TbRegistroSaídas[Data do Caixa Realizado],"",[2]!TbRegistroSaídas[Data do Caixa Previsto],"&lt;="&amp;$C$5)</f>
        <v>#REF!</v>
      </c>
      <c r="H15" s="124" t="e">
        <f>SUMIFS([2]!TbRegistroEntradas[Valor],[2]!TbRegistroEntradas[Mês Previsto],F15,[2]!TbRegistroEntradas[Ano Previsto],$C$4,[2]!TbRegistroEntradas[Data do Caixa Realizado],"",[2]!TbRegistroEntradas[Data do Caixa Previsto],"&lt;="&amp;$C$5)</f>
        <v>#REF!</v>
      </c>
      <c r="I15" s="112"/>
      <c r="J15" s="124" t="e">
        <f>SUMIFS([2]!TbRegistroEntradas[Valor],[2]!TbRegistroEntradas[Conta Nível 2],$J$4,[2]!TbRegistroEntradas[Ano Competência],$L$3,[2]!TbRegistroEntradas[Mês Competência],F15,[2]!TbRegistroEntradas[Data da Competência],"&lt;="&amp;$C$5)</f>
        <v>#REF!</v>
      </c>
      <c r="K15" s="124" t="e">
        <f t="shared" si="0"/>
        <v>#REF!</v>
      </c>
      <c r="L15" s="115" t="s">
        <v>594</v>
      </c>
    </row>
    <row r="16" spans="1:12" x14ac:dyDescent="0.3">
      <c r="A16" s="112"/>
      <c r="B16" s="112"/>
      <c r="C16" s="112"/>
      <c r="D16" s="112"/>
      <c r="E16" s="112"/>
      <c r="F16" s="127">
        <v>12</v>
      </c>
      <c r="G16" s="132" t="e">
        <f>SUMIFS([2]!TbRegistroSaídas[Valor],[2]!TbRegistroSaídas[Mês Previsto],F16,[2]!TbRegistroSaídas[Ano Previsto],$C$4,[2]!TbRegistroSaídas[Data do Caixa Realizado],"",[2]!TbRegistroSaídas[Data do Caixa Previsto],"&lt;="&amp;$C$5)</f>
        <v>#REF!</v>
      </c>
      <c r="H16" s="132" t="e">
        <f>SUMIFS([2]!TbRegistroEntradas[Valor],[2]!TbRegistroEntradas[Mês Previsto],F16,[2]!TbRegistroEntradas[Ano Previsto],$C$4,[2]!TbRegistroEntradas[Data do Caixa Realizado],"",[2]!TbRegistroEntradas[Data do Caixa Previsto],"&lt;="&amp;$C$5)</f>
        <v>#REF!</v>
      </c>
      <c r="I16" s="112"/>
      <c r="J16" s="132" t="e">
        <f>SUMIFS([2]!TbRegistroEntradas[Valor],[2]!TbRegistroEntradas[Conta Nível 2],$J$4,[2]!TbRegistroEntradas[Ano Competência],$L$3,[2]!TbRegistroEntradas[Mês Competência],F16,[2]!TbRegistroEntradas[Data da Competência],"&lt;="&amp;$C$5)</f>
        <v>#REF!</v>
      </c>
      <c r="K16" s="132" t="e">
        <f t="shared" si="0"/>
        <v>#REF!</v>
      </c>
      <c r="L16" s="133" t="s">
        <v>595</v>
      </c>
    </row>
    <row r="17" spans="1:12" x14ac:dyDescent="0.3">
      <c r="A17" s="112"/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</row>
    <row r="18" spans="1:12" x14ac:dyDescent="0.3">
      <c r="A18" s="112"/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</row>
    <row r="19" spans="1:12" x14ac:dyDescent="0.3">
      <c r="A19" s="112"/>
      <c r="B19" s="112"/>
      <c r="C19" s="112"/>
      <c r="D19" s="112"/>
      <c r="E19" s="112"/>
      <c r="F19" s="112"/>
      <c r="G19" s="112"/>
      <c r="H19" s="112"/>
      <c r="I19" s="112"/>
      <c r="J19" s="112"/>
      <c r="K19" s="112"/>
      <c r="L19" s="112"/>
    </row>
    <row r="20" spans="1:12" x14ac:dyDescent="0.3">
      <c r="A20" s="112"/>
      <c r="B20" s="114" t="s">
        <v>596</v>
      </c>
      <c r="C20" s="112"/>
      <c r="D20" s="112"/>
      <c r="E20" s="134"/>
      <c r="F20" s="112"/>
      <c r="G20" s="112"/>
      <c r="H20" s="112"/>
      <c r="I20" s="112"/>
      <c r="J20" s="112"/>
      <c r="K20" s="112"/>
      <c r="L20" s="112"/>
    </row>
    <row r="21" spans="1:12" x14ac:dyDescent="0.3">
      <c r="A21" s="112"/>
      <c r="B21" s="118" t="s">
        <v>597</v>
      </c>
      <c r="C21" s="119" t="s">
        <v>598</v>
      </c>
      <c r="D21" s="119" t="s">
        <v>599</v>
      </c>
      <c r="E21" s="119" t="s">
        <v>559</v>
      </c>
      <c r="F21" s="112"/>
      <c r="G21" s="112"/>
      <c r="H21" s="112"/>
      <c r="I21" s="112"/>
      <c r="J21" s="112"/>
      <c r="K21" s="112"/>
      <c r="L21" s="112"/>
    </row>
    <row r="22" spans="1:12" x14ac:dyDescent="0.3">
      <c r="A22" s="112"/>
      <c r="B22" s="135" t="e">
        <f>C4</f>
        <v>#REF!</v>
      </c>
      <c r="C22" s="136" t="e">
        <f>SUMIFS([2]!TbRegistroEntradas[Valor],[2]!TbRegistroEntradas[Venda à Vista],"Vista",[2]!TbRegistroEntradas[Ano Competência],B22,[2]!TbRegistroEntradas[Data da Competência],"&lt;="&amp;C5)</f>
        <v>#REF!</v>
      </c>
      <c r="D22" s="136" t="e">
        <f>SUMIFS([2]!TbRegistroEntradas[Valor],[2]!TbRegistroEntradas[Venda à Vista],"Prazo",[2]!TbRegistroEntradas[Ano Competência],B22,[2]!TbRegistroEntradas[Data da Competência],"&lt;="&amp;C5)</f>
        <v>#REF!</v>
      </c>
      <c r="E22" s="136" t="e">
        <f>C22+D22</f>
        <v>#REF!</v>
      </c>
      <c r="F22" s="112"/>
      <c r="G22" s="112"/>
      <c r="H22" s="112"/>
      <c r="I22" s="112"/>
      <c r="J22" s="112"/>
      <c r="K22" s="112"/>
      <c r="L22" s="112"/>
    </row>
    <row r="23" spans="1:12" x14ac:dyDescent="0.3">
      <c r="A23" s="112"/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</row>
    <row r="24" spans="1:12" x14ac:dyDescent="0.3">
      <c r="A24" s="112"/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</row>
    <row r="25" spans="1:12" x14ac:dyDescent="0.3">
      <c r="A25" s="112"/>
      <c r="B25" s="114" t="s">
        <v>600</v>
      </c>
      <c r="C25" s="112"/>
      <c r="D25" s="112"/>
      <c r="E25" s="112"/>
      <c r="F25" s="112"/>
      <c r="G25" s="114" t="s">
        <v>601</v>
      </c>
      <c r="H25" s="112"/>
      <c r="I25" s="112"/>
      <c r="J25" s="112"/>
      <c r="K25" s="112"/>
      <c r="L25" s="112"/>
    </row>
    <row r="26" spans="1:12" x14ac:dyDescent="0.3">
      <c r="A26" s="112"/>
      <c r="B26" s="118" t="s">
        <v>597</v>
      </c>
      <c r="C26" s="119" t="s">
        <v>602</v>
      </c>
      <c r="D26" s="119" t="s">
        <v>567</v>
      </c>
      <c r="E26" s="119" t="s">
        <v>603</v>
      </c>
      <c r="F26" s="112"/>
      <c r="G26" s="118" t="s">
        <v>597</v>
      </c>
      <c r="H26" s="119" t="s">
        <v>602</v>
      </c>
      <c r="I26" s="119" t="s">
        <v>567</v>
      </c>
      <c r="J26" s="119" t="s">
        <v>603</v>
      </c>
      <c r="K26" s="112"/>
      <c r="L26" s="112"/>
    </row>
    <row r="27" spans="1:12" x14ac:dyDescent="0.3">
      <c r="A27" s="112"/>
      <c r="B27" s="135" t="e">
        <f>C4</f>
        <v>#REF!</v>
      </c>
      <c r="C27" s="137" t="e">
        <f>COUNTIFS([2]!TbRegistroEntradas[Ano Competência],B27,[2]!TbRegistroEntradas[Dias de Atraso],"&gt;0",[2]!TbRegistroEntradas[Data da Competência],"&lt;="&amp;C5)</f>
        <v>#REF!</v>
      </c>
      <c r="D27" s="137" t="e">
        <f>SUMIFS([2]!TbRegistroEntradas[Dias de Atraso],[2]!TbRegistroEntradas[Ano Competência],B27,[2]!TbRegistroEntradas[Dias de Atraso],"&gt;0",[2]!TbRegistroEntradas[Data da Competência],"&lt;="&amp;C5)</f>
        <v>#REF!</v>
      </c>
      <c r="E27" s="137" t="e">
        <f>D27/C27</f>
        <v>#REF!</v>
      </c>
      <c r="F27" s="112"/>
      <c r="G27" s="135" t="e">
        <f>C4</f>
        <v>#REF!</v>
      </c>
      <c r="H27" s="137" t="e">
        <f>COUNTIFS([2]!TbRegistroSaídas[Ano Competência],G27,[2]!TbRegistroSaídas[Dias de Atraso],"&gt;0",[2]!TbRegistroSaídas[Data da Competência],"&lt;="&amp;C5)</f>
        <v>#REF!</v>
      </c>
      <c r="I27" s="137" t="e">
        <f>SUMIFS([2]!TbRegistroSaídas[Dias de Atraso],[2]!TbRegistroSaídas[Ano Competência],G27,[2]!TbRegistroSaídas[Dias de Atraso],"&gt;0",[2]!TbRegistroSaídas[Data da Competência],"&lt;="&amp;C5)</f>
        <v>#REF!</v>
      </c>
      <c r="J27" s="137" t="e">
        <f>I27/H27</f>
        <v>#REF!</v>
      </c>
      <c r="K27" s="112"/>
      <c r="L27" s="112"/>
    </row>
    <row r="28" spans="1:12" x14ac:dyDescent="0.3">
      <c r="A28" s="112"/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</row>
    <row r="29" spans="1:12" x14ac:dyDescent="0.3">
      <c r="A29" s="112"/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</row>
    <row r="30" spans="1:12" x14ac:dyDescent="0.3">
      <c r="A30" s="112"/>
      <c r="B30" s="114" t="s">
        <v>604</v>
      </c>
      <c r="C30" s="112"/>
      <c r="D30" s="112"/>
      <c r="E30" s="112"/>
      <c r="F30" s="112"/>
      <c r="G30" s="114" t="s">
        <v>605</v>
      </c>
      <c r="H30" s="138" t="e">
        <f>C4</f>
        <v>#REF!</v>
      </c>
      <c r="I30" s="112"/>
      <c r="J30" s="112"/>
      <c r="K30" s="112"/>
      <c r="L30" s="112"/>
    </row>
    <row r="31" spans="1:12" x14ac:dyDescent="0.3">
      <c r="A31" s="112"/>
      <c r="B31" s="139" t="s">
        <v>597</v>
      </c>
      <c r="C31" s="123" t="s">
        <v>582</v>
      </c>
      <c r="D31" s="123" t="s">
        <v>584</v>
      </c>
      <c r="E31" s="123" t="s">
        <v>606</v>
      </c>
      <c r="F31" s="112"/>
      <c r="G31" s="118" t="s">
        <v>574</v>
      </c>
      <c r="H31" s="140" t="str">
        <f>DashBoardFinanceiroAtual!K14</f>
        <v>Vestuário</v>
      </c>
      <c r="I31" s="112"/>
      <c r="J31" s="112"/>
      <c r="K31" s="112"/>
      <c r="L31" s="112"/>
    </row>
    <row r="32" spans="1:12" x14ac:dyDescent="0.3">
      <c r="A32" s="112"/>
      <c r="B32" s="158" t="e">
        <f>C4</f>
        <v>#REF!</v>
      </c>
      <c r="C32" s="141" t="e">
        <f>SUMIFS([2]!TbRegistroEntradas[Valor],[2]!TbRegistroEntradas[Ano Competência],B32,[2]!TbRegistroEntradas[Data da Competência],"&lt;="&amp;C5)</f>
        <v>#REF!</v>
      </c>
      <c r="D32" s="141" t="e">
        <f>SUMIFS([2]!TbRegistroSaídas[Valor],[2]!TbRegistroSaídas[Ano Competência],B32,[2]!TbRegistroSaídas[Data da Competência],"&lt;="&amp;C5)</f>
        <v>#REF!</v>
      </c>
      <c r="E32" s="142" t="e">
        <f>C32-D32</f>
        <v>#REF!</v>
      </c>
      <c r="F32" s="112"/>
      <c r="G32" s="112">
        <v>1</v>
      </c>
      <c r="H32" s="124" t="e">
        <f>SUMIFS([2]!TbRegistroSaídas[Valor],[2]!TbRegistroSaídas[Conta Nível 2],$H$31,[2]!TbRegistroSaídas[Ano Competência],$H$30,[2]!TbRegistroSaídas[Mês Competência],G32,[2]!TbRegistroSaídas[Data da Competência],"&lt;="&amp;$C$5)</f>
        <v>#REF!</v>
      </c>
      <c r="I32" s="112"/>
      <c r="J32" s="112"/>
      <c r="K32" s="112"/>
      <c r="L32" s="112"/>
    </row>
    <row r="33" spans="1:12" x14ac:dyDescent="0.3">
      <c r="A33" s="112"/>
      <c r="B33" s="112"/>
      <c r="C33" s="112"/>
      <c r="D33" s="112"/>
      <c r="E33" s="112"/>
      <c r="F33" s="112"/>
      <c r="G33" s="112">
        <v>2</v>
      </c>
      <c r="H33" s="124" t="e">
        <f>SUMIFS([3]!TbRegistroSaídas[Valor],[2]!TbRegistroSaídas[Conta Nível 2],$H$31,[2]!TbRegistroSaídas[Ano Competência],$H$30,[2]!TbRegistroSaídas[Mês Competência],G33,[2]!TbRegistroSaídas[Data da Competência],"&lt;="&amp;$C$5)</f>
        <v>#REF!</v>
      </c>
      <c r="I33" s="112"/>
      <c r="J33" s="112"/>
      <c r="K33" s="112"/>
      <c r="L33" s="112"/>
    </row>
    <row r="34" spans="1:12" x14ac:dyDescent="0.3">
      <c r="A34" s="112"/>
      <c r="B34" s="112"/>
      <c r="C34" s="112"/>
      <c r="D34" s="112"/>
      <c r="E34" s="112"/>
      <c r="F34" s="112"/>
      <c r="G34" s="112">
        <v>3</v>
      </c>
      <c r="H34" s="124" t="e">
        <f>SUMIFS([2]!TbRegistroSaídas[Valor],[2]!TbRegistroSaídas[Conta Nível 2],$H$31,[2]!TbRegistroSaídas[Ano Competência],$H$30,[2]!TbRegistroSaídas[Mês Competência],G34,[2]!TbRegistroSaídas[Data da Competência],"&lt;="&amp;$C$5)</f>
        <v>#REF!</v>
      </c>
      <c r="I34" s="112"/>
      <c r="J34" s="112"/>
      <c r="K34" s="112"/>
      <c r="L34" s="112"/>
    </row>
    <row r="35" spans="1:12" x14ac:dyDescent="0.3">
      <c r="A35" s="112"/>
      <c r="B35" s="112"/>
      <c r="C35" s="112"/>
      <c r="D35" s="112"/>
      <c r="E35" s="112"/>
      <c r="F35" s="112"/>
      <c r="G35" s="112">
        <v>4</v>
      </c>
      <c r="H35" s="124" t="e">
        <f>SUMIFS([2]!TbRegistroSaídas[Valor],[2]!TbRegistroSaídas[Conta Nível 2],$H$31,[2]!TbRegistroSaídas[Ano Competência],$H$30,[2]!TbRegistroSaídas[Mês Competência],G35,[2]!TbRegistroSaídas[Data da Competência],"&lt;="&amp;$C$5)</f>
        <v>#REF!</v>
      </c>
      <c r="I35" s="112"/>
      <c r="J35" s="112"/>
      <c r="K35" s="112"/>
      <c r="L35" s="112"/>
    </row>
    <row r="36" spans="1:12" x14ac:dyDescent="0.3">
      <c r="A36" s="112"/>
      <c r="B36" s="112"/>
      <c r="C36" s="112"/>
      <c r="D36" s="112"/>
      <c r="E36" s="112"/>
      <c r="F36" s="112"/>
      <c r="G36" s="112">
        <v>5</v>
      </c>
      <c r="H36" s="124" t="e">
        <f>SUMIFS([2]!TbRegistroSaídas[Valor],[2]!TbRegistroSaídas[Conta Nível 2],$H$31,[2]!TbRegistroSaídas[Ano Competência],$H$30,[2]!TbRegistroSaídas[Mês Competência],G36,[2]!TbRegistroSaídas[Data da Competência],"&lt;="&amp;$C$5)</f>
        <v>#REF!</v>
      </c>
      <c r="I36" s="112"/>
      <c r="J36" s="112"/>
      <c r="K36" s="112"/>
      <c r="L36" s="112"/>
    </row>
    <row r="37" spans="1:12" x14ac:dyDescent="0.3">
      <c r="A37" s="112"/>
      <c r="B37" s="112"/>
      <c r="C37" s="112"/>
      <c r="D37" s="112"/>
      <c r="E37" s="112"/>
      <c r="F37" s="112"/>
      <c r="G37" s="112">
        <v>6</v>
      </c>
      <c r="H37" s="124" t="e">
        <f>SUMIFS([2]!TbRegistroSaídas[Valor],[2]!TbRegistroSaídas[Conta Nível 2],$H$31,[2]!TbRegistroSaídas[Ano Competência],$H$30,[2]!TbRegistroSaídas[Mês Competência],G37,[2]!TbRegistroSaídas[Data da Competência],"&lt;="&amp;$C$5)</f>
        <v>#REF!</v>
      </c>
      <c r="I37" s="112"/>
      <c r="J37" s="112"/>
      <c r="K37" s="112"/>
      <c r="L37" s="112"/>
    </row>
    <row r="38" spans="1:12" x14ac:dyDescent="0.3">
      <c r="A38" s="112"/>
      <c r="B38" s="112"/>
      <c r="C38" s="112"/>
      <c r="D38" s="112"/>
      <c r="E38" s="112"/>
      <c r="F38" s="112"/>
      <c r="G38" s="112">
        <v>7</v>
      </c>
      <c r="H38" s="124" t="e">
        <f>SUMIFS([2]!TbRegistroSaídas[Valor],[2]!TbRegistroSaídas[Conta Nível 2],$H$31,[2]!TbRegistroSaídas[Ano Competência],$H$30,[2]!TbRegistroSaídas[Mês Competência],G38,[2]!TbRegistroSaídas[Data da Competência],"&lt;="&amp;$C$5)</f>
        <v>#REF!</v>
      </c>
      <c r="I38" s="112"/>
      <c r="J38" s="112"/>
      <c r="K38" s="112"/>
      <c r="L38" s="112"/>
    </row>
    <row r="39" spans="1:12" x14ac:dyDescent="0.3">
      <c r="A39" s="112"/>
      <c r="B39" s="112"/>
      <c r="C39" s="112"/>
      <c r="D39" s="112"/>
      <c r="E39" s="112"/>
      <c r="F39" s="112"/>
      <c r="G39" s="112">
        <v>8</v>
      </c>
      <c r="H39" s="124" t="e">
        <f>SUMIFS([2]!TbRegistroSaídas[Valor],[2]!TbRegistroSaídas[Conta Nível 2],$H$31,[2]!TbRegistroSaídas[Ano Competência],$H$30,[2]!TbRegistroSaídas[Mês Competência],G39,[2]!TbRegistroSaídas[Data da Competência],"&lt;="&amp;$C$5)</f>
        <v>#REF!</v>
      </c>
      <c r="I39" s="112"/>
      <c r="J39" s="112"/>
      <c r="K39" s="112"/>
      <c r="L39" s="112"/>
    </row>
    <row r="40" spans="1:12" x14ac:dyDescent="0.3">
      <c r="A40" s="112"/>
      <c r="B40" s="112"/>
      <c r="C40" s="112"/>
      <c r="D40" s="112"/>
      <c r="E40" s="112"/>
      <c r="F40" s="112"/>
      <c r="G40" s="112">
        <v>9</v>
      </c>
      <c r="H40" s="124" t="e">
        <f>SUMIFS([2]!TbRegistroSaídas[Valor],[2]!TbRegistroSaídas[Conta Nível 2],$H$31,[2]!TbRegistroSaídas[Ano Competência],$H$30,[2]!TbRegistroSaídas[Mês Competência],G40,[2]!TbRegistroSaídas[Data da Competência],"&lt;="&amp;$C$5)</f>
        <v>#REF!</v>
      </c>
      <c r="I40" s="112"/>
      <c r="J40" s="112"/>
      <c r="K40" s="112"/>
      <c r="L40" s="112"/>
    </row>
    <row r="41" spans="1:12" x14ac:dyDescent="0.3">
      <c r="A41" s="112"/>
      <c r="B41" s="112"/>
      <c r="C41" s="112"/>
      <c r="D41" s="112"/>
      <c r="E41" s="112"/>
      <c r="F41" s="112"/>
      <c r="G41" s="112">
        <v>10</v>
      </c>
      <c r="H41" s="124" t="e">
        <f>SUMIFS([2]!TbRegistroSaídas[Valor],[2]!TbRegistroSaídas[Conta Nível 2],$H$31,[2]!TbRegistroSaídas[Ano Competência],$H$30,[2]!TbRegistroSaídas[Mês Competência],G41,[2]!TbRegistroSaídas[Data da Competência],"&lt;="&amp;$C$5)</f>
        <v>#REF!</v>
      </c>
      <c r="I41" s="112"/>
      <c r="J41" s="112"/>
      <c r="K41" s="112"/>
      <c r="L41" s="112"/>
    </row>
    <row r="42" spans="1:12" x14ac:dyDescent="0.3">
      <c r="A42" s="112"/>
      <c r="B42" s="112"/>
      <c r="C42" s="112"/>
      <c r="D42" s="112"/>
      <c r="E42" s="112"/>
      <c r="F42" s="112"/>
      <c r="G42" s="112">
        <v>11</v>
      </c>
      <c r="H42" s="124" t="e">
        <f>SUMIFS([2]!TbRegistroSaídas[Valor],[2]!TbRegistroSaídas[Conta Nível 2],$H$31,[2]!TbRegistroSaídas[Ano Competência],$H$30,[2]!TbRegistroSaídas[Mês Competência],G42,[2]!TbRegistroSaídas[Data da Competência],"&lt;="&amp;$C$5)</f>
        <v>#REF!</v>
      </c>
      <c r="I42" s="112"/>
      <c r="J42" s="112"/>
      <c r="K42" s="112"/>
      <c r="L42" s="112"/>
    </row>
    <row r="43" spans="1:12" x14ac:dyDescent="0.3">
      <c r="A43" s="112"/>
      <c r="B43" s="112"/>
      <c r="C43" s="112"/>
      <c r="D43" s="112"/>
      <c r="E43" s="112"/>
      <c r="F43" s="112"/>
      <c r="G43" s="127">
        <v>12</v>
      </c>
      <c r="H43" s="124" t="e">
        <f>SUMIFS([2]!TbRegistroSaídas[Valor],[2]!TbRegistroSaídas[Conta Nível 2],$H$31,[2]!TbRegistroSaídas[Ano Competência],$H$30,[2]!TbRegistroSaídas[Mês Competência],G43,[2]!TbRegistroSaídas[Data da Competência],"&lt;="&amp;$C$5)</f>
        <v>#REF!</v>
      </c>
      <c r="I43" s="112"/>
      <c r="J43" s="112"/>
      <c r="K43" s="112"/>
      <c r="L43" s="112"/>
    </row>
    <row r="44" spans="1:12" x14ac:dyDescent="0.3">
      <c r="A44" s="112"/>
      <c r="B44" s="112"/>
      <c r="C44" s="112"/>
      <c r="D44" s="112"/>
      <c r="E44" s="112"/>
      <c r="F44" s="112"/>
      <c r="G44" s="118" t="s">
        <v>559</v>
      </c>
      <c r="H44" s="143" t="e">
        <f>SUM(H32:H43)</f>
        <v>#REF!</v>
      </c>
      <c r="I44" s="112"/>
      <c r="J44" s="112"/>
      <c r="K44" s="112"/>
      <c r="L44" s="112"/>
    </row>
    <row r="45" spans="1:12" x14ac:dyDescent="0.3">
      <c r="A45" s="112"/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</row>
    <row r="46" spans="1:12" x14ac:dyDescent="0.3">
      <c r="G46" s="112"/>
      <c r="H46" s="112"/>
      <c r="I46" s="112"/>
      <c r="J46" s="112"/>
    </row>
  </sheetData>
  <conditionalFormatting sqref="C11">
    <cfRule type="cellIs" dxfId="1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30"/>
  <sheetViews>
    <sheetView showGridLines="0" tabSelected="1" zoomScaleNormal="100" workbookViewId="0">
      <selection activeCell="K2" sqref="K2"/>
    </sheetView>
  </sheetViews>
  <sheetFormatPr defaultColWidth="0" defaultRowHeight="20.100000000000001" customHeight="1" x14ac:dyDescent="0.3"/>
  <cols>
    <col min="1" max="1" width="2.109375" style="60" customWidth="1"/>
    <col min="2" max="2" width="30.6640625" style="60" customWidth="1"/>
    <col min="3" max="3" width="1.6640625" style="60" customWidth="1"/>
    <col min="4" max="4" width="30.6640625" style="60" customWidth="1"/>
    <col min="5" max="5" width="5.6640625" style="60" customWidth="1"/>
    <col min="6" max="6" width="14.6640625" style="60" customWidth="1"/>
    <col min="7" max="7" width="17.88671875" style="60" customWidth="1"/>
    <col min="8" max="8" width="4.6640625" style="60" customWidth="1"/>
    <col min="9" max="9" width="34.44140625" style="60" customWidth="1"/>
    <col min="10" max="10" width="4.5546875" style="60" customWidth="1"/>
    <col min="11" max="11" width="37.6640625" style="60" customWidth="1"/>
    <col min="12" max="12" width="3" style="60" customWidth="1"/>
    <col min="13" max="15" width="9.109375" style="60" hidden="1" customWidth="1"/>
    <col min="16" max="17" width="0" style="60" hidden="1"/>
    <col min="18" max="16384" width="9.109375" style="60" hidden="1"/>
  </cols>
  <sheetData>
    <row r="1" spans="1:11" customFormat="1" ht="39.9" customHeight="1" x14ac:dyDescent="0.3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2" t="s">
        <v>568</v>
      </c>
    </row>
    <row r="2" spans="1:11" customFormat="1" ht="39.9" customHeight="1" x14ac:dyDescent="0.3">
      <c r="B2" s="5"/>
      <c r="C2" s="5"/>
      <c r="D2" s="5"/>
      <c r="E2" s="5"/>
      <c r="F2" s="5"/>
      <c r="G2" s="5"/>
      <c r="H2" s="5"/>
      <c r="I2" s="5"/>
      <c r="J2" s="5"/>
      <c r="K2" s="59">
        <v>2018</v>
      </c>
    </row>
    <row r="4" spans="1:11" ht="20.100000000000001" customHeight="1" x14ac:dyDescent="0.3">
      <c r="B4" s="61" t="s">
        <v>555</v>
      </c>
      <c r="D4" s="62" t="s">
        <v>556</v>
      </c>
      <c r="F4" s="63"/>
      <c r="G4" s="64"/>
      <c r="H4" s="64"/>
      <c r="I4" s="65" t="s">
        <v>557</v>
      </c>
      <c r="J4" s="64"/>
      <c r="K4" s="66" t="s">
        <v>36</v>
      </c>
    </row>
    <row r="5" spans="1:11" ht="20.100000000000001" customHeight="1" x14ac:dyDescent="0.3">
      <c r="B5" s="154">
        <f>DashBoardFinanceiroAnualD!C11</f>
        <v>14746</v>
      </c>
      <c r="C5" s="60" t="s">
        <v>6</v>
      </c>
      <c r="D5" s="68" t="s">
        <v>608</v>
      </c>
      <c r="F5" s="69"/>
      <c r="G5"/>
      <c r="H5"/>
      <c r="J5" s="70"/>
      <c r="K5" s="71"/>
    </row>
    <row r="6" spans="1:11" ht="20.100000000000001" customHeight="1" x14ac:dyDescent="0.3">
      <c r="F6" s="69"/>
      <c r="G6"/>
      <c r="H6"/>
      <c r="K6" s="71"/>
    </row>
    <row r="7" spans="1:11" ht="20.100000000000001" customHeight="1" x14ac:dyDescent="0.3">
      <c r="B7" s="61" t="s">
        <v>558</v>
      </c>
      <c r="D7" s="149"/>
      <c r="F7" s="69"/>
      <c r="G7"/>
      <c r="H7"/>
      <c r="K7" s="72" t="s">
        <v>559</v>
      </c>
    </row>
    <row r="8" spans="1:11" ht="20.100000000000001" customHeight="1" x14ac:dyDescent="0.3">
      <c r="B8" s="153">
        <f>DashBoardFinanceiroAnualD!D13</f>
        <v>10511</v>
      </c>
      <c r="D8" s="150"/>
      <c r="F8" s="69"/>
      <c r="G8"/>
      <c r="H8"/>
      <c r="K8" s="151">
        <f>SUM(DashBoardFinanceiroAnualD!J5:J16)</f>
        <v>137964</v>
      </c>
    </row>
    <row r="9" spans="1:11" ht="20.100000000000001" customHeight="1" x14ac:dyDescent="0.3">
      <c r="F9" s="69"/>
      <c r="G9"/>
      <c r="H9"/>
      <c r="K9" s="75"/>
    </row>
    <row r="10" spans="1:11" ht="20.100000000000001" customHeight="1" x14ac:dyDescent="0.3">
      <c r="B10" s="61" t="s">
        <v>560</v>
      </c>
      <c r="D10" s="149"/>
      <c r="F10" s="69"/>
      <c r="G10"/>
      <c r="H10"/>
      <c r="K10" s="75"/>
    </row>
    <row r="11" spans="1:11" ht="20.100000000000001" customHeight="1" x14ac:dyDescent="0.3">
      <c r="B11" s="152">
        <f>DashBoardFinanceiroAnualD!D14</f>
        <v>26691</v>
      </c>
      <c r="D11" s="150"/>
      <c r="F11" s="77"/>
      <c r="G11" s="78"/>
      <c r="H11" s="78"/>
      <c r="I11" s="79"/>
      <c r="J11" s="79"/>
      <c r="K11" s="80"/>
    </row>
    <row r="12" spans="1:11" ht="20.100000000000001" customHeight="1" x14ac:dyDescent="0.3">
      <c r="F12"/>
      <c r="G12"/>
      <c r="H12"/>
    </row>
    <row r="13" spans="1:11" ht="20.100000000000001" customHeight="1" x14ac:dyDescent="0.3">
      <c r="B13" s="81" t="s">
        <v>561</v>
      </c>
      <c r="C13" s="82"/>
      <c r="D13" s="83"/>
      <c r="F13" s="81" t="s">
        <v>562</v>
      </c>
      <c r="G13" s="83"/>
      <c r="H13"/>
      <c r="I13" s="84" t="s">
        <v>563</v>
      </c>
      <c r="K13" s="85" t="s">
        <v>564</v>
      </c>
    </row>
    <row r="14" spans="1:11" ht="20.100000000000001" customHeight="1" x14ac:dyDescent="0.3">
      <c r="B14" s="86"/>
      <c r="C14" s="87"/>
      <c r="D14" s="88"/>
      <c r="F14" s="86" t="s">
        <v>565</v>
      </c>
      <c r="G14" s="89" t="s">
        <v>566</v>
      </c>
      <c r="H14"/>
      <c r="I14" s="90">
        <f>DashBoardFinanceiroAnualD!E32</f>
        <v>18424</v>
      </c>
      <c r="K14" s="91" t="s">
        <v>33</v>
      </c>
    </row>
    <row r="15" spans="1:11" ht="20.100000000000001" customHeight="1" x14ac:dyDescent="0.3">
      <c r="B15" s="86"/>
      <c r="D15" s="88"/>
      <c r="F15" s="92"/>
      <c r="G15" s="93"/>
      <c r="H15"/>
      <c r="I15" s="94"/>
      <c r="K15" s="95">
        <f>DashBoardFinanceiroAnualD!H44</f>
        <v>49039</v>
      </c>
    </row>
    <row r="16" spans="1:11" ht="20.100000000000001" customHeight="1" x14ac:dyDescent="0.3">
      <c r="B16" s="96">
        <f>DashBoardFinanceiroAnualD!E22</f>
        <v>320574</v>
      </c>
      <c r="D16" s="88"/>
      <c r="F16" s="97">
        <f ca="1">DashBoardFinanceiroAnualD!E27</f>
        <v>608.82872397337485</v>
      </c>
      <c r="G16" s="98">
        <f ca="1">DashBoardFinanceiroAnualD!J27</f>
        <v>437.94460794807077</v>
      </c>
      <c r="H16"/>
      <c r="I16" s="94"/>
      <c r="K16" s="99"/>
    </row>
    <row r="17" spans="2:11" ht="20.100000000000001" customHeight="1" x14ac:dyDescent="0.3">
      <c r="B17" s="96"/>
      <c r="D17" s="88"/>
      <c r="F17" s="100"/>
      <c r="G17" s="93"/>
      <c r="H17"/>
      <c r="I17" s="94"/>
      <c r="K17" s="99"/>
    </row>
    <row r="18" spans="2:11" ht="18" x14ac:dyDescent="0.3">
      <c r="B18" s="86"/>
      <c r="D18" s="88"/>
      <c r="F18" s="101" t="s">
        <v>567</v>
      </c>
      <c r="G18" s="102" t="s">
        <v>567</v>
      </c>
      <c r="H18"/>
      <c r="I18" s="94"/>
      <c r="K18" s="99"/>
    </row>
    <row r="19" spans="2:11" ht="25.8" x14ac:dyDescent="0.3">
      <c r="B19" s="103"/>
      <c r="C19" s="104"/>
      <c r="D19" s="105"/>
      <c r="F19" s="106"/>
      <c r="G19" s="107"/>
      <c r="H19"/>
      <c r="I19" s="108"/>
      <c r="K19" s="109"/>
    </row>
    <row r="20" spans="2:11" ht="14.4" x14ac:dyDescent="0.3">
      <c r="F20"/>
      <c r="G20"/>
      <c r="H20"/>
    </row>
    <row r="21" spans="2:11" ht="14.4" x14ac:dyDescent="0.3">
      <c r="B21" s="110"/>
      <c r="C21" s="110"/>
      <c r="D21" s="110"/>
      <c r="E21" s="110"/>
      <c r="F21" s="110"/>
      <c r="G21" s="110"/>
      <c r="H21" s="110"/>
      <c r="I21" s="110"/>
      <c r="J21" s="110"/>
      <c r="K21" s="110"/>
    </row>
    <row r="27" spans="2:11" ht="14.4" x14ac:dyDescent="0.3">
      <c r="D27" s="111"/>
    </row>
    <row r="30" spans="2:11" ht="14.4" x14ac:dyDescent="0.3">
      <c r="C30" s="111"/>
    </row>
  </sheetData>
  <mergeCells count="4">
    <mergeCell ref="B13:D13"/>
    <mergeCell ref="F13:G13"/>
    <mergeCell ref="D7:D8"/>
    <mergeCell ref="D10:D11"/>
  </mergeCells>
  <conditionalFormatting sqref="I14">
    <cfRule type="cellIs" dxfId="4" priority="1" operator="lessThan">
      <formula>0</formula>
    </cfRule>
  </conditionalFormatting>
  <dataValidations count="2">
    <dataValidation type="list" allowBlank="1" showInputMessage="1" showErrorMessage="1" errorTitle="Conta Inexistente!" error="Selecione uma conta da lista." sqref="K14" xr:uid="{011C8BE4-D7D7-415F-A0A0-FB1AAC799CB7}">
      <formula1>PCSaídasN2_Nível_2</formula1>
    </dataValidation>
    <dataValidation type="list" allowBlank="1" showInputMessage="1" showErrorMessage="1" errorTitle="Conta Inexisente!" error="Selecione um item da conta." sqref="K4" xr:uid="{8FE9E90B-E38C-47F1-85D6-3AE708FD1578}">
      <formula1>PCEntradasN2_Nível_2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39E52B17-AF8E-4F10-A80B-65E29E20D355}">
          <x14:colorSeries rgb="FF00B05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DashBoardFinanceiroAnualD!H5:H16</xm:f>
              <xm:sqref>D10</xm:sqref>
            </x14:sparkline>
          </x14:sparklines>
        </x14:sparklineGroup>
        <x14:sparklineGroup type="column" displayEmptyCellsAs="gap" xr2:uid="{FF3D90B4-D70D-4EC4-8893-923CCFB16917}">
          <x14:colorSeries rgb="FFFF000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DashBoardFinanceiroAnualD!G5:G16</xm:f>
              <xm:sqref>D7</xm:sqref>
            </x14:sparkline>
          </x14:sparklines>
        </x14:sparklineGroup>
      </x14:sparklineGroup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3571B-65E8-4320-BFAA-064F6FF5D293}">
  <dimension ref="A1:L46"/>
  <sheetViews>
    <sheetView showGridLines="0" zoomScale="145" zoomScaleNormal="145" workbookViewId="0">
      <selection activeCell="H28" sqref="H28"/>
    </sheetView>
  </sheetViews>
  <sheetFormatPr defaultRowHeight="14.4" x14ac:dyDescent="0.3"/>
  <cols>
    <col min="1" max="1" width="3.88671875" style="144" customWidth="1"/>
    <col min="2" max="2" width="13.33203125" style="144" customWidth="1"/>
    <col min="3" max="3" width="13.6640625" style="144" customWidth="1"/>
    <col min="4" max="5" width="13.33203125" style="144" customWidth="1"/>
    <col min="6" max="6" width="8.88671875" style="144"/>
    <col min="7" max="7" width="15.88671875" style="144" customWidth="1"/>
    <col min="8" max="8" width="18" style="144" customWidth="1"/>
    <col min="9" max="9" width="8.88671875" style="144"/>
    <col min="10" max="10" width="19.88671875" style="144" customWidth="1"/>
    <col min="11" max="11" width="13.88671875" style="144" customWidth="1"/>
    <col min="12" max="16384" width="8.88671875" style="144"/>
  </cols>
  <sheetData>
    <row r="1" spans="1:12" x14ac:dyDescent="0.3">
      <c r="A1" s="112"/>
      <c r="B1" s="113" t="s">
        <v>569</v>
      </c>
      <c r="C1" s="113"/>
      <c r="D1" s="113"/>
      <c r="E1" s="113"/>
      <c r="F1" s="113"/>
      <c r="G1" s="113"/>
      <c r="H1" s="113"/>
      <c r="I1" s="113"/>
      <c r="J1" s="113"/>
      <c r="K1" s="113"/>
      <c r="L1" s="113"/>
    </row>
    <row r="2" spans="1:12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</row>
    <row r="3" spans="1:12" x14ac:dyDescent="0.3">
      <c r="A3" s="112"/>
      <c r="B3" s="112"/>
      <c r="C3" s="112"/>
      <c r="D3" s="112"/>
      <c r="E3" s="112"/>
      <c r="F3" s="114" t="s">
        <v>570</v>
      </c>
      <c r="G3" s="112"/>
      <c r="H3" s="112"/>
      <c r="I3" s="112"/>
      <c r="J3" s="114" t="s">
        <v>571</v>
      </c>
      <c r="K3" s="115" t="s">
        <v>572</v>
      </c>
      <c r="L3" s="116">
        <f>C4</f>
        <v>2018</v>
      </c>
    </row>
    <row r="4" spans="1:12" x14ac:dyDescent="0.3">
      <c r="A4" s="112"/>
      <c r="B4" s="115" t="s">
        <v>573</v>
      </c>
      <c r="C4" s="117">
        <f>DashBoardFinanceiroAnual!K2</f>
        <v>2018</v>
      </c>
      <c r="D4" s="112"/>
      <c r="E4" s="112"/>
      <c r="F4" s="118" t="s">
        <v>574</v>
      </c>
      <c r="G4" s="119" t="s">
        <v>575</v>
      </c>
      <c r="H4" s="118" t="s">
        <v>576</v>
      </c>
      <c r="I4" s="112"/>
      <c r="J4" s="120" t="str">
        <f>DashBoardFinanceiroAnual!K4</f>
        <v>Móveis</v>
      </c>
      <c r="K4" s="118" t="s">
        <v>577</v>
      </c>
      <c r="L4" s="118" t="s">
        <v>574</v>
      </c>
    </row>
    <row r="5" spans="1:12" x14ac:dyDescent="0.3">
      <c r="A5" s="112"/>
      <c r="B5" s="112"/>
      <c r="C5" s="112"/>
      <c r="D5" s="112"/>
      <c r="E5" s="112"/>
      <c r="F5" s="121">
        <v>1</v>
      </c>
      <c r="G5" s="122">
        <f>SUMIFS(TbRegistroSaídas[Valor],TbRegistroSaídas[Mês Previsto],F5,TbRegistroSaídas[Ano Previsto],$C$4,TbRegistroSaídas[Data do Caixa Realizado],"")</f>
        <v>1155</v>
      </c>
      <c r="H5" s="122">
        <f>SUMIFS(TbRegistroEntradas[Valor],TbRegistroEntradas[Mês Previsto],F5,TbRegistroEntradas[Ano Previsto],$C$4,TbRegistroEntradas[Data do Caixa Realizado],"")</f>
        <v>1284</v>
      </c>
      <c r="I5" s="112"/>
      <c r="J5" s="122">
        <f>SUMIFS(TbRegistroEntradas[Valor],TbRegistroEntradas[Conta Nível 2],$J$4,TbRegistroEntradas[Ano Competência],$L$3,TbRegistroEntradas[Mês Competência],F5)</f>
        <v>10164</v>
      </c>
      <c r="K5" s="122">
        <f>IF(J5=0,NA(),J5)</f>
        <v>10164</v>
      </c>
      <c r="L5" s="123" t="s">
        <v>578</v>
      </c>
    </row>
    <row r="6" spans="1:12" x14ac:dyDescent="0.3">
      <c r="A6" s="112"/>
      <c r="B6" s="112"/>
      <c r="C6" s="112"/>
      <c r="D6" s="112"/>
      <c r="E6" s="112"/>
      <c r="F6" s="112">
        <v>2</v>
      </c>
      <c r="G6" s="124">
        <f>SUMIFS(TbRegistroSaídas[Valor],TbRegistroSaídas[Mês Previsto],F6,TbRegistroSaídas[Ano Previsto],$C$4,TbRegistroSaídas[Data do Caixa Realizado],"")</f>
        <v>0</v>
      </c>
      <c r="H6" s="124">
        <f>SUMIFS(TbRegistroEntradas[Valor],TbRegistroEntradas[Mês Previsto],F6,TbRegistroEntradas[Ano Previsto],$C$4,TbRegistroEntradas[Data do Caixa Realizado],"")</f>
        <v>0</v>
      </c>
      <c r="I6" s="112"/>
      <c r="J6" s="124">
        <f>SUMIFS(TbRegistroEntradas[Valor],TbRegistroEntradas[Conta Nível 2],$J$4,TbRegistroEntradas[Ano Competência],$L$3,TbRegistroEntradas[Mês Competência],F6)</f>
        <v>7734</v>
      </c>
      <c r="K6" s="124">
        <f t="shared" ref="K6:K16" si="0">IF(J6=0,NA(),J6)</f>
        <v>7734</v>
      </c>
      <c r="L6" s="115" t="s">
        <v>579</v>
      </c>
    </row>
    <row r="7" spans="1:12" x14ac:dyDescent="0.3">
      <c r="A7" s="112"/>
      <c r="B7" s="114" t="s">
        <v>580</v>
      </c>
      <c r="C7" s="112"/>
      <c r="D7" s="112"/>
      <c r="E7" s="112"/>
      <c r="F7" s="112">
        <v>3</v>
      </c>
      <c r="G7" s="124">
        <f>SUMIFS(TbRegistroSaídas[Valor],TbRegistroSaídas[Mês Previsto],F7,TbRegistroSaídas[Ano Previsto],$C$4,TbRegistroSaídas[Data do Caixa Realizado],"")</f>
        <v>4438</v>
      </c>
      <c r="H7" s="124">
        <f>SUMIFS(TbRegistroEntradas[Valor],TbRegistroEntradas[Mês Previsto],F7,TbRegistroEntradas[Ano Previsto],$C$4,TbRegistroEntradas[Data do Caixa Realizado],"")</f>
        <v>0</v>
      </c>
      <c r="I7" s="112"/>
      <c r="J7" s="124">
        <f>SUMIFS(TbRegistroEntradas[Valor],TbRegistroEntradas[Conta Nível 2],$J$4,TbRegistroEntradas[Ano Competência],$L$3,TbRegistroEntradas[Mês Competência],F7)</f>
        <v>9984</v>
      </c>
      <c r="K7" s="124">
        <f t="shared" si="0"/>
        <v>9984</v>
      </c>
      <c r="L7" s="115" t="s">
        <v>581</v>
      </c>
    </row>
    <row r="8" spans="1:12" x14ac:dyDescent="0.3">
      <c r="A8" s="112"/>
      <c r="B8" s="121" t="s">
        <v>607</v>
      </c>
      <c r="C8" s="125">
        <f>SUMIFS(TbRegistroEntradas[Valor],TbRegistroEntradas[Ano Caixa],"&lt;"&amp;C4,TbRegistroEntradas[Ano Caixa],"&lt;&gt;0")-SUMIFS(TbRegistroSaídas[Valor],TbRegistroSaídas[Ano Caixa],"&lt;"&amp;C4,TbRegistroSaídas[Ano Caixa],"&lt;&gt;0")</f>
        <v>16535</v>
      </c>
      <c r="D8" s="112"/>
      <c r="E8" s="112"/>
      <c r="F8" s="112">
        <v>4</v>
      </c>
      <c r="G8" s="124">
        <f>SUMIFS(TbRegistroSaídas[Valor],TbRegistroSaídas[Mês Previsto],F8,TbRegistroSaídas[Ano Previsto],$C$4,TbRegistroSaídas[Data do Caixa Realizado],"")</f>
        <v>0</v>
      </c>
      <c r="H8" s="124">
        <f>SUMIFS(TbRegistroEntradas[Valor],TbRegistroEntradas[Mês Previsto],F8,TbRegistroEntradas[Ano Previsto],$C$4,TbRegistroEntradas[Data do Caixa Realizado],"")</f>
        <v>2388</v>
      </c>
      <c r="I8" s="112"/>
      <c r="J8" s="124">
        <f>SUMIFS(TbRegistroEntradas[Valor],TbRegistroEntradas[Conta Nível 2],$J$4,TbRegistroEntradas[Ano Competência],$L$3,TbRegistroEntradas[Mês Competência],F8)</f>
        <v>22313</v>
      </c>
      <c r="K8" s="124">
        <f t="shared" si="0"/>
        <v>22313</v>
      </c>
      <c r="L8" s="115" t="s">
        <v>583</v>
      </c>
    </row>
    <row r="9" spans="1:12" x14ac:dyDescent="0.3">
      <c r="A9" s="112"/>
      <c r="B9" s="145" t="s">
        <v>582</v>
      </c>
      <c r="C9" s="126">
        <f>SUMIFS(TbRegistroEntradas[Valor],TbRegistroEntradas[Ano Caixa],"="&amp;C4)</f>
        <v>308319</v>
      </c>
      <c r="D9" s="112"/>
      <c r="E9" s="112"/>
      <c r="F9" s="112">
        <v>5</v>
      </c>
      <c r="G9" s="124">
        <f>SUMIFS(TbRegistroSaídas[Valor],TbRegistroSaídas[Mês Previsto],F9,TbRegistroSaídas[Ano Previsto],$C$4,TbRegistroSaídas[Data do Caixa Realizado],"")</f>
        <v>0</v>
      </c>
      <c r="H9" s="124">
        <f>SUMIFS(TbRegistroEntradas[Valor],TbRegistroEntradas[Mês Previsto],F9,TbRegistroEntradas[Ano Previsto],$C$4,TbRegistroEntradas[Data do Caixa Realizado],"")</f>
        <v>0</v>
      </c>
      <c r="I9" s="112"/>
      <c r="J9" s="124">
        <f>SUMIFS(TbRegistroEntradas[Valor],TbRegistroEntradas[Conta Nível 2],$J$4,TbRegistroEntradas[Ano Competência],$L$3,TbRegistroEntradas[Mês Competência],F9)</f>
        <v>4850</v>
      </c>
      <c r="K9" s="124">
        <f t="shared" si="0"/>
        <v>4850</v>
      </c>
      <c r="L9" s="115" t="s">
        <v>585</v>
      </c>
    </row>
    <row r="10" spans="1:12" x14ac:dyDescent="0.3">
      <c r="A10" s="112"/>
      <c r="B10" s="112" t="s">
        <v>584</v>
      </c>
      <c r="C10" s="126">
        <f>SUMIFS(TbRegistroSaídas[Valor],TbRegistroSaídas[Ano Caixa],"="&amp;C4)</f>
        <v>310108</v>
      </c>
      <c r="D10" s="112"/>
      <c r="E10" s="112"/>
      <c r="F10" s="112">
        <v>6</v>
      </c>
      <c r="G10" s="124">
        <f>SUMIFS(TbRegistroSaídas[Valor],TbRegistroSaídas[Mês Previsto],F10,TbRegistroSaídas[Ano Previsto],$C$4,TbRegistroSaídas[Data do Caixa Realizado],"")</f>
        <v>701</v>
      </c>
      <c r="H10" s="124">
        <f>SUMIFS(TbRegistroEntradas[Valor],TbRegistroEntradas[Mês Previsto],F10,TbRegistroEntradas[Ano Previsto],$C$4,TbRegistroEntradas[Data do Caixa Realizado],"")</f>
        <v>6102</v>
      </c>
      <c r="I10" s="112"/>
      <c r="J10" s="124">
        <f>SUMIFS(TbRegistroEntradas[Valor],TbRegistroEntradas[Conta Nível 2],$J$4,TbRegistroEntradas[Ano Competência],$L$3,TbRegistroEntradas[Mês Competência],F10)</f>
        <v>12262</v>
      </c>
      <c r="K10" s="124">
        <f t="shared" si="0"/>
        <v>12262</v>
      </c>
      <c r="L10" s="115" t="s">
        <v>587</v>
      </c>
    </row>
    <row r="11" spans="1:12" x14ac:dyDescent="0.3">
      <c r="A11" s="112"/>
      <c r="B11" s="127" t="s">
        <v>586</v>
      </c>
      <c r="C11" s="128">
        <f>C8+C9-C10</f>
        <v>14746</v>
      </c>
      <c r="D11" s="145"/>
      <c r="E11" s="112"/>
      <c r="F11" s="112">
        <v>7</v>
      </c>
      <c r="G11" s="124">
        <f>SUMIFS(TbRegistroSaídas[Valor],TbRegistroSaídas[Mês Previsto],F11,TbRegistroSaídas[Ano Previsto],$C$4,TbRegistroSaídas[Data do Caixa Realizado],"")</f>
        <v>0</v>
      </c>
      <c r="H11" s="124">
        <f>SUMIFS(TbRegistroEntradas[Valor],TbRegistroEntradas[Mês Previsto],F11,TbRegistroEntradas[Ano Previsto],$C$4,TbRegistroEntradas[Data do Caixa Realizado],"")</f>
        <v>0</v>
      </c>
      <c r="I11" s="112"/>
      <c r="J11" s="124">
        <f>SUMIFS(TbRegistroEntradas[Valor],TbRegistroEntradas[Conta Nível 2],$J$4,TbRegistroEntradas[Ano Competência],$L$3,TbRegistroEntradas[Mês Competência],F11)</f>
        <v>12594</v>
      </c>
      <c r="K11" s="124">
        <f t="shared" si="0"/>
        <v>12594</v>
      </c>
      <c r="L11" s="115" t="s">
        <v>588</v>
      </c>
    </row>
    <row r="12" spans="1:12" x14ac:dyDescent="0.3">
      <c r="A12" s="112"/>
      <c r="B12" s="112"/>
      <c r="C12" s="112"/>
      <c r="D12" s="146"/>
      <c r="E12" s="112"/>
      <c r="F12" s="112">
        <v>8</v>
      </c>
      <c r="G12" s="124">
        <f>SUMIFS(TbRegistroSaídas[Valor],TbRegistroSaídas[Mês Previsto],F12,TbRegistroSaídas[Ano Previsto],$C$4,TbRegistroSaídas[Data do Caixa Realizado],"")</f>
        <v>4217</v>
      </c>
      <c r="H12" s="124">
        <f>SUMIFS(TbRegistroEntradas[Valor],TbRegistroEntradas[Mês Previsto],F12,TbRegistroEntradas[Ano Previsto],$C$4,TbRegistroEntradas[Data do Caixa Realizado],"")</f>
        <v>770</v>
      </c>
      <c r="I12" s="112"/>
      <c r="J12" s="124">
        <f>SUMIFS(TbRegistroEntradas[Valor],TbRegistroEntradas[Conta Nível 2],$J$4,TbRegistroEntradas[Ano Competência],$L$3,TbRegistroEntradas[Mês Competência],F12)</f>
        <v>6006</v>
      </c>
      <c r="K12" s="124">
        <f t="shared" si="0"/>
        <v>6006</v>
      </c>
      <c r="L12" s="115" t="s">
        <v>590</v>
      </c>
    </row>
    <row r="13" spans="1:12" x14ac:dyDescent="0.3">
      <c r="A13" s="112"/>
      <c r="B13" s="129" t="s">
        <v>589</v>
      </c>
      <c r="C13" s="129"/>
      <c r="D13" s="147">
        <f>SUMIFS(TbRegistroSaídas[Valor],TbRegistroSaídas[Data do Caixa Realizado],"",TbRegistroSaídas[Ano Previsto],C4)</f>
        <v>10511</v>
      </c>
      <c r="E13" s="112"/>
      <c r="F13" s="112">
        <v>9</v>
      </c>
      <c r="G13" s="124">
        <f>SUMIFS(TbRegistroSaídas[Valor],TbRegistroSaídas[Mês Previsto],F13,TbRegistroSaídas[Ano Previsto],$C$4,TbRegistroSaídas[Data do Caixa Realizado],"")</f>
        <v>0</v>
      </c>
      <c r="H13" s="124">
        <f>SUMIFS(TbRegistroEntradas[Valor],TbRegistroEntradas[Mês Previsto],F13,TbRegistroEntradas[Ano Previsto],$C$4,TbRegistroEntradas[Data do Caixa Realizado],"")</f>
        <v>4253</v>
      </c>
      <c r="I13" s="112"/>
      <c r="J13" s="124">
        <f>SUMIFS(TbRegistroEntradas[Valor],TbRegistroEntradas[Conta Nível 2],$J$4,TbRegistroEntradas[Ano Competência],$L$3,TbRegistroEntradas[Mês Competência],F13)</f>
        <v>11235</v>
      </c>
      <c r="K13" s="124">
        <f t="shared" si="0"/>
        <v>11235</v>
      </c>
      <c r="L13" s="115" t="s">
        <v>592</v>
      </c>
    </row>
    <row r="14" spans="1:12" x14ac:dyDescent="0.3">
      <c r="A14" s="112"/>
      <c r="B14" s="130" t="s">
        <v>591</v>
      </c>
      <c r="C14" s="130"/>
      <c r="D14" s="148">
        <f>SUMIFS(TbRegistroEntradas[Valor],TbRegistroEntradas[Data do Caixa Realizado],"",TbRegistroEntradas[Ano Previsto],C4)</f>
        <v>26691</v>
      </c>
      <c r="E14" s="112"/>
      <c r="F14" s="112">
        <v>10</v>
      </c>
      <c r="G14" s="124">
        <f>SUMIFS(TbRegistroSaídas[Valor],TbRegistroSaídas[Mês Previsto],F14,TbRegistroSaídas[Ano Previsto],$C$4,TbRegistroSaídas[Data do Caixa Realizado],"")</f>
        <v>0</v>
      </c>
      <c r="H14" s="124">
        <f>SUMIFS(TbRegistroEntradas[Valor],TbRegistroEntradas[Mês Previsto],F14,TbRegistroEntradas[Ano Previsto],$C$4,TbRegistroEntradas[Data do Caixa Realizado],"")</f>
        <v>4922</v>
      </c>
      <c r="I14" s="112"/>
      <c r="J14" s="124">
        <f>SUMIFS(TbRegistroEntradas[Valor],TbRegistroEntradas[Conta Nível 2],$J$4,TbRegistroEntradas[Ano Competência],$L$3,TbRegistroEntradas[Mês Competência],F14)</f>
        <v>10633</v>
      </c>
      <c r="K14" s="124">
        <f t="shared" si="0"/>
        <v>10633</v>
      </c>
      <c r="L14" s="115" t="s">
        <v>593</v>
      </c>
    </row>
    <row r="15" spans="1:12" x14ac:dyDescent="0.3">
      <c r="A15" s="112"/>
      <c r="B15" s="112"/>
      <c r="C15" s="112"/>
      <c r="D15" s="112"/>
      <c r="E15" s="112"/>
      <c r="F15" s="112">
        <v>11</v>
      </c>
      <c r="G15" s="124">
        <f>SUMIFS(TbRegistroSaídas[Valor],TbRegistroSaídas[Mês Previsto],F15,TbRegistroSaídas[Ano Previsto],$C$4,TbRegistroSaídas[Data do Caixa Realizado],"")</f>
        <v>0</v>
      </c>
      <c r="H15" s="124">
        <f>SUMIFS(TbRegistroEntradas[Valor],TbRegistroEntradas[Mês Previsto],F15,TbRegistroEntradas[Ano Previsto],$C$4,TbRegistroEntradas[Data do Caixa Realizado],"")</f>
        <v>0</v>
      </c>
      <c r="I15" s="112"/>
      <c r="J15" s="124">
        <f>SUMIFS(TbRegistroEntradas[Valor],TbRegistroEntradas[Conta Nível 2],$J$4,TbRegistroEntradas[Ano Competência],$L$3,TbRegistroEntradas[Mês Competência],F15)</f>
        <v>20451</v>
      </c>
      <c r="K15" s="124">
        <f t="shared" si="0"/>
        <v>20451</v>
      </c>
      <c r="L15" s="115" t="s">
        <v>594</v>
      </c>
    </row>
    <row r="16" spans="1:12" x14ac:dyDescent="0.3">
      <c r="A16" s="112"/>
      <c r="B16" s="112"/>
      <c r="C16" s="112"/>
      <c r="D16" s="112"/>
      <c r="E16" s="112"/>
      <c r="F16" s="127">
        <v>12</v>
      </c>
      <c r="G16" s="132">
        <f>SUMIFS(TbRegistroSaídas[Valor],TbRegistroSaídas[Mês Previsto],F16,TbRegistroSaídas[Ano Previsto],$C$4,TbRegistroSaídas[Data do Caixa Realizado],"")</f>
        <v>0</v>
      </c>
      <c r="H16" s="132">
        <f>SUMIFS(TbRegistroEntradas[Valor],TbRegistroEntradas[Mês Previsto],F16,TbRegistroEntradas[Ano Previsto],$C$4,TbRegistroEntradas[Data do Caixa Realizado],"")</f>
        <v>6972</v>
      </c>
      <c r="I16" s="112"/>
      <c r="J16" s="132">
        <f>SUMIFS(TbRegistroEntradas[Valor],TbRegistroEntradas[Conta Nível 2],$J$4,TbRegistroEntradas[Ano Competência],$L$3,TbRegistroEntradas[Mês Competência],F16)</f>
        <v>9738</v>
      </c>
      <c r="K16" s="132">
        <f t="shared" si="0"/>
        <v>9738</v>
      </c>
      <c r="L16" s="133" t="s">
        <v>595</v>
      </c>
    </row>
    <row r="17" spans="1:12" x14ac:dyDescent="0.3">
      <c r="A17" s="112"/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</row>
    <row r="18" spans="1:12" x14ac:dyDescent="0.3">
      <c r="A18" s="112"/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</row>
    <row r="19" spans="1:12" x14ac:dyDescent="0.3">
      <c r="A19" s="112"/>
      <c r="B19" s="112"/>
      <c r="C19" s="112"/>
      <c r="D19" s="112"/>
      <c r="E19" s="112"/>
      <c r="F19" s="112"/>
      <c r="G19" s="112"/>
      <c r="H19" s="112"/>
      <c r="I19" s="112"/>
      <c r="J19" s="112"/>
      <c r="K19" s="112"/>
      <c r="L19" s="112"/>
    </row>
    <row r="20" spans="1:12" x14ac:dyDescent="0.3">
      <c r="A20" s="112"/>
      <c r="B20" s="114" t="s">
        <v>596</v>
      </c>
      <c r="C20" s="112"/>
      <c r="D20" s="112"/>
      <c r="E20" s="134"/>
      <c r="F20" s="112"/>
      <c r="G20" s="112"/>
      <c r="H20" s="112"/>
      <c r="I20" s="112"/>
      <c r="J20" s="112"/>
      <c r="K20" s="112"/>
      <c r="L20" s="112"/>
    </row>
    <row r="21" spans="1:12" x14ac:dyDescent="0.3">
      <c r="A21" s="112"/>
      <c r="B21" s="118" t="s">
        <v>597</v>
      </c>
      <c r="C21" s="119" t="s">
        <v>598</v>
      </c>
      <c r="D21" s="119" t="s">
        <v>599</v>
      </c>
      <c r="E21" s="119" t="s">
        <v>559</v>
      </c>
      <c r="F21" s="112"/>
      <c r="G21" s="112"/>
      <c r="H21" s="112"/>
      <c r="I21" s="112"/>
      <c r="J21" s="112"/>
      <c r="K21" s="112"/>
      <c r="L21" s="112"/>
    </row>
    <row r="22" spans="1:12" x14ac:dyDescent="0.3">
      <c r="A22" s="112"/>
      <c r="B22" s="135">
        <f>C4</f>
        <v>2018</v>
      </c>
      <c r="C22" s="136">
        <f>SUMIFS(TbRegistroEntradas[Valor],TbRegistroEntradas[Venda à Vista],"Vista",TbRegistroEntradas[Ano Competência],B22)</f>
        <v>0</v>
      </c>
      <c r="D22" s="136">
        <f>SUMIFS(TbRegistroEntradas[Valor],TbRegistroEntradas[Venda à Vista],"Prazo",TbRegistroEntradas[Ano Competência],B22)</f>
        <v>320574</v>
      </c>
      <c r="E22" s="136">
        <f>C22+D22</f>
        <v>320574</v>
      </c>
      <c r="F22" s="112"/>
      <c r="G22" s="112"/>
      <c r="H22" s="112"/>
      <c r="I22" s="112"/>
      <c r="J22" s="112"/>
      <c r="K22" s="112"/>
      <c r="L22" s="112"/>
    </row>
    <row r="23" spans="1:12" x14ac:dyDescent="0.3">
      <c r="A23" s="112"/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</row>
    <row r="24" spans="1:12" x14ac:dyDescent="0.3">
      <c r="A24" s="112"/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</row>
    <row r="25" spans="1:12" x14ac:dyDescent="0.3">
      <c r="A25" s="112"/>
      <c r="B25" s="114" t="s">
        <v>600</v>
      </c>
      <c r="C25" s="112"/>
      <c r="D25" s="112"/>
      <c r="E25" s="112"/>
      <c r="F25" s="112"/>
      <c r="G25" s="114" t="s">
        <v>601</v>
      </c>
      <c r="H25" s="112"/>
      <c r="I25" s="112"/>
      <c r="J25" s="112"/>
      <c r="K25" s="112"/>
      <c r="L25" s="112"/>
    </row>
    <row r="26" spans="1:12" x14ac:dyDescent="0.3">
      <c r="A26" s="112"/>
      <c r="B26" s="118" t="s">
        <v>597</v>
      </c>
      <c r="C26" s="119" t="s">
        <v>602</v>
      </c>
      <c r="D26" s="119" t="s">
        <v>567</v>
      </c>
      <c r="E26" s="119" t="s">
        <v>603</v>
      </c>
      <c r="F26" s="112"/>
      <c r="G26" s="118" t="s">
        <v>597</v>
      </c>
      <c r="H26" s="119" t="s">
        <v>602</v>
      </c>
      <c r="I26" s="119" t="s">
        <v>567</v>
      </c>
      <c r="J26" s="119" t="s">
        <v>603</v>
      </c>
      <c r="K26" s="112"/>
      <c r="L26" s="112"/>
    </row>
    <row r="27" spans="1:12" x14ac:dyDescent="0.3">
      <c r="A27" s="112"/>
      <c r="B27" s="135">
        <f>C4</f>
        <v>2018</v>
      </c>
      <c r="C27" s="137">
        <f ca="1">COUNTIFS(TbRegistroEntradas[Ano Competência],B27,TbRegistroEntradas[Dias de Atraso],"&gt;0")</f>
        <v>39</v>
      </c>
      <c r="D27" s="137">
        <f ca="1">SUMIFS(TbRegistroEntradas[Dias de Atraso],TbRegistroEntradas[Ano Competência],B27,TbRegistroEntradas[Dias de Atraso],"&gt;0")</f>
        <v>23744.320234961619</v>
      </c>
      <c r="E27" s="137">
        <f ca="1">D27/C27</f>
        <v>608.82872397337485</v>
      </c>
      <c r="F27" s="112"/>
      <c r="G27" s="135">
        <f>C4</f>
        <v>2018</v>
      </c>
      <c r="H27" s="137">
        <f ca="1">COUNTIFS(TbRegistroSaídas[Ano Competência],B27,TbRegistroSaídas[Dias de Atraso],"&gt;0")</f>
        <v>28</v>
      </c>
      <c r="I27" s="137">
        <f ca="1">SUMIFS(TbRegistroSaídas[Dias de Atraso],TbRegistroSaídas[Ano Competência],B27,TbRegistroSaídas[Dias de Atraso],"&gt;0")</f>
        <v>12262.449022545981</v>
      </c>
      <c r="J27" s="137">
        <f ca="1">I27/H27</f>
        <v>437.94460794807077</v>
      </c>
      <c r="K27" s="112"/>
      <c r="L27" s="112"/>
    </row>
    <row r="28" spans="1:12" x14ac:dyDescent="0.3">
      <c r="A28" s="112"/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</row>
    <row r="29" spans="1:12" x14ac:dyDescent="0.3">
      <c r="A29" s="112"/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</row>
    <row r="30" spans="1:12" x14ac:dyDescent="0.3">
      <c r="A30" s="112"/>
      <c r="B30" s="114" t="s">
        <v>604</v>
      </c>
      <c r="C30" s="112"/>
      <c r="D30" s="112"/>
      <c r="E30" s="112"/>
      <c r="F30" s="112"/>
      <c r="G30" s="114" t="s">
        <v>605</v>
      </c>
      <c r="H30" s="138">
        <f>C4</f>
        <v>2018</v>
      </c>
      <c r="I30" s="112"/>
      <c r="J30" s="112"/>
      <c r="K30" s="112"/>
      <c r="L30" s="112"/>
    </row>
    <row r="31" spans="1:12" x14ac:dyDescent="0.3">
      <c r="A31" s="112"/>
      <c r="B31" s="139" t="s">
        <v>597</v>
      </c>
      <c r="C31" s="123" t="s">
        <v>582</v>
      </c>
      <c r="D31" s="123" t="s">
        <v>584</v>
      </c>
      <c r="E31" s="123" t="s">
        <v>606</v>
      </c>
      <c r="F31" s="112"/>
      <c r="G31" s="118" t="s">
        <v>574</v>
      </c>
      <c r="H31" s="140" t="str">
        <f>DashBoardFinanceiroAnual!K14</f>
        <v>Eletrodomésticos</v>
      </c>
      <c r="I31" s="112"/>
      <c r="J31" s="112"/>
      <c r="K31" s="112"/>
      <c r="L31" s="112"/>
    </row>
    <row r="32" spans="1:12" x14ac:dyDescent="0.3">
      <c r="A32" s="112"/>
      <c r="B32" s="155">
        <f>C4</f>
        <v>2018</v>
      </c>
      <c r="C32" s="141">
        <f>SUMIFS(TbRegistroEntradas[Valor],TbRegistroEntradas[Ano Competência],B32)</f>
        <v>320574</v>
      </c>
      <c r="D32" s="141">
        <f>SUMIFS(TbRegistroSaídas[Valor],TbRegistroSaídas[Ano Competência],B32)</f>
        <v>302150</v>
      </c>
      <c r="E32" s="142">
        <f>C32-D32</f>
        <v>18424</v>
      </c>
      <c r="F32" s="112"/>
      <c r="G32" s="112">
        <v>1</v>
      </c>
      <c r="H32" s="124">
        <f>SUMIFS(TbRegistroSaídas[Valor],TbRegistroSaídas[Conta Nível 2],$H$31,TbRegistroSaídas[Ano Competência],$H$30,TbRegistroSaídas[Mês Competência],G32)</f>
        <v>3057</v>
      </c>
      <c r="I32" s="112"/>
      <c r="J32" s="112"/>
      <c r="K32" s="112"/>
      <c r="L32" s="112"/>
    </row>
    <row r="33" spans="1:12" x14ac:dyDescent="0.3">
      <c r="A33" s="112"/>
      <c r="B33" s="112"/>
      <c r="C33" s="112"/>
      <c r="D33" s="112"/>
      <c r="E33" s="112"/>
      <c r="F33" s="112"/>
      <c r="G33" s="112">
        <v>2</v>
      </c>
      <c r="H33" s="124">
        <f>SUMIFS(TbRegistroSaídas[Valor],TbRegistroSaídas[Conta Nível 2],$H$31,TbRegistroSaídas[Ano Competência],$H$30,TbRegistroSaídas[Mês Competência],G33)</f>
        <v>3255</v>
      </c>
      <c r="I33" s="112"/>
      <c r="J33" s="112"/>
      <c r="K33" s="112"/>
      <c r="L33" s="112"/>
    </row>
    <row r="34" spans="1:12" x14ac:dyDescent="0.3">
      <c r="A34" s="112"/>
      <c r="B34" s="112"/>
      <c r="C34" s="112"/>
      <c r="D34" s="112"/>
      <c r="E34" s="112"/>
      <c r="F34" s="112"/>
      <c r="G34" s="112">
        <v>3</v>
      </c>
      <c r="H34" s="124">
        <f>SUMIFS(TbRegistroSaídas[Valor],TbRegistroSaídas[Conta Nível 2],$H$31,TbRegistroSaídas[Ano Competência],$H$30,TbRegistroSaídas[Mês Competência],G34)</f>
        <v>5837</v>
      </c>
      <c r="I34" s="112"/>
      <c r="J34" s="112"/>
      <c r="K34" s="112"/>
      <c r="L34" s="112"/>
    </row>
    <row r="35" spans="1:12" x14ac:dyDescent="0.3">
      <c r="A35" s="112"/>
      <c r="B35" s="112"/>
      <c r="C35" s="112"/>
      <c r="D35" s="112"/>
      <c r="E35" s="112"/>
      <c r="F35" s="112"/>
      <c r="G35" s="112">
        <v>4</v>
      </c>
      <c r="H35" s="124">
        <f>SUMIFS(TbRegistroSaídas[Valor],TbRegistroSaídas[Conta Nível 2],$H$31,TbRegistroSaídas[Ano Competência],$H$30,TbRegistroSaídas[Mês Competência],G35)</f>
        <v>2760</v>
      </c>
      <c r="I35" s="112"/>
      <c r="J35" s="112"/>
      <c r="K35" s="112"/>
      <c r="L35" s="112"/>
    </row>
    <row r="36" spans="1:12" x14ac:dyDescent="0.3">
      <c r="A36" s="112"/>
      <c r="B36" s="112"/>
      <c r="C36" s="112"/>
      <c r="D36" s="112"/>
      <c r="E36" s="112"/>
      <c r="F36" s="112"/>
      <c r="G36" s="112">
        <v>5</v>
      </c>
      <c r="H36" s="124">
        <f>SUMIFS(TbRegistroSaídas[Valor],TbRegistroSaídas[Conta Nível 2],$H$31,TbRegistroSaídas[Ano Competência],$H$30,TbRegistroSaídas[Mês Competência],G36)</f>
        <v>1882</v>
      </c>
      <c r="I36" s="112"/>
      <c r="J36" s="112"/>
      <c r="K36" s="112"/>
      <c r="L36" s="112"/>
    </row>
    <row r="37" spans="1:12" x14ac:dyDescent="0.3">
      <c r="A37" s="112"/>
      <c r="B37" s="112"/>
      <c r="C37" s="112"/>
      <c r="D37" s="112"/>
      <c r="E37" s="112"/>
      <c r="F37" s="112"/>
      <c r="G37" s="112">
        <v>6</v>
      </c>
      <c r="H37" s="124">
        <f>SUMIFS(TbRegistroSaídas[Valor],TbRegistroSaídas[Conta Nível 2],$H$31,TbRegistroSaídas[Ano Competência],$H$30,TbRegistroSaídas[Mês Competência],G37)</f>
        <v>1613</v>
      </c>
      <c r="I37" s="112"/>
      <c r="J37" s="112"/>
      <c r="K37" s="112"/>
      <c r="L37" s="112"/>
    </row>
    <row r="38" spans="1:12" x14ac:dyDescent="0.3">
      <c r="A38" s="112"/>
      <c r="B38" s="112"/>
      <c r="C38" s="112"/>
      <c r="D38" s="112"/>
      <c r="E38" s="112"/>
      <c r="F38" s="112"/>
      <c r="G38" s="112">
        <v>7</v>
      </c>
      <c r="H38" s="124">
        <f>SUMIFS(TbRegistroSaídas[Valor],TbRegistroSaídas[Conta Nível 2],$H$31,TbRegistroSaídas[Ano Competência],$H$30,TbRegistroSaídas[Mês Competência],G38)</f>
        <v>0</v>
      </c>
      <c r="I38" s="112"/>
      <c r="J38" s="112"/>
      <c r="K38" s="112"/>
      <c r="L38" s="112"/>
    </row>
    <row r="39" spans="1:12" x14ac:dyDescent="0.3">
      <c r="A39" s="112"/>
      <c r="B39" s="112"/>
      <c r="C39" s="112"/>
      <c r="D39" s="112"/>
      <c r="E39" s="112"/>
      <c r="F39" s="112"/>
      <c r="G39" s="112">
        <v>8</v>
      </c>
      <c r="H39" s="124">
        <f>SUMIFS(TbRegistroSaídas[Valor],TbRegistroSaídas[Conta Nível 2],$H$31,TbRegistroSaídas[Ano Competência],$H$30,TbRegistroSaídas[Mês Competência],G39)</f>
        <v>9987</v>
      </c>
      <c r="I39" s="112"/>
      <c r="J39" s="112"/>
      <c r="K39" s="112"/>
      <c r="L39" s="112"/>
    </row>
    <row r="40" spans="1:12" x14ac:dyDescent="0.3">
      <c r="A40" s="112"/>
      <c r="B40" s="112"/>
      <c r="C40" s="112"/>
      <c r="D40" s="112"/>
      <c r="E40" s="112"/>
      <c r="F40" s="112"/>
      <c r="G40" s="112">
        <v>9</v>
      </c>
      <c r="H40" s="124">
        <f>SUMIFS(TbRegistroSaídas[Valor],TbRegistroSaídas[Conta Nível 2],$H$31,TbRegistroSaídas[Ano Competência],$H$30,TbRegistroSaídas[Mês Competência],G40)</f>
        <v>5001</v>
      </c>
      <c r="I40" s="112"/>
      <c r="J40" s="112"/>
      <c r="K40" s="112"/>
      <c r="L40" s="112"/>
    </row>
    <row r="41" spans="1:12" x14ac:dyDescent="0.3">
      <c r="A41" s="112"/>
      <c r="B41" s="112"/>
      <c r="C41" s="112"/>
      <c r="D41" s="112"/>
      <c r="E41" s="112"/>
      <c r="F41" s="112"/>
      <c r="G41" s="112">
        <v>10</v>
      </c>
      <c r="H41" s="124">
        <f>SUMIFS(TbRegistroSaídas[Valor],TbRegistroSaídas[Conta Nível 2],$H$31,TbRegistroSaídas[Ano Competência],$H$30,TbRegistroSaídas[Mês Competência],G41)</f>
        <v>10149</v>
      </c>
      <c r="I41" s="112"/>
      <c r="J41" s="112"/>
      <c r="K41" s="112"/>
      <c r="L41" s="112"/>
    </row>
    <row r="42" spans="1:12" x14ac:dyDescent="0.3">
      <c r="A42" s="112"/>
      <c r="B42" s="112"/>
      <c r="C42" s="112"/>
      <c r="D42" s="112"/>
      <c r="E42" s="112"/>
      <c r="F42" s="112"/>
      <c r="G42" s="112">
        <v>11</v>
      </c>
      <c r="H42" s="124">
        <f>SUMIFS(TbRegistroSaídas[Valor],TbRegistroSaídas[Conta Nível 2],$H$31,TbRegistroSaídas[Ano Competência],$H$30,TbRegistroSaídas[Mês Competência],G42)</f>
        <v>1542</v>
      </c>
      <c r="I42" s="112"/>
      <c r="J42" s="112"/>
      <c r="K42" s="112"/>
      <c r="L42" s="112"/>
    </row>
    <row r="43" spans="1:12" x14ac:dyDescent="0.3">
      <c r="A43" s="112"/>
      <c r="B43" s="112"/>
      <c r="C43" s="112"/>
      <c r="D43" s="112"/>
      <c r="E43" s="112"/>
      <c r="F43" s="112"/>
      <c r="G43" s="127">
        <v>12</v>
      </c>
      <c r="H43" s="124">
        <f>SUMIFS(TbRegistroSaídas[Valor],TbRegistroSaídas[Conta Nível 2],$H$31,TbRegistroSaídas[Ano Competência],$H$30,TbRegistroSaídas[Mês Competência],G43)</f>
        <v>3956</v>
      </c>
      <c r="I43" s="112"/>
      <c r="J43" s="112"/>
      <c r="K43" s="112"/>
      <c r="L43" s="112"/>
    </row>
    <row r="44" spans="1:12" x14ac:dyDescent="0.3">
      <c r="A44" s="112"/>
      <c r="B44" s="112"/>
      <c r="C44" s="112"/>
      <c r="D44" s="112"/>
      <c r="E44" s="112"/>
      <c r="F44" s="112"/>
      <c r="G44" s="118" t="s">
        <v>559</v>
      </c>
      <c r="H44" s="143">
        <f>SUM(H32:H43)</f>
        <v>49039</v>
      </c>
      <c r="I44" s="112"/>
      <c r="J44" s="112"/>
      <c r="K44" s="112"/>
      <c r="L44" s="112"/>
    </row>
    <row r="45" spans="1:12" x14ac:dyDescent="0.3">
      <c r="A45" s="112"/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</row>
    <row r="46" spans="1:12" x14ac:dyDescent="0.3">
      <c r="G46" s="112"/>
      <c r="H46" s="112"/>
      <c r="I46" s="112"/>
      <c r="J46" s="112"/>
    </row>
  </sheetData>
  <conditionalFormatting sqref="C11">
    <cfRule type="cellIs" dxfId="3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7"/>
  <sheetViews>
    <sheetView showGridLines="0" workbookViewId="0">
      <selection activeCell="B3" sqref="B3"/>
    </sheetView>
  </sheetViews>
  <sheetFormatPr defaultColWidth="0" defaultRowHeight="14.4" x14ac:dyDescent="0.3"/>
  <cols>
    <col min="1" max="1" width="2.88671875" customWidth="1"/>
    <col min="2" max="2" width="40.6640625" customWidth="1"/>
    <col min="3" max="14" width="11.6640625" customWidth="1"/>
    <col min="15" max="15" width="2.5546875" customWidth="1"/>
    <col min="16" max="16384" width="9.109375" hidden="1"/>
  </cols>
  <sheetData>
    <row r="1" spans="1:14" ht="39.9" customHeight="1" x14ac:dyDescent="0.3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7</v>
      </c>
    </row>
    <row r="2" spans="1:14" ht="39.9" customHeigh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20.100000000000001" customHeight="1" x14ac:dyDescent="0.3"/>
    <row r="4" spans="1:14" ht="20.100000000000001" customHeight="1" x14ac:dyDescent="0.3"/>
    <row r="5" spans="1:14" ht="20.100000000000001" customHeight="1" x14ac:dyDescent="0.3"/>
    <row r="6" spans="1:14" ht="20.100000000000001" customHeight="1" x14ac:dyDescent="0.3"/>
    <row r="7" spans="1:14" ht="20.100000000000001" customHeight="1" x14ac:dyDescent="0.3"/>
    <row r="8" spans="1:14" ht="20.100000000000001" customHeight="1" x14ac:dyDescent="0.3"/>
    <row r="9" spans="1:14" ht="20.100000000000001" customHeight="1" x14ac:dyDescent="0.3"/>
    <row r="10" spans="1:14" ht="20.100000000000001" customHeight="1" x14ac:dyDescent="0.3"/>
    <row r="11" spans="1:14" ht="20.100000000000001" customHeight="1" x14ac:dyDescent="0.3"/>
    <row r="12" spans="1:14" ht="20.100000000000001" customHeight="1" x14ac:dyDescent="0.3"/>
    <row r="13" spans="1:14" ht="20.100000000000001" customHeight="1" x14ac:dyDescent="0.3"/>
    <row r="14" spans="1:14" ht="20.100000000000001" customHeight="1" x14ac:dyDescent="0.3"/>
    <row r="15" spans="1:14" ht="20.100000000000001" customHeight="1" x14ac:dyDescent="0.3"/>
    <row r="16" spans="1:14" ht="20.100000000000001" customHeight="1" x14ac:dyDescent="0.3"/>
    <row r="17" ht="20.100000000000001" customHeight="1" x14ac:dyDescent="0.3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7"/>
  <sheetViews>
    <sheetView showGridLines="0" workbookViewId="0">
      <pane ySplit="4" topLeftCell="A5" activePane="bottomLeft" state="frozen"/>
      <selection pane="bottomLeft" activeCell="B5" sqref="B5"/>
    </sheetView>
  </sheetViews>
  <sheetFormatPr defaultColWidth="0" defaultRowHeight="14.4" x14ac:dyDescent="0.3"/>
  <cols>
    <col min="1" max="1" width="2.88671875" customWidth="1"/>
    <col min="2" max="2" width="40.6640625" customWidth="1"/>
    <col min="3" max="14" width="11.6640625" customWidth="1"/>
    <col min="15" max="15" width="2.5546875" customWidth="1"/>
    <col min="16" max="16384" width="9.109375" hidden="1"/>
  </cols>
  <sheetData>
    <row r="1" spans="1:14" ht="39.9" customHeight="1" x14ac:dyDescent="0.3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8</v>
      </c>
    </row>
    <row r="2" spans="1:14" ht="39.9" customHeigh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20.100000000000001" customHeight="1" x14ac:dyDescent="0.3">
      <c r="B3" s="7" t="s">
        <v>21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20.100000000000001" customHeight="1" x14ac:dyDescent="0.3">
      <c r="B4" s="6" t="s">
        <v>22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20.100000000000001" customHeight="1" x14ac:dyDescent="0.3">
      <c r="B5" t="s">
        <v>23</v>
      </c>
    </row>
    <row r="6" spans="1:14" ht="20.100000000000001" customHeight="1" x14ac:dyDescent="0.3">
      <c r="B6" t="s">
        <v>24</v>
      </c>
    </row>
    <row r="7" spans="1:14" ht="20.100000000000001" customHeight="1" x14ac:dyDescent="0.3">
      <c r="B7" t="s">
        <v>25</v>
      </c>
    </row>
    <row r="8" spans="1:14" ht="20.100000000000001" customHeight="1" x14ac:dyDescent="0.3">
      <c r="B8" t="s">
        <v>26</v>
      </c>
    </row>
    <row r="9" spans="1:14" ht="20.100000000000001" customHeight="1" x14ac:dyDescent="0.3">
      <c r="B9" t="s">
        <v>27</v>
      </c>
    </row>
    <row r="10" spans="1:14" ht="20.100000000000001" customHeight="1" x14ac:dyDescent="0.3"/>
    <row r="11" spans="1:14" ht="20.100000000000001" customHeight="1" x14ac:dyDescent="0.3"/>
    <row r="12" spans="1:14" ht="20.100000000000001" customHeight="1" x14ac:dyDescent="0.3"/>
    <row r="13" spans="1:14" ht="20.100000000000001" customHeight="1" x14ac:dyDescent="0.3"/>
    <row r="14" spans="1:14" ht="20.100000000000001" customHeight="1" x14ac:dyDescent="0.3"/>
    <row r="15" spans="1:14" ht="20.100000000000001" customHeight="1" x14ac:dyDescent="0.3"/>
    <row r="16" spans="1:14" ht="20.100000000000001" customHeight="1" x14ac:dyDescent="0.3"/>
    <row r="17" ht="20.100000000000001" customHeight="1" x14ac:dyDescent="0.3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7"/>
  <sheetViews>
    <sheetView showGridLines="0" workbookViewId="0">
      <pane ySplit="4" topLeftCell="A5" activePane="bottomLeft" state="frozen"/>
      <selection pane="bottomLeft" activeCell="C15" sqref="C15"/>
    </sheetView>
  </sheetViews>
  <sheetFormatPr defaultColWidth="0" defaultRowHeight="14.4" x14ac:dyDescent="0.3"/>
  <cols>
    <col min="1" max="1" width="2.88671875" customWidth="1"/>
    <col min="2" max="2" width="40.6640625" customWidth="1"/>
    <col min="3" max="3" width="43.88671875" customWidth="1"/>
    <col min="4" max="14" width="8.77734375" customWidth="1"/>
    <col min="15" max="15" width="2.5546875" customWidth="1"/>
    <col min="16" max="16384" width="9.109375" hidden="1"/>
  </cols>
  <sheetData>
    <row r="1" spans="1:14" ht="39.9" customHeight="1" x14ac:dyDescent="0.3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9</v>
      </c>
    </row>
    <row r="2" spans="1:14" ht="39.9" customHeigh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20.100000000000001" customHeight="1" x14ac:dyDescent="0.3">
      <c r="B3" s="39" t="s">
        <v>28</v>
      </c>
      <c r="C3" s="40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20.100000000000001" customHeight="1" x14ac:dyDescent="0.3">
      <c r="B4" s="6" t="s">
        <v>22</v>
      </c>
      <c r="C4" s="6" t="s">
        <v>29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20.100000000000001" customHeight="1" x14ac:dyDescent="0.3">
      <c r="B5" t="s">
        <v>23</v>
      </c>
      <c r="C5" t="s">
        <v>30</v>
      </c>
    </row>
    <row r="6" spans="1:14" ht="20.100000000000001" customHeight="1" x14ac:dyDescent="0.3">
      <c r="B6" t="s">
        <v>25</v>
      </c>
      <c r="C6" t="s">
        <v>31</v>
      </c>
    </row>
    <row r="7" spans="1:14" ht="20.100000000000001" customHeight="1" x14ac:dyDescent="0.3">
      <c r="B7" t="s">
        <v>26</v>
      </c>
      <c r="C7" t="s">
        <v>32</v>
      </c>
    </row>
    <row r="8" spans="1:14" ht="20.100000000000001" customHeight="1" x14ac:dyDescent="0.3">
      <c r="B8" t="s">
        <v>27</v>
      </c>
      <c r="C8" t="s">
        <v>33</v>
      </c>
    </row>
    <row r="9" spans="1:14" ht="20.100000000000001" customHeight="1" x14ac:dyDescent="0.3">
      <c r="B9" t="s">
        <v>27</v>
      </c>
      <c r="C9" t="s">
        <v>34</v>
      </c>
    </row>
    <row r="10" spans="1:14" ht="20.100000000000001" customHeight="1" x14ac:dyDescent="0.3">
      <c r="B10" t="s">
        <v>27</v>
      </c>
      <c r="C10" t="s">
        <v>35</v>
      </c>
    </row>
    <row r="11" spans="1:14" ht="20.100000000000001" customHeight="1" x14ac:dyDescent="0.3">
      <c r="B11" t="s">
        <v>27</v>
      </c>
      <c r="C11" t="s">
        <v>36</v>
      </c>
    </row>
    <row r="12" spans="1:14" ht="20.100000000000001" customHeight="1" x14ac:dyDescent="0.3">
      <c r="B12" t="s">
        <v>27</v>
      </c>
      <c r="C12" t="s">
        <v>37</v>
      </c>
    </row>
    <row r="13" spans="1:14" ht="20.100000000000001" customHeight="1" x14ac:dyDescent="0.3">
      <c r="B13" t="s">
        <v>24</v>
      </c>
      <c r="C13" t="s">
        <v>60</v>
      </c>
    </row>
    <row r="14" spans="1:14" ht="20.100000000000001" customHeight="1" x14ac:dyDescent="0.3"/>
    <row r="15" spans="1:14" ht="20.100000000000001" customHeight="1" x14ac:dyDescent="0.3"/>
    <row r="16" spans="1:14" ht="20.100000000000001" customHeight="1" x14ac:dyDescent="0.3"/>
    <row r="17" ht="20.100000000000001" customHeight="1" x14ac:dyDescent="0.3"/>
  </sheetData>
  <mergeCells count="1">
    <mergeCell ref="B3:C3"/>
  </mergeCells>
  <dataValidations count="1">
    <dataValidation type="list" allowBlank="1" showInputMessage="1" showErrorMessage="1" sqref="B5:B13" xr:uid="{3BA433D2-01B8-4593-98FA-05241986BD49}">
      <formula1>PCEntradasN1_Nível_1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7"/>
  <sheetViews>
    <sheetView showGridLines="0" workbookViewId="0">
      <pane ySplit="4" topLeftCell="A5" activePane="bottomLeft" state="frozen"/>
      <selection pane="bottomLeft" activeCell="B5" sqref="B5:B10"/>
    </sheetView>
  </sheetViews>
  <sheetFormatPr defaultColWidth="0" defaultRowHeight="14.4" x14ac:dyDescent="0.3"/>
  <cols>
    <col min="1" max="1" width="2.88671875" customWidth="1"/>
    <col min="2" max="2" width="40.6640625" customWidth="1"/>
    <col min="3" max="14" width="11.6640625" customWidth="1"/>
    <col min="15" max="15" width="2.5546875" customWidth="1"/>
    <col min="16" max="16384" width="9.109375" hidden="1"/>
  </cols>
  <sheetData>
    <row r="1" spans="1:14" ht="39.9" customHeight="1" x14ac:dyDescent="0.3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10</v>
      </c>
    </row>
    <row r="2" spans="1:14" ht="39.9" customHeigh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20.100000000000001" customHeight="1" x14ac:dyDescent="0.3">
      <c r="B3" s="7" t="s">
        <v>38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20.100000000000001" customHeight="1" x14ac:dyDescent="0.3">
      <c r="B4" s="6" t="s">
        <v>22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20.100000000000001" customHeight="1" x14ac:dyDescent="0.3">
      <c r="B5" t="s">
        <v>39</v>
      </c>
    </row>
    <row r="6" spans="1:14" ht="20.100000000000001" customHeight="1" x14ac:dyDescent="0.3">
      <c r="B6" t="s">
        <v>40</v>
      </c>
    </row>
    <row r="7" spans="1:14" ht="20.100000000000001" customHeight="1" x14ac:dyDescent="0.3">
      <c r="B7" t="s">
        <v>41</v>
      </c>
    </row>
    <row r="8" spans="1:14" ht="20.100000000000001" customHeight="1" x14ac:dyDescent="0.3">
      <c r="B8" t="s">
        <v>42</v>
      </c>
    </row>
    <row r="9" spans="1:14" ht="20.100000000000001" customHeight="1" x14ac:dyDescent="0.3">
      <c r="B9" t="s">
        <v>43</v>
      </c>
    </row>
    <row r="10" spans="1:14" ht="20.100000000000001" customHeight="1" x14ac:dyDescent="0.3">
      <c r="B10" t="s">
        <v>44</v>
      </c>
    </row>
    <row r="11" spans="1:14" ht="20.100000000000001" customHeight="1" x14ac:dyDescent="0.3"/>
    <row r="12" spans="1:14" ht="20.100000000000001" customHeight="1" x14ac:dyDescent="0.3"/>
    <row r="13" spans="1:14" ht="20.100000000000001" customHeight="1" x14ac:dyDescent="0.3"/>
    <row r="14" spans="1:14" ht="20.100000000000001" customHeight="1" x14ac:dyDescent="0.3"/>
    <row r="15" spans="1:14" ht="20.100000000000001" customHeight="1" x14ac:dyDescent="0.3"/>
    <row r="16" spans="1:14" ht="20.100000000000001" customHeight="1" x14ac:dyDescent="0.3"/>
    <row r="17" ht="20.100000000000001" customHeight="1" x14ac:dyDescent="0.3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7"/>
  <sheetViews>
    <sheetView showGridLines="0" workbookViewId="0">
      <pane ySplit="4" topLeftCell="A7" activePane="bottomLeft" state="frozen"/>
      <selection pane="bottomLeft"/>
    </sheetView>
  </sheetViews>
  <sheetFormatPr defaultColWidth="0" defaultRowHeight="14.4" x14ac:dyDescent="0.3"/>
  <cols>
    <col min="1" max="1" width="2.88671875" customWidth="1"/>
    <col min="2" max="2" width="40.6640625" customWidth="1"/>
    <col min="3" max="3" width="39.21875" customWidth="1"/>
    <col min="4" max="14" width="8.77734375" customWidth="1"/>
    <col min="15" max="15" width="2.5546875" customWidth="1"/>
    <col min="16" max="16384" width="9.109375" hidden="1"/>
  </cols>
  <sheetData>
    <row r="1" spans="1:14" ht="39.9" customHeight="1" x14ac:dyDescent="0.3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11</v>
      </c>
    </row>
    <row r="2" spans="1:14" ht="39.9" customHeigh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20.100000000000001" customHeight="1" x14ac:dyDescent="0.3">
      <c r="B3" s="41" t="s">
        <v>45</v>
      </c>
      <c r="C3" s="42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20.100000000000001" customHeight="1" x14ac:dyDescent="0.3">
      <c r="B4" s="6" t="s">
        <v>22</v>
      </c>
      <c r="C4" s="6" t="s">
        <v>29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20.100000000000001" customHeight="1" x14ac:dyDescent="0.3">
      <c r="B5" t="s">
        <v>39</v>
      </c>
      <c r="C5" t="s">
        <v>33</v>
      </c>
    </row>
    <row r="6" spans="1:14" ht="20.100000000000001" customHeight="1" x14ac:dyDescent="0.3">
      <c r="B6" t="s">
        <v>39</v>
      </c>
      <c r="C6" t="s">
        <v>34</v>
      </c>
    </row>
    <row r="7" spans="1:14" ht="20.100000000000001" customHeight="1" x14ac:dyDescent="0.3">
      <c r="B7" t="s">
        <v>39</v>
      </c>
      <c r="C7" t="s">
        <v>35</v>
      </c>
    </row>
    <row r="8" spans="1:14" ht="20.100000000000001" customHeight="1" x14ac:dyDescent="0.3">
      <c r="B8" t="s">
        <v>39</v>
      </c>
      <c r="C8" t="s">
        <v>37</v>
      </c>
    </row>
    <row r="9" spans="1:14" ht="20.100000000000001" customHeight="1" x14ac:dyDescent="0.3">
      <c r="B9" t="s">
        <v>39</v>
      </c>
      <c r="C9" t="s">
        <v>46</v>
      </c>
    </row>
    <row r="10" spans="1:14" ht="20.100000000000001" customHeight="1" x14ac:dyDescent="0.3">
      <c r="B10" t="s">
        <v>40</v>
      </c>
      <c r="C10" t="s">
        <v>47</v>
      </c>
    </row>
    <row r="11" spans="1:14" ht="20.100000000000001" customHeight="1" x14ac:dyDescent="0.3">
      <c r="B11" t="s">
        <v>40</v>
      </c>
      <c r="C11" t="s">
        <v>48</v>
      </c>
    </row>
    <row r="12" spans="1:14" ht="20.100000000000001" customHeight="1" x14ac:dyDescent="0.3">
      <c r="B12" t="s">
        <v>41</v>
      </c>
      <c r="C12" t="s">
        <v>49</v>
      </c>
    </row>
    <row r="13" spans="1:14" ht="20.100000000000001" customHeight="1" x14ac:dyDescent="0.3">
      <c r="B13" t="s">
        <v>41</v>
      </c>
      <c r="C13" t="s">
        <v>50</v>
      </c>
    </row>
    <row r="14" spans="1:14" ht="20.100000000000001" customHeight="1" x14ac:dyDescent="0.3">
      <c r="B14" t="s">
        <v>42</v>
      </c>
      <c r="C14" t="s">
        <v>51</v>
      </c>
    </row>
    <row r="15" spans="1:14" ht="20.100000000000001" customHeight="1" x14ac:dyDescent="0.3">
      <c r="B15" t="s">
        <v>43</v>
      </c>
      <c r="C15" t="s">
        <v>52</v>
      </c>
    </row>
    <row r="16" spans="1:14" ht="20.100000000000001" customHeight="1" x14ac:dyDescent="0.3">
      <c r="B16" t="s">
        <v>44</v>
      </c>
      <c r="C16" t="s">
        <v>60</v>
      </c>
    </row>
    <row r="17" ht="20.100000000000001" customHeight="1" x14ac:dyDescent="0.3"/>
  </sheetData>
  <mergeCells count="1">
    <mergeCell ref="B3:C3"/>
  </mergeCells>
  <dataValidations count="1">
    <dataValidation type="list" allowBlank="1" showInputMessage="1" showErrorMessage="1" sqref="B5:B16" xr:uid="{AB1774BD-7550-410D-8A41-D4B73C6E091F}">
      <formula1>PCSaídasN1_Nível_1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FD234"/>
  <sheetViews>
    <sheetView showGridLines="0" zoomScale="85" zoomScaleNormal="85" workbookViewId="0">
      <pane ySplit="3" topLeftCell="A4" activePane="bottomLeft" state="frozen"/>
      <selection pane="bottomLeft" activeCell="I1" sqref="I1:XFD1048576"/>
    </sheetView>
  </sheetViews>
  <sheetFormatPr defaultColWidth="0" defaultRowHeight="14.4" x14ac:dyDescent="0.3"/>
  <cols>
    <col min="1" max="1" width="2.88671875" customWidth="1"/>
    <col min="2" max="4" width="15.77734375" style="8" customWidth="1"/>
    <col min="5" max="6" width="25.77734375" customWidth="1"/>
    <col min="7" max="7" width="47.88671875" customWidth="1"/>
    <col min="8" max="8" width="25.77734375" style="14" customWidth="1"/>
    <col min="9" max="9" width="13.109375" hidden="1"/>
    <col min="10" max="10" width="12.33203125" hidden="1"/>
    <col min="11" max="12" width="13.77734375" hidden="1"/>
    <col min="13" max="13" width="10.44140625" hidden="1"/>
    <col min="14" max="14" width="9.109375" hidden="1"/>
    <col min="15" max="15" width="14.88671875" hidden="1"/>
    <col min="16" max="16" width="10.109375" hidden="1"/>
    <col min="17" max="16381" width="9.109375" hidden="1"/>
    <col min="16382" max="16384" width="65" hidden="1"/>
  </cols>
  <sheetData>
    <row r="1" spans="1:17" ht="39.9" customHeight="1" x14ac:dyDescent="0.3">
      <c r="A1" t="s">
        <v>6</v>
      </c>
      <c r="B1" s="9" t="s">
        <v>1</v>
      </c>
      <c r="C1" s="10"/>
      <c r="D1" s="10"/>
      <c r="E1" s="1"/>
      <c r="F1" s="1"/>
      <c r="G1" s="1"/>
      <c r="H1" s="12" t="s">
        <v>12</v>
      </c>
    </row>
    <row r="2" spans="1:17" ht="39.9" customHeight="1" x14ac:dyDescent="0.3">
      <c r="B2" s="11"/>
      <c r="C2" s="11"/>
      <c r="D2" s="11"/>
      <c r="E2" s="5"/>
      <c r="F2" s="5"/>
      <c r="G2" s="5"/>
      <c r="H2" s="13"/>
      <c r="I2" s="56"/>
      <c r="J2" s="56"/>
      <c r="K2" s="56"/>
      <c r="L2" s="56"/>
    </row>
    <row r="3" spans="1:17" s="15" customFormat="1" ht="52.2" customHeight="1" x14ac:dyDescent="0.3">
      <c r="B3" s="16" t="s">
        <v>53</v>
      </c>
      <c r="C3" s="16" t="s">
        <v>54</v>
      </c>
      <c r="D3" s="16" t="s">
        <v>55</v>
      </c>
      <c r="E3" s="17" t="s">
        <v>56</v>
      </c>
      <c r="F3" s="17" t="s">
        <v>57</v>
      </c>
      <c r="G3" s="17" t="s">
        <v>58</v>
      </c>
      <c r="H3" s="18" t="s">
        <v>59</v>
      </c>
      <c r="I3" s="17" t="s">
        <v>538</v>
      </c>
      <c r="J3" s="17" t="s">
        <v>539</v>
      </c>
      <c r="K3" s="17" t="s">
        <v>540</v>
      </c>
      <c r="L3" s="17" t="s">
        <v>541</v>
      </c>
      <c r="M3" s="17" t="s">
        <v>550</v>
      </c>
      <c r="N3" s="17" t="s">
        <v>549</v>
      </c>
      <c r="O3" s="17" t="s">
        <v>552</v>
      </c>
      <c r="P3" s="17" t="s">
        <v>609</v>
      </c>
      <c r="Q3" s="17" t="s">
        <v>610</v>
      </c>
    </row>
    <row r="4" spans="1:17" ht="20.100000000000001" customHeight="1" x14ac:dyDescent="0.3">
      <c r="B4" s="8">
        <v>42994.360242603791</v>
      </c>
      <c r="C4" s="8">
        <v>42957</v>
      </c>
      <c r="D4" s="8">
        <v>42972.730282070355</v>
      </c>
      <c r="E4" t="s">
        <v>27</v>
      </c>
      <c r="F4" t="s">
        <v>34</v>
      </c>
      <c r="G4" t="s">
        <v>61</v>
      </c>
      <c r="H4" s="14">
        <v>1133</v>
      </c>
      <c r="I4">
        <f>IF(TbRegistroEntradas[[#This Row],[Data do Caixa Realizado]]="",0,MONTH(TbRegistroEntradas[[#This Row],[Data do Caixa Realizado]]))</f>
        <v>9</v>
      </c>
      <c r="J4">
        <f>IF(TbRegistroEntradas[[#This Row],[Data do Caixa Realizado]]="",0,YEAR(TbRegistroEntradas[[#This Row],[Data do Caixa Realizado]]))</f>
        <v>2017</v>
      </c>
      <c r="K4">
        <f>IF(TbRegistroEntradas[[#This Row],[Data da Competência]]="",0,MONTH(TbRegistroEntradas[[#This Row],[Data da Competência]]))</f>
        <v>8</v>
      </c>
      <c r="L4">
        <f>IF(TbRegistroEntradas[[#This Row],[Data da Competência]]="",0,YEAR(TbRegistroEntradas[[#This Row],[Data da Competência]]))</f>
        <v>2017</v>
      </c>
      <c r="M4" s="53">
        <f>IF(TbRegistroEntradas[[#This Row],[Data do Caixa Previsto]]="",0,MONTH(TbRegistroEntradas[[#This Row],[Data do Caixa Previsto]]))</f>
        <v>8</v>
      </c>
      <c r="N4" s="53">
        <f>IF(TbRegistroEntradas[[#This Row],[Data do Caixa Previsto]]="",0,YEAR(TbRegistroEntradas[[#This Row],[Data do Caixa Previsto]]))</f>
        <v>2017</v>
      </c>
      <c r="O4" s="53" t="str">
        <f ca="1">IF(AND(TbRegistroEntradas[[#This Row],[Data do Caixa Previsto]]&lt;TODAY(),TbRegistroEntradas[[#This Row],[Data do Caixa Realizado]]=""),"Vencida","Não Vencida")</f>
        <v>Não Vencida</v>
      </c>
      <c r="P4" s="53" t="str">
        <f>IF(TbRegistroEntradas[[#This Row],[Data da Competência]]=TbRegistroEntradas[[#This Row],[Data do Caixa Previsto]],"Vista","Prazo")</f>
        <v>Prazo</v>
      </c>
      <c r="Q4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21.629960533435224</v>
      </c>
    </row>
    <row r="5" spans="1:17" ht="20.100000000000001" customHeight="1" x14ac:dyDescent="0.3">
      <c r="B5" s="8">
        <v>42985.921072815276</v>
      </c>
      <c r="C5" s="8">
        <v>42960</v>
      </c>
      <c r="D5" s="8">
        <v>42985.08192799228</v>
      </c>
      <c r="E5" t="s">
        <v>27</v>
      </c>
      <c r="F5" t="s">
        <v>36</v>
      </c>
      <c r="G5" t="s">
        <v>62</v>
      </c>
      <c r="H5" s="14">
        <v>164</v>
      </c>
      <c r="I5">
        <f>IF(TbRegistroEntradas[[#This Row],[Data do Caixa Realizado]]="",0,MONTH(TbRegistroEntradas[[#This Row],[Data do Caixa Realizado]]))</f>
        <v>9</v>
      </c>
      <c r="J5">
        <f>IF(TbRegistroEntradas[[#This Row],[Data do Caixa Realizado]]="",0,YEAR(TbRegistroEntradas[[#This Row],[Data do Caixa Realizado]]))</f>
        <v>2017</v>
      </c>
      <c r="K5">
        <f>IF(TbRegistroEntradas[[#This Row],[Data da Competência]]="",0,MONTH(TbRegistroEntradas[[#This Row],[Data da Competência]]))</f>
        <v>8</v>
      </c>
      <c r="L5">
        <f>IF(TbRegistroEntradas[[#This Row],[Data da Competência]]="",0,YEAR(TbRegistroEntradas[[#This Row],[Data da Competência]]))</f>
        <v>2017</v>
      </c>
      <c r="M5" s="53">
        <f>IF(TbRegistroEntradas[[#This Row],[Data do Caixa Previsto]]="",0,MONTH(TbRegistroEntradas[[#This Row],[Data do Caixa Previsto]]))</f>
        <v>9</v>
      </c>
      <c r="N5" s="53">
        <f>IF(TbRegistroEntradas[[#This Row],[Data do Caixa Previsto]]="",0,YEAR(TbRegistroEntradas[[#This Row],[Data do Caixa Previsto]]))</f>
        <v>2017</v>
      </c>
      <c r="O5" s="53" t="str">
        <f ca="1">IF(AND(TbRegistroEntradas[[#This Row],[Data do Caixa Previsto]]&lt;TODAY(),TbRegistroEntradas[[#This Row],[Data do Caixa Realizado]]=""),"Vencida","Não Vencida")</f>
        <v>Não Vencida</v>
      </c>
      <c r="P5" s="53" t="str">
        <f>IF(TbRegistroEntradas[[#This Row],[Data da Competência]]=TbRegistroEntradas[[#This Row],[Data do Caixa Previsto]],"Vista","Prazo")</f>
        <v>Prazo</v>
      </c>
      <c r="Q5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0.83914482299587689</v>
      </c>
    </row>
    <row r="6" spans="1:17" ht="20.100000000000001" customHeight="1" x14ac:dyDescent="0.3">
      <c r="B6" s="8">
        <v>43007.497531597422</v>
      </c>
      <c r="C6" s="8">
        <v>42964</v>
      </c>
      <c r="D6" s="8">
        <v>43001.085754998392</v>
      </c>
      <c r="E6" t="s">
        <v>27</v>
      </c>
      <c r="F6" t="s">
        <v>36</v>
      </c>
      <c r="G6" t="s">
        <v>63</v>
      </c>
      <c r="H6" s="14">
        <v>2937</v>
      </c>
      <c r="I6">
        <f>IF(TbRegistroEntradas[[#This Row],[Data do Caixa Realizado]]="",0,MONTH(TbRegistroEntradas[[#This Row],[Data do Caixa Realizado]]))</f>
        <v>9</v>
      </c>
      <c r="J6">
        <f>IF(TbRegistroEntradas[[#This Row],[Data do Caixa Realizado]]="",0,YEAR(TbRegistroEntradas[[#This Row],[Data do Caixa Realizado]]))</f>
        <v>2017</v>
      </c>
      <c r="K6">
        <f>IF(TbRegistroEntradas[[#This Row],[Data da Competência]]="",0,MONTH(TbRegistroEntradas[[#This Row],[Data da Competência]]))</f>
        <v>8</v>
      </c>
      <c r="L6">
        <f>IF(TbRegistroEntradas[[#This Row],[Data da Competência]]="",0,YEAR(TbRegistroEntradas[[#This Row],[Data da Competência]]))</f>
        <v>2017</v>
      </c>
      <c r="M6" s="53">
        <f>IF(TbRegistroEntradas[[#This Row],[Data do Caixa Previsto]]="",0,MONTH(TbRegistroEntradas[[#This Row],[Data do Caixa Previsto]]))</f>
        <v>9</v>
      </c>
      <c r="N6" s="53">
        <f>IF(TbRegistroEntradas[[#This Row],[Data do Caixa Previsto]]="",0,YEAR(TbRegistroEntradas[[#This Row],[Data do Caixa Previsto]]))</f>
        <v>2017</v>
      </c>
      <c r="O6" s="53" t="str">
        <f ca="1">IF(AND(TbRegistroEntradas[[#This Row],[Data do Caixa Previsto]]&lt;TODAY(),TbRegistroEntradas[[#This Row],[Data do Caixa Realizado]]=""),"Vencida","Não Vencida")</f>
        <v>Não Vencida</v>
      </c>
      <c r="P6" s="53" t="str">
        <f>IF(TbRegistroEntradas[[#This Row],[Data da Competência]]=TbRegistroEntradas[[#This Row],[Data do Caixa Previsto]],"Vista","Prazo")</f>
        <v>Prazo</v>
      </c>
      <c r="Q6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6.4117765990304179</v>
      </c>
    </row>
    <row r="7" spans="1:17" ht="20.100000000000001" customHeight="1" x14ac:dyDescent="0.3">
      <c r="B7" s="8">
        <v>43020.93099062844</v>
      </c>
      <c r="C7" s="8">
        <v>42969</v>
      </c>
      <c r="D7" s="8">
        <v>43020.930995370371</v>
      </c>
      <c r="E7" t="s">
        <v>27</v>
      </c>
      <c r="F7" t="s">
        <v>37</v>
      </c>
      <c r="G7" t="s">
        <v>64</v>
      </c>
      <c r="H7" s="14">
        <v>807</v>
      </c>
      <c r="I7">
        <f>IF(TbRegistroEntradas[[#This Row],[Data do Caixa Realizado]]="",0,MONTH(TbRegistroEntradas[[#This Row],[Data do Caixa Realizado]]))</f>
        <v>10</v>
      </c>
      <c r="J7">
        <f>IF(TbRegistroEntradas[[#This Row],[Data do Caixa Realizado]]="",0,YEAR(TbRegistroEntradas[[#This Row],[Data do Caixa Realizado]]))</f>
        <v>2017</v>
      </c>
      <c r="K7">
        <f>IF(TbRegistroEntradas[[#This Row],[Data da Competência]]="",0,MONTH(TbRegistroEntradas[[#This Row],[Data da Competência]]))</f>
        <v>8</v>
      </c>
      <c r="L7">
        <f>IF(TbRegistroEntradas[[#This Row],[Data da Competência]]="",0,YEAR(TbRegistroEntradas[[#This Row],[Data da Competência]]))</f>
        <v>2017</v>
      </c>
      <c r="M7" s="53">
        <f>IF(TbRegistroEntradas[[#This Row],[Data do Caixa Previsto]]="",0,MONTH(TbRegistroEntradas[[#This Row],[Data do Caixa Previsto]]))</f>
        <v>10</v>
      </c>
      <c r="N7" s="53">
        <f>IF(TbRegistroEntradas[[#This Row],[Data do Caixa Previsto]]="",0,YEAR(TbRegistroEntradas[[#This Row],[Data do Caixa Previsto]]))</f>
        <v>2017</v>
      </c>
      <c r="O7" s="53" t="str">
        <f ca="1">IF(AND(TbRegistroEntradas[[#This Row],[Data do Caixa Previsto]]&lt;TODAY(),TbRegistroEntradas[[#This Row],[Data do Caixa Realizado]]=""),"Vencida","Não Vencida")</f>
        <v>Não Vencida</v>
      </c>
      <c r="P7" s="53" t="str">
        <f>IF(TbRegistroEntradas[[#This Row],[Data da Competência]]=TbRegistroEntradas[[#This Row],[Data do Caixa Previsto]],"Vista","Prazo")</f>
        <v>Prazo</v>
      </c>
      <c r="Q7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8" spans="1:17" ht="20.100000000000001" customHeight="1" x14ac:dyDescent="0.3">
      <c r="B8" s="8">
        <v>43014.490029992223</v>
      </c>
      <c r="C8" s="8">
        <v>43014.490029992223</v>
      </c>
      <c r="D8" s="8">
        <v>43014.490029992223</v>
      </c>
      <c r="E8" t="s">
        <v>27</v>
      </c>
      <c r="F8" t="s">
        <v>34</v>
      </c>
      <c r="G8" t="s">
        <v>65</v>
      </c>
      <c r="H8" s="14">
        <v>2612</v>
      </c>
      <c r="I8">
        <f>IF(TbRegistroEntradas[[#This Row],[Data do Caixa Realizado]]="",0,MONTH(TbRegistroEntradas[[#This Row],[Data do Caixa Realizado]]))</f>
        <v>10</v>
      </c>
      <c r="J8">
        <f>IF(TbRegistroEntradas[[#This Row],[Data do Caixa Realizado]]="",0,YEAR(TbRegistroEntradas[[#This Row],[Data do Caixa Realizado]]))</f>
        <v>2017</v>
      </c>
      <c r="K8">
        <f>IF(TbRegistroEntradas[[#This Row],[Data da Competência]]="",0,MONTH(TbRegistroEntradas[[#This Row],[Data da Competência]]))</f>
        <v>10</v>
      </c>
      <c r="L8">
        <f>IF(TbRegistroEntradas[[#This Row],[Data da Competência]]="",0,YEAR(TbRegistroEntradas[[#This Row],[Data da Competência]]))</f>
        <v>2017</v>
      </c>
      <c r="M8" s="53">
        <f>IF(TbRegistroEntradas[[#This Row],[Data do Caixa Previsto]]="",0,MONTH(TbRegistroEntradas[[#This Row],[Data do Caixa Previsto]]))</f>
        <v>10</v>
      </c>
      <c r="N8" s="53">
        <f>IF(TbRegistroEntradas[[#This Row],[Data do Caixa Previsto]]="",0,YEAR(TbRegistroEntradas[[#This Row],[Data do Caixa Previsto]]))</f>
        <v>2017</v>
      </c>
      <c r="O8" s="53" t="str">
        <f ca="1">IF(AND(TbRegistroEntradas[[#This Row],[Data do Caixa Previsto]]&lt;TODAY(),TbRegistroEntradas[[#This Row],[Data do Caixa Realizado]]=""),"Vencida","Não Vencida")</f>
        <v>Não Vencida</v>
      </c>
      <c r="P8" s="53" t="str">
        <f>IF(TbRegistroEntradas[[#This Row],[Data da Competência]]=TbRegistroEntradas[[#This Row],[Data do Caixa Previsto]],"Vista","Prazo")</f>
        <v>Vista</v>
      </c>
      <c r="Q8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9" spans="1:17" ht="20.100000000000001" customHeight="1" x14ac:dyDescent="0.3">
      <c r="B9" s="8">
        <v>43054.754604096757</v>
      </c>
      <c r="C9" s="8">
        <v>42974</v>
      </c>
      <c r="D9" s="8">
        <v>43030.597366701804</v>
      </c>
      <c r="E9" t="s">
        <v>27</v>
      </c>
      <c r="F9" t="s">
        <v>36</v>
      </c>
      <c r="G9" t="s">
        <v>66</v>
      </c>
      <c r="H9" s="14">
        <v>2483</v>
      </c>
      <c r="I9">
        <f>IF(TbRegistroEntradas[[#This Row],[Data do Caixa Realizado]]="",0,MONTH(TbRegistroEntradas[[#This Row],[Data do Caixa Realizado]]))</f>
        <v>11</v>
      </c>
      <c r="J9">
        <f>IF(TbRegistroEntradas[[#This Row],[Data do Caixa Realizado]]="",0,YEAR(TbRegistroEntradas[[#This Row],[Data do Caixa Realizado]]))</f>
        <v>2017</v>
      </c>
      <c r="K9">
        <f>IF(TbRegistroEntradas[[#This Row],[Data da Competência]]="",0,MONTH(TbRegistroEntradas[[#This Row],[Data da Competência]]))</f>
        <v>8</v>
      </c>
      <c r="L9">
        <f>IF(TbRegistroEntradas[[#This Row],[Data da Competência]]="",0,YEAR(TbRegistroEntradas[[#This Row],[Data da Competência]]))</f>
        <v>2017</v>
      </c>
      <c r="M9" s="53">
        <f>IF(TbRegistroEntradas[[#This Row],[Data do Caixa Previsto]]="",0,MONTH(TbRegistroEntradas[[#This Row],[Data do Caixa Previsto]]))</f>
        <v>10</v>
      </c>
      <c r="N9" s="53">
        <f>IF(TbRegistroEntradas[[#This Row],[Data do Caixa Previsto]]="",0,YEAR(TbRegistroEntradas[[#This Row],[Data do Caixa Previsto]]))</f>
        <v>2017</v>
      </c>
      <c r="O9" s="53" t="str">
        <f ca="1">IF(AND(TbRegistroEntradas[[#This Row],[Data do Caixa Previsto]]&lt;TODAY(),TbRegistroEntradas[[#This Row],[Data do Caixa Realizado]]=""),"Vencida","Não Vencida")</f>
        <v>Não Vencida</v>
      </c>
      <c r="P9" s="53" t="str">
        <f>IF(TbRegistroEntradas[[#This Row],[Data da Competência]]=TbRegistroEntradas[[#This Row],[Data do Caixa Previsto]],"Vista","Prazo")</f>
        <v>Prazo</v>
      </c>
      <c r="Q9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24.157237394952972</v>
      </c>
    </row>
    <row r="10" spans="1:17" ht="20.100000000000001" customHeight="1" x14ac:dyDescent="0.3">
      <c r="B10" s="8">
        <v>43087.201387518355</v>
      </c>
      <c r="C10" s="8">
        <v>42979</v>
      </c>
      <c r="D10" s="8">
        <v>43009.803181410032</v>
      </c>
      <c r="E10" t="s">
        <v>27</v>
      </c>
      <c r="F10" t="s">
        <v>34</v>
      </c>
      <c r="G10" t="s">
        <v>67</v>
      </c>
      <c r="H10" s="14">
        <v>4387</v>
      </c>
      <c r="I10">
        <f>IF(TbRegistroEntradas[[#This Row],[Data do Caixa Realizado]]="",0,MONTH(TbRegistroEntradas[[#This Row],[Data do Caixa Realizado]]))</f>
        <v>12</v>
      </c>
      <c r="J10">
        <f>IF(TbRegistroEntradas[[#This Row],[Data do Caixa Realizado]]="",0,YEAR(TbRegistroEntradas[[#This Row],[Data do Caixa Realizado]]))</f>
        <v>2017</v>
      </c>
      <c r="K10">
        <f>IF(TbRegistroEntradas[[#This Row],[Data da Competência]]="",0,MONTH(TbRegistroEntradas[[#This Row],[Data da Competência]]))</f>
        <v>9</v>
      </c>
      <c r="L10">
        <f>IF(TbRegistroEntradas[[#This Row],[Data da Competência]]="",0,YEAR(TbRegistroEntradas[[#This Row],[Data da Competência]]))</f>
        <v>2017</v>
      </c>
      <c r="M10" s="53">
        <f>IF(TbRegistroEntradas[[#This Row],[Data do Caixa Previsto]]="",0,MONTH(TbRegistroEntradas[[#This Row],[Data do Caixa Previsto]]))</f>
        <v>10</v>
      </c>
      <c r="N10" s="53">
        <f>IF(TbRegistroEntradas[[#This Row],[Data do Caixa Previsto]]="",0,YEAR(TbRegistroEntradas[[#This Row],[Data do Caixa Previsto]]))</f>
        <v>2017</v>
      </c>
      <c r="O10" s="53" t="str">
        <f ca="1">IF(AND(TbRegistroEntradas[[#This Row],[Data do Caixa Previsto]]&lt;TODAY(),TbRegistroEntradas[[#This Row],[Data do Caixa Realizado]]=""),"Vencida","Não Vencida")</f>
        <v>Não Vencida</v>
      </c>
      <c r="P10" s="53" t="str">
        <f>IF(TbRegistroEntradas[[#This Row],[Data da Competência]]=TbRegistroEntradas[[#This Row],[Data do Caixa Previsto]],"Vista","Prazo")</f>
        <v>Prazo</v>
      </c>
      <c r="Q10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77.398206108322483</v>
      </c>
    </row>
    <row r="11" spans="1:17" ht="20.100000000000001" customHeight="1" x14ac:dyDescent="0.3">
      <c r="B11" s="8">
        <v>43004.688402044558</v>
      </c>
      <c r="C11" s="8">
        <v>42980</v>
      </c>
      <c r="D11" s="8">
        <v>43004.688402044558</v>
      </c>
      <c r="E11" t="s">
        <v>27</v>
      </c>
      <c r="F11" t="s">
        <v>36</v>
      </c>
      <c r="G11" t="s">
        <v>68</v>
      </c>
      <c r="H11" s="14">
        <v>4268</v>
      </c>
      <c r="I11">
        <f>IF(TbRegistroEntradas[[#This Row],[Data do Caixa Realizado]]="",0,MONTH(TbRegistroEntradas[[#This Row],[Data do Caixa Realizado]]))</f>
        <v>9</v>
      </c>
      <c r="J11">
        <f>IF(TbRegistroEntradas[[#This Row],[Data do Caixa Realizado]]="",0,YEAR(TbRegistroEntradas[[#This Row],[Data do Caixa Realizado]]))</f>
        <v>2017</v>
      </c>
      <c r="K11">
        <f>IF(TbRegistroEntradas[[#This Row],[Data da Competência]]="",0,MONTH(TbRegistroEntradas[[#This Row],[Data da Competência]]))</f>
        <v>9</v>
      </c>
      <c r="L11">
        <f>IF(TbRegistroEntradas[[#This Row],[Data da Competência]]="",0,YEAR(TbRegistroEntradas[[#This Row],[Data da Competência]]))</f>
        <v>2017</v>
      </c>
      <c r="M11" s="53">
        <f>IF(TbRegistroEntradas[[#This Row],[Data do Caixa Previsto]]="",0,MONTH(TbRegistroEntradas[[#This Row],[Data do Caixa Previsto]]))</f>
        <v>9</v>
      </c>
      <c r="N11" s="53">
        <f>IF(TbRegistroEntradas[[#This Row],[Data do Caixa Previsto]]="",0,YEAR(TbRegistroEntradas[[#This Row],[Data do Caixa Previsto]]))</f>
        <v>2017</v>
      </c>
      <c r="O11" s="53" t="str">
        <f ca="1">IF(AND(TbRegistroEntradas[[#This Row],[Data do Caixa Previsto]]&lt;TODAY(),TbRegistroEntradas[[#This Row],[Data do Caixa Realizado]]=""),"Vencida","Não Vencida")</f>
        <v>Não Vencida</v>
      </c>
      <c r="P11" s="53" t="str">
        <f>IF(TbRegistroEntradas[[#This Row],[Data da Competência]]=TbRegistroEntradas[[#This Row],[Data do Caixa Previsto]],"Vista","Prazo")</f>
        <v>Prazo</v>
      </c>
      <c r="Q11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2" spans="1:17" ht="20.100000000000001" customHeight="1" x14ac:dyDescent="0.3">
      <c r="B12" s="8">
        <v>43015.979718768547</v>
      </c>
      <c r="C12" s="8">
        <v>42984</v>
      </c>
      <c r="D12" s="8">
        <v>43015.979718768547</v>
      </c>
      <c r="E12" t="s">
        <v>27</v>
      </c>
      <c r="F12" t="s">
        <v>36</v>
      </c>
      <c r="G12" t="s">
        <v>69</v>
      </c>
      <c r="H12" s="14">
        <v>3761</v>
      </c>
      <c r="I12">
        <f>IF(TbRegistroEntradas[[#This Row],[Data do Caixa Realizado]]="",0,MONTH(TbRegistroEntradas[[#This Row],[Data do Caixa Realizado]]))</f>
        <v>10</v>
      </c>
      <c r="J12">
        <f>IF(TbRegistroEntradas[[#This Row],[Data do Caixa Realizado]]="",0,YEAR(TbRegistroEntradas[[#This Row],[Data do Caixa Realizado]]))</f>
        <v>2017</v>
      </c>
      <c r="K12">
        <f>IF(TbRegistroEntradas[[#This Row],[Data da Competência]]="",0,MONTH(TbRegistroEntradas[[#This Row],[Data da Competência]]))</f>
        <v>9</v>
      </c>
      <c r="L12">
        <f>IF(TbRegistroEntradas[[#This Row],[Data da Competência]]="",0,YEAR(TbRegistroEntradas[[#This Row],[Data da Competência]]))</f>
        <v>2017</v>
      </c>
      <c r="M12" s="53">
        <f>IF(TbRegistroEntradas[[#This Row],[Data do Caixa Previsto]]="",0,MONTH(TbRegistroEntradas[[#This Row],[Data do Caixa Previsto]]))</f>
        <v>10</v>
      </c>
      <c r="N12" s="53">
        <f>IF(TbRegistroEntradas[[#This Row],[Data do Caixa Previsto]]="",0,YEAR(TbRegistroEntradas[[#This Row],[Data do Caixa Previsto]]))</f>
        <v>2017</v>
      </c>
      <c r="O12" s="53" t="str">
        <f ca="1">IF(AND(TbRegistroEntradas[[#This Row],[Data do Caixa Previsto]]&lt;TODAY(),TbRegistroEntradas[[#This Row],[Data do Caixa Realizado]]=""),"Vencida","Não Vencida")</f>
        <v>Não Vencida</v>
      </c>
      <c r="P12" s="53" t="str">
        <f>IF(TbRegistroEntradas[[#This Row],[Data da Competência]]=TbRegistroEntradas[[#This Row],[Data do Caixa Previsto]],"Vista","Prazo")</f>
        <v>Prazo</v>
      </c>
      <c r="Q12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3" spans="1:17" ht="20.100000000000001" customHeight="1" x14ac:dyDescent="0.3">
      <c r="B13" s="8" t="s">
        <v>70</v>
      </c>
      <c r="C13" s="8">
        <v>42988</v>
      </c>
      <c r="D13" s="8">
        <v>43013.954304648258</v>
      </c>
      <c r="E13" t="s">
        <v>27</v>
      </c>
      <c r="F13" t="s">
        <v>36</v>
      </c>
      <c r="G13" t="s">
        <v>71</v>
      </c>
      <c r="H13" s="14">
        <v>4983</v>
      </c>
      <c r="I13">
        <f>IF(TbRegistroEntradas[[#This Row],[Data do Caixa Realizado]]="",0,MONTH(TbRegistroEntradas[[#This Row],[Data do Caixa Realizado]]))</f>
        <v>0</v>
      </c>
      <c r="J13">
        <f>IF(TbRegistroEntradas[[#This Row],[Data do Caixa Realizado]]="",0,YEAR(TbRegistroEntradas[[#This Row],[Data do Caixa Realizado]]))</f>
        <v>0</v>
      </c>
      <c r="K13">
        <f>IF(TbRegistroEntradas[[#This Row],[Data da Competência]]="",0,MONTH(TbRegistroEntradas[[#This Row],[Data da Competência]]))</f>
        <v>9</v>
      </c>
      <c r="L13">
        <f>IF(TbRegistroEntradas[[#This Row],[Data da Competência]]="",0,YEAR(TbRegistroEntradas[[#This Row],[Data da Competência]]))</f>
        <v>2017</v>
      </c>
      <c r="M13" s="53">
        <f>IF(TbRegistroEntradas[[#This Row],[Data do Caixa Previsto]]="",0,MONTH(TbRegistroEntradas[[#This Row],[Data do Caixa Previsto]]))</f>
        <v>10</v>
      </c>
      <c r="N13" s="53">
        <f>IF(TbRegistroEntradas[[#This Row],[Data do Caixa Previsto]]="",0,YEAR(TbRegistroEntradas[[#This Row],[Data do Caixa Previsto]]))</f>
        <v>2017</v>
      </c>
      <c r="O13" s="53" t="str">
        <f ca="1">IF(AND(TbRegistroEntradas[[#This Row],[Data do Caixa Previsto]]&lt;TODAY(),TbRegistroEntradas[[#This Row],[Data do Caixa Realizado]]=""),"Vencida","Não Vencida")</f>
        <v>Vencida</v>
      </c>
      <c r="P13" s="53" t="str">
        <f>IF(TbRegistroEntradas[[#This Row],[Data da Competência]]=TbRegistroEntradas[[#This Row],[Data do Caixa Previsto]],"Vista","Prazo")</f>
        <v>Prazo</v>
      </c>
      <c r="Q13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2595.0456953517423</v>
      </c>
    </row>
    <row r="14" spans="1:17" ht="20.100000000000001" customHeight="1" x14ac:dyDescent="0.3">
      <c r="B14" s="8">
        <v>42997.551902670813</v>
      </c>
      <c r="C14" s="8">
        <v>42990</v>
      </c>
      <c r="D14" s="8">
        <v>42997.551902670813</v>
      </c>
      <c r="E14" t="s">
        <v>27</v>
      </c>
      <c r="F14" t="s">
        <v>33</v>
      </c>
      <c r="G14" t="s">
        <v>72</v>
      </c>
      <c r="H14" s="14">
        <v>2502</v>
      </c>
      <c r="I14">
        <f>IF(TbRegistroEntradas[[#This Row],[Data do Caixa Realizado]]="",0,MONTH(TbRegistroEntradas[[#This Row],[Data do Caixa Realizado]]))</f>
        <v>9</v>
      </c>
      <c r="J14">
        <f>IF(TbRegistroEntradas[[#This Row],[Data do Caixa Realizado]]="",0,YEAR(TbRegistroEntradas[[#This Row],[Data do Caixa Realizado]]))</f>
        <v>2017</v>
      </c>
      <c r="K14">
        <f>IF(TbRegistroEntradas[[#This Row],[Data da Competência]]="",0,MONTH(TbRegistroEntradas[[#This Row],[Data da Competência]]))</f>
        <v>9</v>
      </c>
      <c r="L14">
        <f>IF(TbRegistroEntradas[[#This Row],[Data da Competência]]="",0,YEAR(TbRegistroEntradas[[#This Row],[Data da Competência]]))</f>
        <v>2017</v>
      </c>
      <c r="M14" s="53">
        <f>IF(TbRegistroEntradas[[#This Row],[Data do Caixa Previsto]]="",0,MONTH(TbRegistroEntradas[[#This Row],[Data do Caixa Previsto]]))</f>
        <v>9</v>
      </c>
      <c r="N14" s="53">
        <f>IF(TbRegistroEntradas[[#This Row],[Data do Caixa Previsto]]="",0,YEAR(TbRegistroEntradas[[#This Row],[Data do Caixa Previsto]]))</f>
        <v>2017</v>
      </c>
      <c r="O14" s="53" t="str">
        <f ca="1">IF(AND(TbRegistroEntradas[[#This Row],[Data do Caixa Previsto]]&lt;TODAY(),TbRegistroEntradas[[#This Row],[Data do Caixa Realizado]]=""),"Vencida","Não Vencida")</f>
        <v>Não Vencida</v>
      </c>
      <c r="P14" s="53" t="str">
        <f>IF(TbRegistroEntradas[[#This Row],[Data da Competência]]=TbRegistroEntradas[[#This Row],[Data do Caixa Previsto]],"Vista","Prazo")</f>
        <v>Prazo</v>
      </c>
      <c r="Q14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5" spans="1:17" ht="20.100000000000001" customHeight="1" x14ac:dyDescent="0.3">
      <c r="B15" s="8">
        <v>43004.663371860901</v>
      </c>
      <c r="C15" s="8">
        <v>42994</v>
      </c>
      <c r="D15" s="8">
        <v>43002.856606349254</v>
      </c>
      <c r="E15" t="s">
        <v>27</v>
      </c>
      <c r="F15" t="s">
        <v>36</v>
      </c>
      <c r="G15" t="s">
        <v>73</v>
      </c>
      <c r="H15" s="14">
        <v>2337</v>
      </c>
      <c r="I15">
        <f>IF(TbRegistroEntradas[[#This Row],[Data do Caixa Realizado]]="",0,MONTH(TbRegistroEntradas[[#This Row],[Data do Caixa Realizado]]))</f>
        <v>9</v>
      </c>
      <c r="J15">
        <f>IF(TbRegistroEntradas[[#This Row],[Data do Caixa Realizado]]="",0,YEAR(TbRegistroEntradas[[#This Row],[Data do Caixa Realizado]]))</f>
        <v>2017</v>
      </c>
      <c r="K15">
        <f>IF(TbRegistroEntradas[[#This Row],[Data da Competência]]="",0,MONTH(TbRegistroEntradas[[#This Row],[Data da Competência]]))</f>
        <v>9</v>
      </c>
      <c r="L15">
        <f>IF(TbRegistroEntradas[[#This Row],[Data da Competência]]="",0,YEAR(TbRegistroEntradas[[#This Row],[Data da Competência]]))</f>
        <v>2017</v>
      </c>
      <c r="M15" s="53">
        <f>IF(TbRegistroEntradas[[#This Row],[Data do Caixa Previsto]]="",0,MONTH(TbRegistroEntradas[[#This Row],[Data do Caixa Previsto]]))</f>
        <v>9</v>
      </c>
      <c r="N15" s="53">
        <f>IF(TbRegistroEntradas[[#This Row],[Data do Caixa Previsto]]="",0,YEAR(TbRegistroEntradas[[#This Row],[Data do Caixa Previsto]]))</f>
        <v>2017</v>
      </c>
      <c r="O15" s="53" t="str">
        <f ca="1">IF(AND(TbRegistroEntradas[[#This Row],[Data do Caixa Previsto]]&lt;TODAY(),TbRegistroEntradas[[#This Row],[Data do Caixa Realizado]]=""),"Vencida","Não Vencida")</f>
        <v>Não Vencida</v>
      </c>
      <c r="P15" s="53" t="str">
        <f>IF(TbRegistroEntradas[[#This Row],[Data da Competência]]=TbRegistroEntradas[[#This Row],[Data do Caixa Previsto]],"Vista","Prazo")</f>
        <v>Prazo</v>
      </c>
      <c r="Q15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1.8067655116465176</v>
      </c>
    </row>
    <row r="16" spans="1:17" ht="20.100000000000001" customHeight="1" x14ac:dyDescent="0.3">
      <c r="B16" s="8">
        <v>43010.987674560682</v>
      </c>
      <c r="C16" s="8">
        <v>43001</v>
      </c>
      <c r="D16" s="8">
        <v>43010.987674560682</v>
      </c>
      <c r="E16" t="s">
        <v>27</v>
      </c>
      <c r="F16" t="s">
        <v>35</v>
      </c>
      <c r="G16" t="s">
        <v>74</v>
      </c>
      <c r="H16" s="14">
        <v>3125</v>
      </c>
      <c r="I16">
        <f>IF(TbRegistroEntradas[[#This Row],[Data do Caixa Realizado]]="",0,MONTH(TbRegistroEntradas[[#This Row],[Data do Caixa Realizado]]))</f>
        <v>10</v>
      </c>
      <c r="J16">
        <f>IF(TbRegistroEntradas[[#This Row],[Data do Caixa Realizado]]="",0,YEAR(TbRegistroEntradas[[#This Row],[Data do Caixa Realizado]]))</f>
        <v>2017</v>
      </c>
      <c r="K16">
        <f>IF(TbRegistroEntradas[[#This Row],[Data da Competência]]="",0,MONTH(TbRegistroEntradas[[#This Row],[Data da Competência]]))</f>
        <v>9</v>
      </c>
      <c r="L16">
        <f>IF(TbRegistroEntradas[[#This Row],[Data da Competência]]="",0,YEAR(TbRegistroEntradas[[#This Row],[Data da Competência]]))</f>
        <v>2017</v>
      </c>
      <c r="M16" s="53">
        <f>IF(TbRegistroEntradas[[#This Row],[Data do Caixa Previsto]]="",0,MONTH(TbRegistroEntradas[[#This Row],[Data do Caixa Previsto]]))</f>
        <v>10</v>
      </c>
      <c r="N16" s="53">
        <f>IF(TbRegistroEntradas[[#This Row],[Data do Caixa Previsto]]="",0,YEAR(TbRegistroEntradas[[#This Row],[Data do Caixa Previsto]]))</f>
        <v>2017</v>
      </c>
      <c r="O16" s="53" t="str">
        <f ca="1">IF(AND(TbRegistroEntradas[[#This Row],[Data do Caixa Previsto]]&lt;TODAY(),TbRegistroEntradas[[#This Row],[Data do Caixa Realizado]]=""),"Vencida","Não Vencida")</f>
        <v>Não Vencida</v>
      </c>
      <c r="P16" s="53" t="str">
        <f>IF(TbRegistroEntradas[[#This Row],[Data da Competência]]=TbRegistroEntradas[[#This Row],[Data do Caixa Previsto]],"Vista","Prazo")</f>
        <v>Prazo</v>
      </c>
      <c r="Q16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7" spans="2:17" ht="20.100000000000001" customHeight="1" x14ac:dyDescent="0.3">
      <c r="B17" s="8">
        <v>43056.628172621648</v>
      </c>
      <c r="C17" s="8">
        <v>43004</v>
      </c>
      <c r="D17" s="8">
        <v>43056.628172621648</v>
      </c>
      <c r="E17" t="s">
        <v>27</v>
      </c>
      <c r="F17" t="s">
        <v>36</v>
      </c>
      <c r="G17" t="s">
        <v>75</v>
      </c>
      <c r="H17" s="14">
        <v>1201</v>
      </c>
      <c r="I17">
        <f>IF(TbRegistroEntradas[[#This Row],[Data do Caixa Realizado]]="",0,MONTH(TbRegistroEntradas[[#This Row],[Data do Caixa Realizado]]))</f>
        <v>11</v>
      </c>
      <c r="J17">
        <f>IF(TbRegistroEntradas[[#This Row],[Data do Caixa Realizado]]="",0,YEAR(TbRegistroEntradas[[#This Row],[Data do Caixa Realizado]]))</f>
        <v>2017</v>
      </c>
      <c r="K17">
        <f>IF(TbRegistroEntradas[[#This Row],[Data da Competência]]="",0,MONTH(TbRegistroEntradas[[#This Row],[Data da Competência]]))</f>
        <v>9</v>
      </c>
      <c r="L17">
        <f>IF(TbRegistroEntradas[[#This Row],[Data da Competência]]="",0,YEAR(TbRegistroEntradas[[#This Row],[Data da Competência]]))</f>
        <v>2017</v>
      </c>
      <c r="M17" s="53">
        <f>IF(TbRegistroEntradas[[#This Row],[Data do Caixa Previsto]]="",0,MONTH(TbRegistroEntradas[[#This Row],[Data do Caixa Previsto]]))</f>
        <v>11</v>
      </c>
      <c r="N17" s="53">
        <f>IF(TbRegistroEntradas[[#This Row],[Data do Caixa Previsto]]="",0,YEAR(TbRegistroEntradas[[#This Row],[Data do Caixa Previsto]]))</f>
        <v>2017</v>
      </c>
      <c r="O17" s="53" t="str">
        <f ca="1">IF(AND(TbRegistroEntradas[[#This Row],[Data do Caixa Previsto]]&lt;TODAY(),TbRegistroEntradas[[#This Row],[Data do Caixa Realizado]]=""),"Vencida","Não Vencida")</f>
        <v>Não Vencida</v>
      </c>
      <c r="P17" s="53" t="str">
        <f>IF(TbRegistroEntradas[[#This Row],[Data da Competência]]=TbRegistroEntradas[[#This Row],[Data do Caixa Previsto]],"Vista","Prazo")</f>
        <v>Prazo</v>
      </c>
      <c r="Q17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8" spans="2:17" x14ac:dyDescent="0.3">
      <c r="B18" s="8">
        <v>43033.143288673884</v>
      </c>
      <c r="C18" s="8">
        <v>43005</v>
      </c>
      <c r="D18" s="8">
        <v>43018.800773350056</v>
      </c>
      <c r="E18" t="s">
        <v>27</v>
      </c>
      <c r="F18" t="s">
        <v>34</v>
      </c>
      <c r="G18" t="s">
        <v>76</v>
      </c>
      <c r="H18" s="14">
        <v>4380</v>
      </c>
      <c r="I18">
        <f>IF(TbRegistroEntradas[[#This Row],[Data do Caixa Realizado]]="",0,MONTH(TbRegistroEntradas[[#This Row],[Data do Caixa Realizado]]))</f>
        <v>10</v>
      </c>
      <c r="J18">
        <f>IF(TbRegistroEntradas[[#This Row],[Data do Caixa Realizado]]="",0,YEAR(TbRegistroEntradas[[#This Row],[Data do Caixa Realizado]]))</f>
        <v>2017</v>
      </c>
      <c r="K18">
        <f>IF(TbRegistroEntradas[[#This Row],[Data da Competência]]="",0,MONTH(TbRegistroEntradas[[#This Row],[Data da Competência]]))</f>
        <v>9</v>
      </c>
      <c r="L18">
        <f>IF(TbRegistroEntradas[[#This Row],[Data da Competência]]="",0,YEAR(TbRegistroEntradas[[#This Row],[Data da Competência]]))</f>
        <v>2017</v>
      </c>
      <c r="M18" s="53">
        <f>IF(TbRegistroEntradas[[#This Row],[Data do Caixa Previsto]]="",0,MONTH(TbRegistroEntradas[[#This Row],[Data do Caixa Previsto]]))</f>
        <v>10</v>
      </c>
      <c r="N18" s="53">
        <f>IF(TbRegistroEntradas[[#This Row],[Data do Caixa Previsto]]="",0,YEAR(TbRegistroEntradas[[#This Row],[Data do Caixa Previsto]]))</f>
        <v>2017</v>
      </c>
      <c r="O18" s="53" t="str">
        <f ca="1">IF(AND(TbRegistroEntradas[[#This Row],[Data do Caixa Previsto]]&lt;TODAY(),TbRegistroEntradas[[#This Row],[Data do Caixa Realizado]]=""),"Vencida","Não Vencida")</f>
        <v>Não Vencida</v>
      </c>
      <c r="P18" s="53" t="str">
        <f>IF(TbRegistroEntradas[[#This Row],[Data da Competência]]=TbRegistroEntradas[[#This Row],[Data do Caixa Previsto]],"Vista","Prazo")</f>
        <v>Prazo</v>
      </c>
      <c r="Q18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14.342515323827683</v>
      </c>
    </row>
    <row r="19" spans="2:17" x14ac:dyDescent="0.3">
      <c r="B19" s="8">
        <v>43019.580095755031</v>
      </c>
      <c r="C19" s="8">
        <v>43008</v>
      </c>
      <c r="D19" s="8">
        <v>43019.580095755031</v>
      </c>
      <c r="E19" t="s">
        <v>27</v>
      </c>
      <c r="F19" t="s">
        <v>35</v>
      </c>
      <c r="G19" t="s">
        <v>77</v>
      </c>
      <c r="H19" s="14">
        <v>919</v>
      </c>
      <c r="I19">
        <f>IF(TbRegistroEntradas[[#This Row],[Data do Caixa Realizado]]="",0,MONTH(TbRegistroEntradas[[#This Row],[Data do Caixa Realizado]]))</f>
        <v>10</v>
      </c>
      <c r="J19">
        <f>IF(TbRegistroEntradas[[#This Row],[Data do Caixa Realizado]]="",0,YEAR(TbRegistroEntradas[[#This Row],[Data do Caixa Realizado]]))</f>
        <v>2017</v>
      </c>
      <c r="K19">
        <f>IF(TbRegistroEntradas[[#This Row],[Data da Competência]]="",0,MONTH(TbRegistroEntradas[[#This Row],[Data da Competência]]))</f>
        <v>9</v>
      </c>
      <c r="L19">
        <f>IF(TbRegistroEntradas[[#This Row],[Data da Competência]]="",0,YEAR(TbRegistroEntradas[[#This Row],[Data da Competência]]))</f>
        <v>2017</v>
      </c>
      <c r="M19" s="53">
        <f>IF(TbRegistroEntradas[[#This Row],[Data do Caixa Previsto]]="",0,MONTH(TbRegistroEntradas[[#This Row],[Data do Caixa Previsto]]))</f>
        <v>10</v>
      </c>
      <c r="N19" s="53">
        <f>IF(TbRegistroEntradas[[#This Row],[Data do Caixa Previsto]]="",0,YEAR(TbRegistroEntradas[[#This Row],[Data do Caixa Previsto]]))</f>
        <v>2017</v>
      </c>
      <c r="O19" s="53" t="str">
        <f ca="1">IF(AND(TbRegistroEntradas[[#This Row],[Data do Caixa Previsto]]&lt;TODAY(),TbRegistroEntradas[[#This Row],[Data do Caixa Realizado]]=""),"Vencida","Não Vencida")</f>
        <v>Não Vencida</v>
      </c>
      <c r="P19" s="53" t="str">
        <f>IF(TbRegistroEntradas[[#This Row],[Data da Competência]]=TbRegistroEntradas[[#This Row],[Data do Caixa Previsto]],"Vista","Prazo")</f>
        <v>Prazo</v>
      </c>
      <c r="Q19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20" spans="2:17" x14ac:dyDescent="0.3">
      <c r="B20" s="8">
        <v>43025.995076094237</v>
      </c>
      <c r="C20" s="8">
        <v>43012</v>
      </c>
      <c r="D20" s="8">
        <v>43025.995076094237</v>
      </c>
      <c r="E20" t="s">
        <v>27</v>
      </c>
      <c r="F20" t="s">
        <v>37</v>
      </c>
      <c r="G20" t="s">
        <v>78</v>
      </c>
      <c r="H20" s="14">
        <v>4590</v>
      </c>
      <c r="I20">
        <f>IF(TbRegistroEntradas[[#This Row],[Data do Caixa Realizado]]="",0,MONTH(TbRegistroEntradas[[#This Row],[Data do Caixa Realizado]]))</f>
        <v>10</v>
      </c>
      <c r="J20">
        <f>IF(TbRegistroEntradas[[#This Row],[Data do Caixa Realizado]]="",0,YEAR(TbRegistroEntradas[[#This Row],[Data do Caixa Realizado]]))</f>
        <v>2017</v>
      </c>
      <c r="K20">
        <f>IF(TbRegistroEntradas[[#This Row],[Data da Competência]]="",0,MONTH(TbRegistroEntradas[[#This Row],[Data da Competência]]))</f>
        <v>10</v>
      </c>
      <c r="L20">
        <f>IF(TbRegistroEntradas[[#This Row],[Data da Competência]]="",0,YEAR(TbRegistroEntradas[[#This Row],[Data da Competência]]))</f>
        <v>2017</v>
      </c>
      <c r="M20" s="53">
        <f>IF(TbRegistroEntradas[[#This Row],[Data do Caixa Previsto]]="",0,MONTH(TbRegistroEntradas[[#This Row],[Data do Caixa Previsto]]))</f>
        <v>10</v>
      </c>
      <c r="N20" s="53">
        <f>IF(TbRegistroEntradas[[#This Row],[Data do Caixa Previsto]]="",0,YEAR(TbRegistroEntradas[[#This Row],[Data do Caixa Previsto]]))</f>
        <v>2017</v>
      </c>
      <c r="O20" s="53" t="str">
        <f ca="1">IF(AND(TbRegistroEntradas[[#This Row],[Data do Caixa Previsto]]&lt;TODAY(),TbRegistroEntradas[[#This Row],[Data do Caixa Realizado]]=""),"Vencida","Não Vencida")</f>
        <v>Não Vencida</v>
      </c>
      <c r="P20" s="53" t="str">
        <f>IF(TbRegistroEntradas[[#This Row],[Data da Competência]]=TbRegistroEntradas[[#This Row],[Data do Caixa Previsto]],"Vista","Prazo")</f>
        <v>Prazo</v>
      </c>
      <c r="Q20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21" spans="2:17" x14ac:dyDescent="0.3">
      <c r="B21" s="8">
        <v>43052.454388600381</v>
      </c>
      <c r="C21" s="8">
        <v>43015</v>
      </c>
      <c r="D21" s="8">
        <v>43052.454388600381</v>
      </c>
      <c r="E21" t="s">
        <v>27</v>
      </c>
      <c r="F21" t="s">
        <v>33</v>
      </c>
      <c r="G21" t="s">
        <v>79</v>
      </c>
      <c r="H21" s="14">
        <v>1958</v>
      </c>
      <c r="I21">
        <f>IF(TbRegistroEntradas[[#This Row],[Data do Caixa Realizado]]="",0,MONTH(TbRegistroEntradas[[#This Row],[Data do Caixa Realizado]]))</f>
        <v>11</v>
      </c>
      <c r="J21">
        <f>IF(TbRegistroEntradas[[#This Row],[Data do Caixa Realizado]]="",0,YEAR(TbRegistroEntradas[[#This Row],[Data do Caixa Realizado]]))</f>
        <v>2017</v>
      </c>
      <c r="K21">
        <f>IF(TbRegistroEntradas[[#This Row],[Data da Competência]]="",0,MONTH(TbRegistroEntradas[[#This Row],[Data da Competência]]))</f>
        <v>10</v>
      </c>
      <c r="L21">
        <f>IF(TbRegistroEntradas[[#This Row],[Data da Competência]]="",0,YEAR(TbRegistroEntradas[[#This Row],[Data da Competência]]))</f>
        <v>2017</v>
      </c>
      <c r="M21" s="53">
        <f>IF(TbRegistroEntradas[[#This Row],[Data do Caixa Previsto]]="",0,MONTH(TbRegistroEntradas[[#This Row],[Data do Caixa Previsto]]))</f>
        <v>11</v>
      </c>
      <c r="N21" s="53">
        <f>IF(TbRegistroEntradas[[#This Row],[Data do Caixa Previsto]]="",0,YEAR(TbRegistroEntradas[[#This Row],[Data do Caixa Previsto]]))</f>
        <v>2017</v>
      </c>
      <c r="O21" s="53" t="str">
        <f ca="1">IF(AND(TbRegistroEntradas[[#This Row],[Data do Caixa Previsto]]&lt;TODAY(),TbRegistroEntradas[[#This Row],[Data do Caixa Realizado]]=""),"Vencida","Não Vencida")</f>
        <v>Não Vencida</v>
      </c>
      <c r="P21" s="53" t="str">
        <f>IF(TbRegistroEntradas[[#This Row],[Data da Competência]]=TbRegistroEntradas[[#This Row],[Data do Caixa Previsto]],"Vista","Prazo")</f>
        <v>Prazo</v>
      </c>
      <c r="Q21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22" spans="2:17" x14ac:dyDescent="0.3">
      <c r="B22" s="8" t="s">
        <v>70</v>
      </c>
      <c r="C22" s="8">
        <v>43017</v>
      </c>
      <c r="D22" s="8">
        <v>43043.298497771881</v>
      </c>
      <c r="E22" t="s">
        <v>27</v>
      </c>
      <c r="F22" t="s">
        <v>34</v>
      </c>
      <c r="G22" t="s">
        <v>80</v>
      </c>
      <c r="H22" s="14">
        <v>1171</v>
      </c>
      <c r="I22">
        <f>IF(TbRegistroEntradas[[#This Row],[Data do Caixa Realizado]]="",0,MONTH(TbRegistroEntradas[[#This Row],[Data do Caixa Realizado]]))</f>
        <v>0</v>
      </c>
      <c r="J22">
        <f>IF(TbRegistroEntradas[[#This Row],[Data do Caixa Realizado]]="",0,YEAR(TbRegistroEntradas[[#This Row],[Data do Caixa Realizado]]))</f>
        <v>0</v>
      </c>
      <c r="K22">
        <f>IF(TbRegistroEntradas[[#This Row],[Data da Competência]]="",0,MONTH(TbRegistroEntradas[[#This Row],[Data da Competência]]))</f>
        <v>10</v>
      </c>
      <c r="L22">
        <f>IF(TbRegistroEntradas[[#This Row],[Data da Competência]]="",0,YEAR(TbRegistroEntradas[[#This Row],[Data da Competência]]))</f>
        <v>2017</v>
      </c>
      <c r="M22" s="53">
        <f>IF(TbRegistroEntradas[[#This Row],[Data do Caixa Previsto]]="",0,MONTH(TbRegistroEntradas[[#This Row],[Data do Caixa Previsto]]))</f>
        <v>11</v>
      </c>
      <c r="N22" s="53">
        <f>IF(TbRegistroEntradas[[#This Row],[Data do Caixa Previsto]]="",0,YEAR(TbRegistroEntradas[[#This Row],[Data do Caixa Previsto]]))</f>
        <v>2017</v>
      </c>
      <c r="O22" s="53" t="str">
        <f ca="1">IF(AND(TbRegistroEntradas[[#This Row],[Data do Caixa Previsto]]&lt;TODAY(),TbRegistroEntradas[[#This Row],[Data do Caixa Realizado]]=""),"Vencida","Não Vencida")</f>
        <v>Vencida</v>
      </c>
      <c r="P22" s="53" t="str">
        <f>IF(TbRegistroEntradas[[#This Row],[Data da Competência]]=TbRegistroEntradas[[#This Row],[Data do Caixa Previsto]],"Vista","Prazo")</f>
        <v>Prazo</v>
      </c>
      <c r="Q22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2565.7015022281194</v>
      </c>
    </row>
    <row r="23" spans="2:17" x14ac:dyDescent="0.3">
      <c r="B23" s="8">
        <v>43134.960630268302</v>
      </c>
      <c r="C23" s="8">
        <v>43019</v>
      </c>
      <c r="D23" s="8">
        <v>43060.909367737389</v>
      </c>
      <c r="E23" t="s">
        <v>27</v>
      </c>
      <c r="F23" t="s">
        <v>36</v>
      </c>
      <c r="G23" t="s">
        <v>81</v>
      </c>
      <c r="H23" s="14">
        <v>2587</v>
      </c>
      <c r="I23">
        <f>IF(TbRegistroEntradas[[#This Row],[Data do Caixa Realizado]]="",0,MONTH(TbRegistroEntradas[[#This Row],[Data do Caixa Realizado]]))</f>
        <v>2</v>
      </c>
      <c r="J23">
        <f>IF(TbRegistroEntradas[[#This Row],[Data do Caixa Realizado]]="",0,YEAR(TbRegistroEntradas[[#This Row],[Data do Caixa Realizado]]))</f>
        <v>2018</v>
      </c>
      <c r="K23">
        <f>IF(TbRegistroEntradas[[#This Row],[Data da Competência]]="",0,MONTH(TbRegistroEntradas[[#This Row],[Data da Competência]]))</f>
        <v>10</v>
      </c>
      <c r="L23">
        <f>IF(TbRegistroEntradas[[#This Row],[Data da Competência]]="",0,YEAR(TbRegistroEntradas[[#This Row],[Data da Competência]]))</f>
        <v>2017</v>
      </c>
      <c r="M23" s="53">
        <f>IF(TbRegistroEntradas[[#This Row],[Data do Caixa Previsto]]="",0,MONTH(TbRegistroEntradas[[#This Row],[Data do Caixa Previsto]]))</f>
        <v>11</v>
      </c>
      <c r="N23" s="53">
        <f>IF(TbRegistroEntradas[[#This Row],[Data do Caixa Previsto]]="",0,YEAR(TbRegistroEntradas[[#This Row],[Data do Caixa Previsto]]))</f>
        <v>2017</v>
      </c>
      <c r="O23" s="53" t="str">
        <f ca="1">IF(AND(TbRegistroEntradas[[#This Row],[Data do Caixa Previsto]]&lt;TODAY(),TbRegistroEntradas[[#This Row],[Data do Caixa Realizado]]=""),"Vencida","Não Vencida")</f>
        <v>Não Vencida</v>
      </c>
      <c r="P23" s="53" t="str">
        <f>IF(TbRegistroEntradas[[#This Row],[Data da Competência]]=TbRegistroEntradas[[#This Row],[Data do Caixa Previsto]],"Vista","Prazo")</f>
        <v>Prazo</v>
      </c>
      <c r="Q23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74.051262530912936</v>
      </c>
    </row>
    <row r="24" spans="2:17" x14ac:dyDescent="0.3">
      <c r="B24" s="8">
        <v>43045.105355406915</v>
      </c>
      <c r="C24" s="8">
        <v>43023</v>
      </c>
      <c r="D24" s="8">
        <v>43045.105355406915</v>
      </c>
      <c r="E24" t="s">
        <v>27</v>
      </c>
      <c r="F24" t="s">
        <v>36</v>
      </c>
      <c r="G24" t="s">
        <v>82</v>
      </c>
      <c r="H24" s="14">
        <v>3425</v>
      </c>
      <c r="I24">
        <f>IF(TbRegistroEntradas[[#This Row],[Data do Caixa Realizado]]="",0,MONTH(TbRegistroEntradas[[#This Row],[Data do Caixa Realizado]]))</f>
        <v>11</v>
      </c>
      <c r="J24">
        <f>IF(TbRegistroEntradas[[#This Row],[Data do Caixa Realizado]]="",0,YEAR(TbRegistroEntradas[[#This Row],[Data do Caixa Realizado]]))</f>
        <v>2017</v>
      </c>
      <c r="K24">
        <f>IF(TbRegistroEntradas[[#This Row],[Data da Competência]]="",0,MONTH(TbRegistroEntradas[[#This Row],[Data da Competência]]))</f>
        <v>10</v>
      </c>
      <c r="L24">
        <f>IF(TbRegistroEntradas[[#This Row],[Data da Competência]]="",0,YEAR(TbRegistroEntradas[[#This Row],[Data da Competência]]))</f>
        <v>2017</v>
      </c>
      <c r="M24" s="53">
        <f>IF(TbRegistroEntradas[[#This Row],[Data do Caixa Previsto]]="",0,MONTH(TbRegistroEntradas[[#This Row],[Data do Caixa Previsto]]))</f>
        <v>11</v>
      </c>
      <c r="N24" s="53">
        <f>IF(TbRegistroEntradas[[#This Row],[Data do Caixa Previsto]]="",0,YEAR(TbRegistroEntradas[[#This Row],[Data do Caixa Previsto]]))</f>
        <v>2017</v>
      </c>
      <c r="O24" s="53" t="str">
        <f ca="1">IF(AND(TbRegistroEntradas[[#This Row],[Data do Caixa Previsto]]&lt;TODAY(),TbRegistroEntradas[[#This Row],[Data do Caixa Realizado]]=""),"Vencida","Não Vencida")</f>
        <v>Não Vencida</v>
      </c>
      <c r="P24" s="53" t="str">
        <f>IF(TbRegistroEntradas[[#This Row],[Data da Competência]]=TbRegistroEntradas[[#This Row],[Data do Caixa Previsto]],"Vista","Prazo")</f>
        <v>Prazo</v>
      </c>
      <c r="Q24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25" spans="2:17" x14ac:dyDescent="0.3">
      <c r="B25" s="8">
        <v>43057.775638731524</v>
      </c>
      <c r="C25" s="8">
        <v>43026</v>
      </c>
      <c r="D25" s="8">
        <v>43057.775638731524</v>
      </c>
      <c r="E25" t="s">
        <v>27</v>
      </c>
      <c r="F25" t="s">
        <v>37</v>
      </c>
      <c r="G25" t="s">
        <v>83</v>
      </c>
      <c r="H25" s="14">
        <v>4454</v>
      </c>
      <c r="I25">
        <f>IF(TbRegistroEntradas[[#This Row],[Data do Caixa Realizado]]="",0,MONTH(TbRegistroEntradas[[#This Row],[Data do Caixa Realizado]]))</f>
        <v>11</v>
      </c>
      <c r="J25">
        <f>IF(TbRegistroEntradas[[#This Row],[Data do Caixa Realizado]]="",0,YEAR(TbRegistroEntradas[[#This Row],[Data do Caixa Realizado]]))</f>
        <v>2017</v>
      </c>
      <c r="K25">
        <f>IF(TbRegistroEntradas[[#This Row],[Data da Competência]]="",0,MONTH(TbRegistroEntradas[[#This Row],[Data da Competência]]))</f>
        <v>10</v>
      </c>
      <c r="L25">
        <f>IF(TbRegistroEntradas[[#This Row],[Data da Competência]]="",0,YEAR(TbRegistroEntradas[[#This Row],[Data da Competência]]))</f>
        <v>2017</v>
      </c>
      <c r="M25" s="53">
        <f>IF(TbRegistroEntradas[[#This Row],[Data do Caixa Previsto]]="",0,MONTH(TbRegistroEntradas[[#This Row],[Data do Caixa Previsto]]))</f>
        <v>11</v>
      </c>
      <c r="N25" s="53">
        <f>IF(TbRegistroEntradas[[#This Row],[Data do Caixa Previsto]]="",0,YEAR(TbRegistroEntradas[[#This Row],[Data do Caixa Previsto]]))</f>
        <v>2017</v>
      </c>
      <c r="O25" s="53" t="str">
        <f ca="1">IF(AND(TbRegistroEntradas[[#This Row],[Data do Caixa Previsto]]&lt;TODAY(),TbRegistroEntradas[[#This Row],[Data do Caixa Realizado]]=""),"Vencida","Não Vencida")</f>
        <v>Não Vencida</v>
      </c>
      <c r="P25" s="53" t="str">
        <f>IF(TbRegistroEntradas[[#This Row],[Data da Competência]]=TbRegistroEntradas[[#This Row],[Data do Caixa Previsto]],"Vista","Prazo")</f>
        <v>Prazo</v>
      </c>
      <c r="Q25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26" spans="2:17" x14ac:dyDescent="0.3">
      <c r="B26" s="8">
        <v>43037.453877289088</v>
      </c>
      <c r="C26" s="8">
        <v>43030</v>
      </c>
      <c r="D26" s="8">
        <v>43037.453877289088</v>
      </c>
      <c r="E26" t="s">
        <v>27</v>
      </c>
      <c r="F26" t="s">
        <v>34</v>
      </c>
      <c r="G26" t="s">
        <v>84</v>
      </c>
      <c r="H26" s="14">
        <v>2134</v>
      </c>
      <c r="I26">
        <f>IF(TbRegistroEntradas[[#This Row],[Data do Caixa Realizado]]="",0,MONTH(TbRegistroEntradas[[#This Row],[Data do Caixa Realizado]]))</f>
        <v>10</v>
      </c>
      <c r="J26">
        <f>IF(TbRegistroEntradas[[#This Row],[Data do Caixa Realizado]]="",0,YEAR(TbRegistroEntradas[[#This Row],[Data do Caixa Realizado]]))</f>
        <v>2017</v>
      </c>
      <c r="K26">
        <f>IF(TbRegistroEntradas[[#This Row],[Data da Competência]]="",0,MONTH(TbRegistroEntradas[[#This Row],[Data da Competência]]))</f>
        <v>10</v>
      </c>
      <c r="L26">
        <f>IF(TbRegistroEntradas[[#This Row],[Data da Competência]]="",0,YEAR(TbRegistroEntradas[[#This Row],[Data da Competência]]))</f>
        <v>2017</v>
      </c>
      <c r="M26" s="53">
        <f>IF(TbRegistroEntradas[[#This Row],[Data do Caixa Previsto]]="",0,MONTH(TbRegistroEntradas[[#This Row],[Data do Caixa Previsto]]))</f>
        <v>10</v>
      </c>
      <c r="N26" s="53">
        <f>IF(TbRegistroEntradas[[#This Row],[Data do Caixa Previsto]]="",0,YEAR(TbRegistroEntradas[[#This Row],[Data do Caixa Previsto]]))</f>
        <v>2017</v>
      </c>
      <c r="O26" s="53" t="str">
        <f ca="1">IF(AND(TbRegistroEntradas[[#This Row],[Data do Caixa Previsto]]&lt;TODAY(),TbRegistroEntradas[[#This Row],[Data do Caixa Realizado]]=""),"Vencida","Não Vencida")</f>
        <v>Não Vencida</v>
      </c>
      <c r="P26" s="53" t="str">
        <f>IF(TbRegistroEntradas[[#This Row],[Data da Competência]]=TbRegistroEntradas[[#This Row],[Data do Caixa Previsto]],"Vista","Prazo")</f>
        <v>Prazo</v>
      </c>
      <c r="Q26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27" spans="2:17" x14ac:dyDescent="0.3">
      <c r="B27" s="8">
        <v>43086.43235653804</v>
      </c>
      <c r="C27" s="8">
        <v>43032</v>
      </c>
      <c r="D27" s="8">
        <v>43058.598248659349</v>
      </c>
      <c r="E27" t="s">
        <v>27</v>
      </c>
      <c r="F27" t="s">
        <v>33</v>
      </c>
      <c r="G27" t="s">
        <v>85</v>
      </c>
      <c r="H27" s="14">
        <v>257</v>
      </c>
      <c r="I27">
        <f>IF(TbRegistroEntradas[[#This Row],[Data do Caixa Realizado]]="",0,MONTH(TbRegistroEntradas[[#This Row],[Data do Caixa Realizado]]))</f>
        <v>12</v>
      </c>
      <c r="J27">
        <f>IF(TbRegistroEntradas[[#This Row],[Data do Caixa Realizado]]="",0,YEAR(TbRegistroEntradas[[#This Row],[Data do Caixa Realizado]]))</f>
        <v>2017</v>
      </c>
      <c r="K27">
        <f>IF(TbRegistroEntradas[[#This Row],[Data da Competência]]="",0,MONTH(TbRegistroEntradas[[#This Row],[Data da Competência]]))</f>
        <v>10</v>
      </c>
      <c r="L27">
        <f>IF(TbRegistroEntradas[[#This Row],[Data da Competência]]="",0,YEAR(TbRegistroEntradas[[#This Row],[Data da Competência]]))</f>
        <v>2017</v>
      </c>
      <c r="M27" s="53">
        <f>IF(TbRegistroEntradas[[#This Row],[Data do Caixa Previsto]]="",0,MONTH(TbRegistroEntradas[[#This Row],[Data do Caixa Previsto]]))</f>
        <v>11</v>
      </c>
      <c r="N27" s="53">
        <f>IF(TbRegistroEntradas[[#This Row],[Data do Caixa Previsto]]="",0,YEAR(TbRegistroEntradas[[#This Row],[Data do Caixa Previsto]]))</f>
        <v>2017</v>
      </c>
      <c r="O27" s="53" t="str">
        <f ca="1">IF(AND(TbRegistroEntradas[[#This Row],[Data do Caixa Previsto]]&lt;TODAY(),TbRegistroEntradas[[#This Row],[Data do Caixa Realizado]]=""),"Vencida","Não Vencida")</f>
        <v>Não Vencida</v>
      </c>
      <c r="P27" s="53" t="str">
        <f>IF(TbRegistroEntradas[[#This Row],[Data da Competência]]=TbRegistroEntradas[[#This Row],[Data do Caixa Previsto]],"Vista","Prazo")</f>
        <v>Prazo</v>
      </c>
      <c r="Q27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27.834107878690702</v>
      </c>
    </row>
    <row r="28" spans="2:17" x14ac:dyDescent="0.3">
      <c r="B28" s="8">
        <v>43068.089414353737</v>
      </c>
      <c r="C28" s="8">
        <v>43032</v>
      </c>
      <c r="D28" s="8">
        <v>43068.089414353737</v>
      </c>
      <c r="E28" t="s">
        <v>27</v>
      </c>
      <c r="F28" t="s">
        <v>35</v>
      </c>
      <c r="G28" t="s">
        <v>86</v>
      </c>
      <c r="H28" s="14">
        <v>2019</v>
      </c>
      <c r="I28">
        <f>IF(TbRegistroEntradas[[#This Row],[Data do Caixa Realizado]]="",0,MONTH(TbRegistroEntradas[[#This Row],[Data do Caixa Realizado]]))</f>
        <v>11</v>
      </c>
      <c r="J28">
        <f>IF(TbRegistroEntradas[[#This Row],[Data do Caixa Realizado]]="",0,YEAR(TbRegistroEntradas[[#This Row],[Data do Caixa Realizado]]))</f>
        <v>2017</v>
      </c>
      <c r="K28">
        <f>IF(TbRegistroEntradas[[#This Row],[Data da Competência]]="",0,MONTH(TbRegistroEntradas[[#This Row],[Data da Competência]]))</f>
        <v>10</v>
      </c>
      <c r="L28">
        <f>IF(TbRegistroEntradas[[#This Row],[Data da Competência]]="",0,YEAR(TbRegistroEntradas[[#This Row],[Data da Competência]]))</f>
        <v>2017</v>
      </c>
      <c r="M28" s="53">
        <f>IF(TbRegistroEntradas[[#This Row],[Data do Caixa Previsto]]="",0,MONTH(TbRegistroEntradas[[#This Row],[Data do Caixa Previsto]]))</f>
        <v>11</v>
      </c>
      <c r="N28" s="53">
        <f>IF(TbRegistroEntradas[[#This Row],[Data do Caixa Previsto]]="",0,YEAR(TbRegistroEntradas[[#This Row],[Data do Caixa Previsto]]))</f>
        <v>2017</v>
      </c>
      <c r="O28" s="53" t="str">
        <f ca="1">IF(AND(TbRegistroEntradas[[#This Row],[Data do Caixa Previsto]]&lt;TODAY(),TbRegistroEntradas[[#This Row],[Data do Caixa Realizado]]=""),"Vencida","Não Vencida")</f>
        <v>Não Vencida</v>
      </c>
      <c r="P28" s="53" t="str">
        <f>IF(TbRegistroEntradas[[#This Row],[Data da Competência]]=TbRegistroEntradas[[#This Row],[Data do Caixa Previsto]],"Vista","Prazo")</f>
        <v>Prazo</v>
      </c>
      <c r="Q28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29" spans="2:17" x14ac:dyDescent="0.3">
      <c r="B29" s="8">
        <v>43091.729186681107</v>
      </c>
      <c r="C29" s="8">
        <v>43034</v>
      </c>
      <c r="D29" s="8">
        <v>43091.729186681107</v>
      </c>
      <c r="E29" t="s">
        <v>27</v>
      </c>
      <c r="F29" t="s">
        <v>36</v>
      </c>
      <c r="G29" t="s">
        <v>87</v>
      </c>
      <c r="H29" s="14">
        <v>3696</v>
      </c>
      <c r="I29">
        <f>IF(TbRegistroEntradas[[#This Row],[Data do Caixa Realizado]]="",0,MONTH(TbRegistroEntradas[[#This Row],[Data do Caixa Realizado]]))</f>
        <v>12</v>
      </c>
      <c r="J29">
        <f>IF(TbRegistroEntradas[[#This Row],[Data do Caixa Realizado]]="",0,YEAR(TbRegistroEntradas[[#This Row],[Data do Caixa Realizado]]))</f>
        <v>2017</v>
      </c>
      <c r="K29">
        <f>IF(TbRegistroEntradas[[#This Row],[Data da Competência]]="",0,MONTH(TbRegistroEntradas[[#This Row],[Data da Competência]]))</f>
        <v>10</v>
      </c>
      <c r="L29">
        <f>IF(TbRegistroEntradas[[#This Row],[Data da Competência]]="",0,YEAR(TbRegistroEntradas[[#This Row],[Data da Competência]]))</f>
        <v>2017</v>
      </c>
      <c r="M29" s="53">
        <f>IF(TbRegistroEntradas[[#This Row],[Data do Caixa Previsto]]="",0,MONTH(TbRegistroEntradas[[#This Row],[Data do Caixa Previsto]]))</f>
        <v>12</v>
      </c>
      <c r="N29" s="53">
        <f>IF(TbRegistroEntradas[[#This Row],[Data do Caixa Previsto]]="",0,YEAR(TbRegistroEntradas[[#This Row],[Data do Caixa Previsto]]))</f>
        <v>2017</v>
      </c>
      <c r="O29" s="53" t="str">
        <f ca="1">IF(AND(TbRegistroEntradas[[#This Row],[Data do Caixa Previsto]]&lt;TODAY(),TbRegistroEntradas[[#This Row],[Data do Caixa Realizado]]=""),"Vencida","Não Vencida")</f>
        <v>Não Vencida</v>
      </c>
      <c r="P29" s="53" t="str">
        <f>IF(TbRegistroEntradas[[#This Row],[Data da Competência]]=TbRegistroEntradas[[#This Row],[Data do Caixa Previsto]],"Vista","Prazo")</f>
        <v>Prazo</v>
      </c>
      <c r="Q29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30" spans="2:17" x14ac:dyDescent="0.3">
      <c r="B30" s="8">
        <v>43052.461098465239</v>
      </c>
      <c r="C30" s="8">
        <v>43038</v>
      </c>
      <c r="D30" s="8">
        <v>43052.461098465239</v>
      </c>
      <c r="E30" t="s">
        <v>27</v>
      </c>
      <c r="F30" t="s">
        <v>35</v>
      </c>
      <c r="G30" t="s">
        <v>88</v>
      </c>
      <c r="H30" s="14">
        <v>4446</v>
      </c>
      <c r="I30">
        <f>IF(TbRegistroEntradas[[#This Row],[Data do Caixa Realizado]]="",0,MONTH(TbRegistroEntradas[[#This Row],[Data do Caixa Realizado]]))</f>
        <v>11</v>
      </c>
      <c r="J30">
        <f>IF(TbRegistroEntradas[[#This Row],[Data do Caixa Realizado]]="",0,YEAR(TbRegistroEntradas[[#This Row],[Data do Caixa Realizado]]))</f>
        <v>2017</v>
      </c>
      <c r="K30">
        <f>IF(TbRegistroEntradas[[#This Row],[Data da Competência]]="",0,MONTH(TbRegistroEntradas[[#This Row],[Data da Competência]]))</f>
        <v>10</v>
      </c>
      <c r="L30">
        <f>IF(TbRegistroEntradas[[#This Row],[Data da Competência]]="",0,YEAR(TbRegistroEntradas[[#This Row],[Data da Competência]]))</f>
        <v>2017</v>
      </c>
      <c r="M30" s="53">
        <f>IF(TbRegistroEntradas[[#This Row],[Data do Caixa Previsto]]="",0,MONTH(TbRegistroEntradas[[#This Row],[Data do Caixa Previsto]]))</f>
        <v>11</v>
      </c>
      <c r="N30" s="53">
        <f>IF(TbRegistroEntradas[[#This Row],[Data do Caixa Previsto]]="",0,YEAR(TbRegistroEntradas[[#This Row],[Data do Caixa Previsto]]))</f>
        <v>2017</v>
      </c>
      <c r="O30" s="53" t="str">
        <f ca="1">IF(AND(TbRegistroEntradas[[#This Row],[Data do Caixa Previsto]]&lt;TODAY(),TbRegistroEntradas[[#This Row],[Data do Caixa Realizado]]=""),"Vencida","Não Vencida")</f>
        <v>Não Vencida</v>
      </c>
      <c r="P30" s="53" t="str">
        <f>IF(TbRegistroEntradas[[#This Row],[Data da Competência]]=TbRegistroEntradas[[#This Row],[Data do Caixa Previsto]],"Vista","Prazo")</f>
        <v>Prazo</v>
      </c>
      <c r="Q30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31" spans="2:17" x14ac:dyDescent="0.3">
      <c r="B31" s="8">
        <v>43057.597589016004</v>
      </c>
      <c r="C31" s="8">
        <v>43040</v>
      </c>
      <c r="D31" s="8">
        <v>43057.597589016004</v>
      </c>
      <c r="E31" t="s">
        <v>27</v>
      </c>
      <c r="F31" t="s">
        <v>35</v>
      </c>
      <c r="G31" t="s">
        <v>89</v>
      </c>
      <c r="H31" s="14">
        <v>1445</v>
      </c>
      <c r="I31">
        <f>IF(TbRegistroEntradas[[#This Row],[Data do Caixa Realizado]]="",0,MONTH(TbRegistroEntradas[[#This Row],[Data do Caixa Realizado]]))</f>
        <v>11</v>
      </c>
      <c r="J31">
        <f>IF(TbRegistroEntradas[[#This Row],[Data do Caixa Realizado]]="",0,YEAR(TbRegistroEntradas[[#This Row],[Data do Caixa Realizado]]))</f>
        <v>2017</v>
      </c>
      <c r="K31">
        <f>IF(TbRegistroEntradas[[#This Row],[Data da Competência]]="",0,MONTH(TbRegistroEntradas[[#This Row],[Data da Competência]]))</f>
        <v>11</v>
      </c>
      <c r="L31">
        <f>IF(TbRegistroEntradas[[#This Row],[Data da Competência]]="",0,YEAR(TbRegistroEntradas[[#This Row],[Data da Competência]]))</f>
        <v>2017</v>
      </c>
      <c r="M31" s="53">
        <f>IF(TbRegistroEntradas[[#This Row],[Data do Caixa Previsto]]="",0,MONTH(TbRegistroEntradas[[#This Row],[Data do Caixa Previsto]]))</f>
        <v>11</v>
      </c>
      <c r="N31" s="53">
        <f>IF(TbRegistroEntradas[[#This Row],[Data do Caixa Previsto]]="",0,YEAR(TbRegistroEntradas[[#This Row],[Data do Caixa Previsto]]))</f>
        <v>2017</v>
      </c>
      <c r="O31" s="53" t="str">
        <f ca="1">IF(AND(TbRegistroEntradas[[#This Row],[Data do Caixa Previsto]]&lt;TODAY(),TbRegistroEntradas[[#This Row],[Data do Caixa Realizado]]=""),"Vencida","Não Vencida")</f>
        <v>Não Vencida</v>
      </c>
      <c r="P31" s="53" t="str">
        <f>IF(TbRegistroEntradas[[#This Row],[Data da Competência]]=TbRegistroEntradas[[#This Row],[Data do Caixa Previsto]],"Vista","Prazo")</f>
        <v>Prazo</v>
      </c>
      <c r="Q31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32" spans="2:17" x14ac:dyDescent="0.3">
      <c r="B32" s="8">
        <v>43082.490898737618</v>
      </c>
      <c r="C32" s="8">
        <v>43043</v>
      </c>
      <c r="D32" s="8">
        <v>43068.583109095191</v>
      </c>
      <c r="E32" t="s">
        <v>27</v>
      </c>
      <c r="F32" t="s">
        <v>34</v>
      </c>
      <c r="G32" t="s">
        <v>90</v>
      </c>
      <c r="H32" s="14">
        <v>3559</v>
      </c>
      <c r="I32">
        <f>IF(TbRegistroEntradas[[#This Row],[Data do Caixa Realizado]]="",0,MONTH(TbRegistroEntradas[[#This Row],[Data do Caixa Realizado]]))</f>
        <v>12</v>
      </c>
      <c r="J32">
        <f>IF(TbRegistroEntradas[[#This Row],[Data do Caixa Realizado]]="",0,YEAR(TbRegistroEntradas[[#This Row],[Data do Caixa Realizado]]))</f>
        <v>2017</v>
      </c>
      <c r="K32">
        <f>IF(TbRegistroEntradas[[#This Row],[Data da Competência]]="",0,MONTH(TbRegistroEntradas[[#This Row],[Data da Competência]]))</f>
        <v>11</v>
      </c>
      <c r="L32">
        <f>IF(TbRegistroEntradas[[#This Row],[Data da Competência]]="",0,YEAR(TbRegistroEntradas[[#This Row],[Data da Competência]]))</f>
        <v>2017</v>
      </c>
      <c r="M32" s="53">
        <f>IF(TbRegistroEntradas[[#This Row],[Data do Caixa Previsto]]="",0,MONTH(TbRegistroEntradas[[#This Row],[Data do Caixa Previsto]]))</f>
        <v>11</v>
      </c>
      <c r="N32" s="53">
        <f>IF(TbRegistroEntradas[[#This Row],[Data do Caixa Previsto]]="",0,YEAR(TbRegistroEntradas[[#This Row],[Data do Caixa Previsto]]))</f>
        <v>2017</v>
      </c>
      <c r="O32" s="53" t="str">
        <f ca="1">IF(AND(TbRegistroEntradas[[#This Row],[Data do Caixa Previsto]]&lt;TODAY(),TbRegistroEntradas[[#This Row],[Data do Caixa Realizado]]=""),"Vencida","Não Vencida")</f>
        <v>Não Vencida</v>
      </c>
      <c r="P32" s="53" t="str">
        <f>IF(TbRegistroEntradas[[#This Row],[Data da Competência]]=TbRegistroEntradas[[#This Row],[Data do Caixa Previsto]],"Vista","Prazo")</f>
        <v>Prazo</v>
      </c>
      <c r="Q32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13.907789642427815</v>
      </c>
    </row>
    <row r="33" spans="2:17" x14ac:dyDescent="0.3">
      <c r="B33" s="8">
        <v>43073.038025931273</v>
      </c>
      <c r="C33" s="8">
        <v>43047</v>
      </c>
      <c r="D33" s="8">
        <v>43053.702992393824</v>
      </c>
      <c r="E33" t="s">
        <v>27</v>
      </c>
      <c r="F33" t="s">
        <v>36</v>
      </c>
      <c r="G33" t="s">
        <v>91</v>
      </c>
      <c r="H33" s="14">
        <v>547</v>
      </c>
      <c r="I33">
        <f>IF(TbRegistroEntradas[[#This Row],[Data do Caixa Realizado]]="",0,MONTH(TbRegistroEntradas[[#This Row],[Data do Caixa Realizado]]))</f>
        <v>12</v>
      </c>
      <c r="J33">
        <f>IF(TbRegistroEntradas[[#This Row],[Data do Caixa Realizado]]="",0,YEAR(TbRegistroEntradas[[#This Row],[Data do Caixa Realizado]]))</f>
        <v>2017</v>
      </c>
      <c r="K33">
        <f>IF(TbRegistroEntradas[[#This Row],[Data da Competência]]="",0,MONTH(TbRegistroEntradas[[#This Row],[Data da Competência]]))</f>
        <v>11</v>
      </c>
      <c r="L33">
        <f>IF(TbRegistroEntradas[[#This Row],[Data da Competência]]="",0,YEAR(TbRegistroEntradas[[#This Row],[Data da Competência]]))</f>
        <v>2017</v>
      </c>
      <c r="M33" s="53">
        <f>IF(TbRegistroEntradas[[#This Row],[Data do Caixa Previsto]]="",0,MONTH(TbRegistroEntradas[[#This Row],[Data do Caixa Previsto]]))</f>
        <v>11</v>
      </c>
      <c r="N33" s="53">
        <f>IF(TbRegistroEntradas[[#This Row],[Data do Caixa Previsto]]="",0,YEAR(TbRegistroEntradas[[#This Row],[Data do Caixa Previsto]]))</f>
        <v>2017</v>
      </c>
      <c r="O33" s="53" t="str">
        <f ca="1">IF(AND(TbRegistroEntradas[[#This Row],[Data do Caixa Previsto]]&lt;TODAY(),TbRegistroEntradas[[#This Row],[Data do Caixa Realizado]]=""),"Vencida","Não Vencida")</f>
        <v>Não Vencida</v>
      </c>
      <c r="P33" s="53" t="str">
        <f>IF(TbRegistroEntradas[[#This Row],[Data da Competência]]=TbRegistroEntradas[[#This Row],[Data do Caixa Previsto]],"Vista","Prazo")</f>
        <v>Prazo</v>
      </c>
      <c r="Q33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19.335033537448908</v>
      </c>
    </row>
    <row r="34" spans="2:17" x14ac:dyDescent="0.3">
      <c r="B34" s="8">
        <v>43090.51661478445</v>
      </c>
      <c r="C34" s="8">
        <v>43051</v>
      </c>
      <c r="D34" s="8">
        <v>43090.51661478445</v>
      </c>
      <c r="E34" t="s">
        <v>27</v>
      </c>
      <c r="F34" t="s">
        <v>36</v>
      </c>
      <c r="G34" t="s">
        <v>92</v>
      </c>
      <c r="H34" s="14">
        <v>1221</v>
      </c>
      <c r="I34">
        <f>IF(TbRegistroEntradas[[#This Row],[Data do Caixa Realizado]]="",0,MONTH(TbRegistroEntradas[[#This Row],[Data do Caixa Realizado]]))</f>
        <v>12</v>
      </c>
      <c r="J34">
        <f>IF(TbRegistroEntradas[[#This Row],[Data do Caixa Realizado]]="",0,YEAR(TbRegistroEntradas[[#This Row],[Data do Caixa Realizado]]))</f>
        <v>2017</v>
      </c>
      <c r="K34">
        <f>IF(TbRegistroEntradas[[#This Row],[Data da Competência]]="",0,MONTH(TbRegistroEntradas[[#This Row],[Data da Competência]]))</f>
        <v>11</v>
      </c>
      <c r="L34">
        <f>IF(TbRegistroEntradas[[#This Row],[Data da Competência]]="",0,YEAR(TbRegistroEntradas[[#This Row],[Data da Competência]]))</f>
        <v>2017</v>
      </c>
      <c r="M34" s="53">
        <f>IF(TbRegistroEntradas[[#This Row],[Data do Caixa Previsto]]="",0,MONTH(TbRegistroEntradas[[#This Row],[Data do Caixa Previsto]]))</f>
        <v>12</v>
      </c>
      <c r="N34" s="53">
        <f>IF(TbRegistroEntradas[[#This Row],[Data do Caixa Previsto]]="",0,YEAR(TbRegistroEntradas[[#This Row],[Data do Caixa Previsto]]))</f>
        <v>2017</v>
      </c>
      <c r="O34" s="53" t="str">
        <f ca="1">IF(AND(TbRegistroEntradas[[#This Row],[Data do Caixa Previsto]]&lt;TODAY(),TbRegistroEntradas[[#This Row],[Data do Caixa Realizado]]=""),"Vencida","Não Vencida")</f>
        <v>Não Vencida</v>
      </c>
      <c r="P34" s="53" t="str">
        <f>IF(TbRegistroEntradas[[#This Row],[Data da Competência]]=TbRegistroEntradas[[#This Row],[Data do Caixa Previsto]],"Vista","Prazo")</f>
        <v>Prazo</v>
      </c>
      <c r="Q34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35" spans="2:17" x14ac:dyDescent="0.3">
      <c r="B35" s="8">
        <v>43130.815754318886</v>
      </c>
      <c r="C35" s="8">
        <v>43053</v>
      </c>
      <c r="D35" s="8">
        <v>43101.638058855067</v>
      </c>
      <c r="E35" t="s">
        <v>27</v>
      </c>
      <c r="F35" t="s">
        <v>35</v>
      </c>
      <c r="G35" t="s">
        <v>93</v>
      </c>
      <c r="H35" s="14">
        <v>4108</v>
      </c>
      <c r="I35">
        <f>IF(TbRegistroEntradas[[#This Row],[Data do Caixa Realizado]]="",0,MONTH(TbRegistroEntradas[[#This Row],[Data do Caixa Realizado]]))</f>
        <v>1</v>
      </c>
      <c r="J35">
        <f>IF(TbRegistroEntradas[[#This Row],[Data do Caixa Realizado]]="",0,YEAR(TbRegistroEntradas[[#This Row],[Data do Caixa Realizado]]))</f>
        <v>2018</v>
      </c>
      <c r="K35">
        <f>IF(TbRegistroEntradas[[#This Row],[Data da Competência]]="",0,MONTH(TbRegistroEntradas[[#This Row],[Data da Competência]]))</f>
        <v>11</v>
      </c>
      <c r="L35">
        <f>IF(TbRegistroEntradas[[#This Row],[Data da Competência]]="",0,YEAR(TbRegistroEntradas[[#This Row],[Data da Competência]]))</f>
        <v>2017</v>
      </c>
      <c r="M35" s="53">
        <f>IF(TbRegistroEntradas[[#This Row],[Data do Caixa Previsto]]="",0,MONTH(TbRegistroEntradas[[#This Row],[Data do Caixa Previsto]]))</f>
        <v>1</v>
      </c>
      <c r="N35" s="53">
        <f>IF(TbRegistroEntradas[[#This Row],[Data do Caixa Previsto]]="",0,YEAR(TbRegistroEntradas[[#This Row],[Data do Caixa Previsto]]))</f>
        <v>2018</v>
      </c>
      <c r="O35" s="53" t="str">
        <f ca="1">IF(AND(TbRegistroEntradas[[#This Row],[Data do Caixa Previsto]]&lt;TODAY(),TbRegistroEntradas[[#This Row],[Data do Caixa Realizado]]=""),"Vencida","Não Vencida")</f>
        <v>Não Vencida</v>
      </c>
      <c r="P35" s="53" t="str">
        <f>IF(TbRegistroEntradas[[#This Row],[Data da Competência]]=TbRegistroEntradas[[#This Row],[Data do Caixa Previsto]],"Vista","Prazo")</f>
        <v>Prazo</v>
      </c>
      <c r="Q35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29.177695463818964</v>
      </c>
    </row>
    <row r="36" spans="2:17" x14ac:dyDescent="0.3">
      <c r="B36" s="8">
        <v>43081.249044856137</v>
      </c>
      <c r="C36" s="8">
        <v>43055</v>
      </c>
      <c r="D36" s="8">
        <v>43081.249044856137</v>
      </c>
      <c r="E36" t="s">
        <v>27</v>
      </c>
      <c r="F36" t="s">
        <v>36</v>
      </c>
      <c r="G36" t="s">
        <v>94</v>
      </c>
      <c r="H36" s="14">
        <v>3714</v>
      </c>
      <c r="I36">
        <f>IF(TbRegistroEntradas[[#This Row],[Data do Caixa Realizado]]="",0,MONTH(TbRegistroEntradas[[#This Row],[Data do Caixa Realizado]]))</f>
        <v>12</v>
      </c>
      <c r="J36">
        <f>IF(TbRegistroEntradas[[#This Row],[Data do Caixa Realizado]]="",0,YEAR(TbRegistroEntradas[[#This Row],[Data do Caixa Realizado]]))</f>
        <v>2017</v>
      </c>
      <c r="K36">
        <f>IF(TbRegistroEntradas[[#This Row],[Data da Competência]]="",0,MONTH(TbRegistroEntradas[[#This Row],[Data da Competência]]))</f>
        <v>11</v>
      </c>
      <c r="L36">
        <f>IF(TbRegistroEntradas[[#This Row],[Data da Competência]]="",0,YEAR(TbRegistroEntradas[[#This Row],[Data da Competência]]))</f>
        <v>2017</v>
      </c>
      <c r="M36" s="53">
        <f>IF(TbRegistroEntradas[[#This Row],[Data do Caixa Previsto]]="",0,MONTH(TbRegistroEntradas[[#This Row],[Data do Caixa Previsto]]))</f>
        <v>12</v>
      </c>
      <c r="N36" s="53">
        <f>IF(TbRegistroEntradas[[#This Row],[Data do Caixa Previsto]]="",0,YEAR(TbRegistroEntradas[[#This Row],[Data do Caixa Previsto]]))</f>
        <v>2017</v>
      </c>
      <c r="O36" s="53" t="str">
        <f ca="1">IF(AND(TbRegistroEntradas[[#This Row],[Data do Caixa Previsto]]&lt;TODAY(),TbRegistroEntradas[[#This Row],[Data do Caixa Realizado]]=""),"Vencida","Não Vencida")</f>
        <v>Não Vencida</v>
      </c>
      <c r="P36" s="53" t="str">
        <f>IF(TbRegistroEntradas[[#This Row],[Data da Competência]]=TbRegistroEntradas[[#This Row],[Data do Caixa Previsto]],"Vista","Prazo")</f>
        <v>Prazo</v>
      </c>
      <c r="Q36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37" spans="2:17" x14ac:dyDescent="0.3">
      <c r="B37" s="8">
        <v>43101.376481739084</v>
      </c>
      <c r="C37" s="8">
        <v>43057</v>
      </c>
      <c r="D37" s="8">
        <v>43101.376481739084</v>
      </c>
      <c r="E37" t="s">
        <v>27</v>
      </c>
      <c r="F37" t="s">
        <v>33</v>
      </c>
      <c r="G37" t="s">
        <v>95</v>
      </c>
      <c r="H37" s="14">
        <v>4843</v>
      </c>
      <c r="I37">
        <f>IF(TbRegistroEntradas[[#This Row],[Data do Caixa Realizado]]="",0,MONTH(TbRegistroEntradas[[#This Row],[Data do Caixa Realizado]]))</f>
        <v>1</v>
      </c>
      <c r="J37">
        <f>IF(TbRegistroEntradas[[#This Row],[Data do Caixa Realizado]]="",0,YEAR(TbRegistroEntradas[[#This Row],[Data do Caixa Realizado]]))</f>
        <v>2018</v>
      </c>
      <c r="K37">
        <f>IF(TbRegistroEntradas[[#This Row],[Data da Competência]]="",0,MONTH(TbRegistroEntradas[[#This Row],[Data da Competência]]))</f>
        <v>11</v>
      </c>
      <c r="L37">
        <f>IF(TbRegistroEntradas[[#This Row],[Data da Competência]]="",0,YEAR(TbRegistroEntradas[[#This Row],[Data da Competência]]))</f>
        <v>2017</v>
      </c>
      <c r="M37" s="53">
        <f>IF(TbRegistroEntradas[[#This Row],[Data do Caixa Previsto]]="",0,MONTH(TbRegistroEntradas[[#This Row],[Data do Caixa Previsto]]))</f>
        <v>1</v>
      </c>
      <c r="N37" s="53">
        <f>IF(TbRegistroEntradas[[#This Row],[Data do Caixa Previsto]]="",0,YEAR(TbRegistroEntradas[[#This Row],[Data do Caixa Previsto]]))</f>
        <v>2018</v>
      </c>
      <c r="O37" s="53" t="str">
        <f ca="1">IF(AND(TbRegistroEntradas[[#This Row],[Data do Caixa Previsto]]&lt;TODAY(),TbRegistroEntradas[[#This Row],[Data do Caixa Realizado]]=""),"Vencida","Não Vencida")</f>
        <v>Não Vencida</v>
      </c>
      <c r="P37" s="53" t="str">
        <f>IF(TbRegistroEntradas[[#This Row],[Data da Competência]]=TbRegistroEntradas[[#This Row],[Data do Caixa Previsto]],"Vista","Prazo")</f>
        <v>Prazo</v>
      </c>
      <c r="Q37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38" spans="2:17" x14ac:dyDescent="0.3">
      <c r="B38" s="8">
        <v>43151.25396646517</v>
      </c>
      <c r="C38" s="8">
        <v>43058</v>
      </c>
      <c r="D38" s="8">
        <v>43090.626109903205</v>
      </c>
      <c r="E38" t="s">
        <v>27</v>
      </c>
      <c r="F38" t="s">
        <v>37</v>
      </c>
      <c r="G38" t="s">
        <v>96</v>
      </c>
      <c r="H38" s="14">
        <v>4831</v>
      </c>
      <c r="I38">
        <f>IF(TbRegistroEntradas[[#This Row],[Data do Caixa Realizado]]="",0,MONTH(TbRegistroEntradas[[#This Row],[Data do Caixa Realizado]]))</f>
        <v>2</v>
      </c>
      <c r="J38">
        <f>IF(TbRegistroEntradas[[#This Row],[Data do Caixa Realizado]]="",0,YEAR(TbRegistroEntradas[[#This Row],[Data do Caixa Realizado]]))</f>
        <v>2018</v>
      </c>
      <c r="K38">
        <f>IF(TbRegistroEntradas[[#This Row],[Data da Competência]]="",0,MONTH(TbRegistroEntradas[[#This Row],[Data da Competência]]))</f>
        <v>11</v>
      </c>
      <c r="L38">
        <f>IF(TbRegistroEntradas[[#This Row],[Data da Competência]]="",0,YEAR(TbRegistroEntradas[[#This Row],[Data da Competência]]))</f>
        <v>2017</v>
      </c>
      <c r="M38" s="53">
        <f>IF(TbRegistroEntradas[[#This Row],[Data do Caixa Previsto]]="",0,MONTH(TbRegistroEntradas[[#This Row],[Data do Caixa Previsto]]))</f>
        <v>12</v>
      </c>
      <c r="N38" s="53">
        <f>IF(TbRegistroEntradas[[#This Row],[Data do Caixa Previsto]]="",0,YEAR(TbRegistroEntradas[[#This Row],[Data do Caixa Previsto]]))</f>
        <v>2017</v>
      </c>
      <c r="O38" s="53" t="str">
        <f ca="1">IF(AND(TbRegistroEntradas[[#This Row],[Data do Caixa Previsto]]&lt;TODAY(),TbRegistroEntradas[[#This Row],[Data do Caixa Realizado]]=""),"Vencida","Não Vencida")</f>
        <v>Não Vencida</v>
      </c>
      <c r="P38" s="53" t="str">
        <f>IF(TbRegistroEntradas[[#This Row],[Data da Competência]]=TbRegistroEntradas[[#This Row],[Data do Caixa Previsto]],"Vista","Prazo")</f>
        <v>Prazo</v>
      </c>
      <c r="Q38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60.627856561965018</v>
      </c>
    </row>
    <row r="39" spans="2:17" x14ac:dyDescent="0.3">
      <c r="B39" s="8">
        <v>43188.080050119235</v>
      </c>
      <c r="C39" s="8">
        <v>43059</v>
      </c>
      <c r="D39" s="8">
        <v>43105.942043921394</v>
      </c>
      <c r="E39" t="s">
        <v>27</v>
      </c>
      <c r="F39" t="s">
        <v>36</v>
      </c>
      <c r="G39" t="s">
        <v>97</v>
      </c>
      <c r="H39" s="14">
        <v>2072</v>
      </c>
      <c r="I39">
        <f>IF(TbRegistroEntradas[[#This Row],[Data do Caixa Realizado]]="",0,MONTH(TbRegistroEntradas[[#This Row],[Data do Caixa Realizado]]))</f>
        <v>3</v>
      </c>
      <c r="J39">
        <f>IF(TbRegistroEntradas[[#This Row],[Data do Caixa Realizado]]="",0,YEAR(TbRegistroEntradas[[#This Row],[Data do Caixa Realizado]]))</f>
        <v>2018</v>
      </c>
      <c r="K39">
        <f>IF(TbRegistroEntradas[[#This Row],[Data da Competência]]="",0,MONTH(TbRegistroEntradas[[#This Row],[Data da Competência]]))</f>
        <v>11</v>
      </c>
      <c r="L39">
        <f>IF(TbRegistroEntradas[[#This Row],[Data da Competência]]="",0,YEAR(TbRegistroEntradas[[#This Row],[Data da Competência]]))</f>
        <v>2017</v>
      </c>
      <c r="M39" s="53">
        <f>IF(TbRegistroEntradas[[#This Row],[Data do Caixa Previsto]]="",0,MONTH(TbRegistroEntradas[[#This Row],[Data do Caixa Previsto]]))</f>
        <v>1</v>
      </c>
      <c r="N39" s="53">
        <f>IF(TbRegistroEntradas[[#This Row],[Data do Caixa Previsto]]="",0,YEAR(TbRegistroEntradas[[#This Row],[Data do Caixa Previsto]]))</f>
        <v>2018</v>
      </c>
      <c r="O39" s="53" t="str">
        <f ca="1">IF(AND(TbRegistroEntradas[[#This Row],[Data do Caixa Previsto]]&lt;TODAY(),TbRegistroEntradas[[#This Row],[Data do Caixa Realizado]]=""),"Vencida","Não Vencida")</f>
        <v>Não Vencida</v>
      </c>
      <c r="P39" s="53" t="str">
        <f>IF(TbRegistroEntradas[[#This Row],[Data da Competência]]=TbRegistroEntradas[[#This Row],[Data do Caixa Previsto]],"Vista","Prazo")</f>
        <v>Prazo</v>
      </c>
      <c r="Q39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82.138006197841605</v>
      </c>
    </row>
    <row r="40" spans="2:17" x14ac:dyDescent="0.3">
      <c r="B40" s="8">
        <v>43122.64068927092</v>
      </c>
      <c r="C40" s="8">
        <v>43063</v>
      </c>
      <c r="D40" s="8">
        <v>43122.64068927092</v>
      </c>
      <c r="E40" t="s">
        <v>27</v>
      </c>
      <c r="F40" t="s">
        <v>34</v>
      </c>
      <c r="G40" t="s">
        <v>98</v>
      </c>
      <c r="H40" s="14">
        <v>3992</v>
      </c>
      <c r="I40">
        <f>IF(TbRegistroEntradas[[#This Row],[Data do Caixa Realizado]]="",0,MONTH(TbRegistroEntradas[[#This Row],[Data do Caixa Realizado]]))</f>
        <v>1</v>
      </c>
      <c r="J40">
        <f>IF(TbRegistroEntradas[[#This Row],[Data do Caixa Realizado]]="",0,YEAR(TbRegistroEntradas[[#This Row],[Data do Caixa Realizado]]))</f>
        <v>2018</v>
      </c>
      <c r="K40">
        <f>IF(TbRegistroEntradas[[#This Row],[Data da Competência]]="",0,MONTH(TbRegistroEntradas[[#This Row],[Data da Competência]]))</f>
        <v>11</v>
      </c>
      <c r="L40">
        <f>IF(TbRegistroEntradas[[#This Row],[Data da Competência]]="",0,YEAR(TbRegistroEntradas[[#This Row],[Data da Competência]]))</f>
        <v>2017</v>
      </c>
      <c r="M40" s="53">
        <f>IF(TbRegistroEntradas[[#This Row],[Data do Caixa Previsto]]="",0,MONTH(TbRegistroEntradas[[#This Row],[Data do Caixa Previsto]]))</f>
        <v>1</v>
      </c>
      <c r="N40" s="53">
        <f>IF(TbRegistroEntradas[[#This Row],[Data do Caixa Previsto]]="",0,YEAR(TbRegistroEntradas[[#This Row],[Data do Caixa Previsto]]))</f>
        <v>2018</v>
      </c>
      <c r="O40" s="53" t="str">
        <f ca="1">IF(AND(TbRegistroEntradas[[#This Row],[Data do Caixa Previsto]]&lt;TODAY(),TbRegistroEntradas[[#This Row],[Data do Caixa Realizado]]=""),"Vencida","Não Vencida")</f>
        <v>Não Vencida</v>
      </c>
      <c r="P40" s="53" t="str">
        <f>IF(TbRegistroEntradas[[#This Row],[Data da Competência]]=TbRegistroEntradas[[#This Row],[Data do Caixa Previsto]],"Vista","Prazo")</f>
        <v>Prazo</v>
      </c>
      <c r="Q40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41" spans="2:17" x14ac:dyDescent="0.3">
      <c r="B41" s="8" t="s">
        <v>70</v>
      </c>
      <c r="C41" s="8">
        <v>43068</v>
      </c>
      <c r="D41" s="8">
        <v>43126.500969843044</v>
      </c>
      <c r="E41" t="s">
        <v>27</v>
      </c>
      <c r="F41" t="s">
        <v>33</v>
      </c>
      <c r="G41" t="s">
        <v>99</v>
      </c>
      <c r="H41" s="14">
        <v>1284</v>
      </c>
      <c r="I41">
        <f>IF(TbRegistroEntradas[[#This Row],[Data do Caixa Realizado]]="",0,MONTH(TbRegistroEntradas[[#This Row],[Data do Caixa Realizado]]))</f>
        <v>0</v>
      </c>
      <c r="J41">
        <f>IF(TbRegistroEntradas[[#This Row],[Data do Caixa Realizado]]="",0,YEAR(TbRegistroEntradas[[#This Row],[Data do Caixa Realizado]]))</f>
        <v>0</v>
      </c>
      <c r="K41">
        <f>IF(TbRegistroEntradas[[#This Row],[Data da Competência]]="",0,MONTH(TbRegistroEntradas[[#This Row],[Data da Competência]]))</f>
        <v>11</v>
      </c>
      <c r="L41">
        <f>IF(TbRegistroEntradas[[#This Row],[Data da Competência]]="",0,YEAR(TbRegistroEntradas[[#This Row],[Data da Competência]]))</f>
        <v>2017</v>
      </c>
      <c r="M41" s="53">
        <f>IF(TbRegistroEntradas[[#This Row],[Data do Caixa Previsto]]="",0,MONTH(TbRegistroEntradas[[#This Row],[Data do Caixa Previsto]]))</f>
        <v>1</v>
      </c>
      <c r="N41" s="53">
        <f>IF(TbRegistroEntradas[[#This Row],[Data do Caixa Previsto]]="",0,YEAR(TbRegistroEntradas[[#This Row],[Data do Caixa Previsto]]))</f>
        <v>2018</v>
      </c>
      <c r="O41" s="53" t="str">
        <f ca="1">IF(AND(TbRegistroEntradas[[#This Row],[Data do Caixa Previsto]]&lt;TODAY(),TbRegistroEntradas[[#This Row],[Data do Caixa Realizado]]=""),"Vencida","Não Vencida")</f>
        <v>Vencida</v>
      </c>
      <c r="P41" s="53" t="str">
        <f>IF(TbRegistroEntradas[[#This Row],[Data da Competência]]=TbRegistroEntradas[[#This Row],[Data do Caixa Previsto]],"Vista","Prazo")</f>
        <v>Prazo</v>
      </c>
      <c r="Q41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2482.499030156956</v>
      </c>
    </row>
    <row r="42" spans="2:17" x14ac:dyDescent="0.3">
      <c r="B42" s="8">
        <v>43121.095142901788</v>
      </c>
      <c r="C42" s="8">
        <v>43073</v>
      </c>
      <c r="D42" s="8">
        <v>43121.095142901788</v>
      </c>
      <c r="E42" t="s">
        <v>27</v>
      </c>
      <c r="F42" t="s">
        <v>34</v>
      </c>
      <c r="G42" t="s">
        <v>100</v>
      </c>
      <c r="H42" s="14">
        <v>4073</v>
      </c>
      <c r="I42">
        <f>IF(TbRegistroEntradas[[#This Row],[Data do Caixa Realizado]]="",0,MONTH(TbRegistroEntradas[[#This Row],[Data do Caixa Realizado]]))</f>
        <v>1</v>
      </c>
      <c r="J42">
        <f>IF(TbRegistroEntradas[[#This Row],[Data do Caixa Realizado]]="",0,YEAR(TbRegistroEntradas[[#This Row],[Data do Caixa Realizado]]))</f>
        <v>2018</v>
      </c>
      <c r="K42">
        <f>IF(TbRegistroEntradas[[#This Row],[Data da Competência]]="",0,MONTH(TbRegistroEntradas[[#This Row],[Data da Competência]]))</f>
        <v>12</v>
      </c>
      <c r="L42">
        <f>IF(TbRegistroEntradas[[#This Row],[Data da Competência]]="",0,YEAR(TbRegistroEntradas[[#This Row],[Data da Competência]]))</f>
        <v>2017</v>
      </c>
      <c r="M42" s="53">
        <f>IF(TbRegistroEntradas[[#This Row],[Data do Caixa Previsto]]="",0,MONTH(TbRegistroEntradas[[#This Row],[Data do Caixa Previsto]]))</f>
        <v>1</v>
      </c>
      <c r="N42" s="53">
        <f>IF(TbRegistroEntradas[[#This Row],[Data do Caixa Previsto]]="",0,YEAR(TbRegistroEntradas[[#This Row],[Data do Caixa Previsto]]))</f>
        <v>2018</v>
      </c>
      <c r="O42" s="53" t="str">
        <f ca="1">IF(AND(TbRegistroEntradas[[#This Row],[Data do Caixa Previsto]]&lt;TODAY(),TbRegistroEntradas[[#This Row],[Data do Caixa Realizado]]=""),"Vencida","Não Vencida")</f>
        <v>Não Vencida</v>
      </c>
      <c r="P42" s="53" t="str">
        <f>IF(TbRegistroEntradas[[#This Row],[Data da Competência]]=TbRegistroEntradas[[#This Row],[Data do Caixa Previsto]],"Vista","Prazo")</f>
        <v>Prazo</v>
      </c>
      <c r="Q42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43" spans="2:17" x14ac:dyDescent="0.3">
      <c r="B43" s="8">
        <v>43084.95442532179</v>
      </c>
      <c r="C43" s="8">
        <v>43073</v>
      </c>
      <c r="D43" s="8">
        <v>43084.95442532179</v>
      </c>
      <c r="E43" t="s">
        <v>27</v>
      </c>
      <c r="F43" t="s">
        <v>33</v>
      </c>
      <c r="G43" t="s">
        <v>101</v>
      </c>
      <c r="H43" s="14">
        <v>3008</v>
      </c>
      <c r="I43">
        <f>IF(TbRegistroEntradas[[#This Row],[Data do Caixa Realizado]]="",0,MONTH(TbRegistroEntradas[[#This Row],[Data do Caixa Realizado]]))</f>
        <v>12</v>
      </c>
      <c r="J43">
        <f>IF(TbRegistroEntradas[[#This Row],[Data do Caixa Realizado]]="",0,YEAR(TbRegistroEntradas[[#This Row],[Data do Caixa Realizado]]))</f>
        <v>2017</v>
      </c>
      <c r="K43">
        <f>IF(TbRegistroEntradas[[#This Row],[Data da Competência]]="",0,MONTH(TbRegistroEntradas[[#This Row],[Data da Competência]]))</f>
        <v>12</v>
      </c>
      <c r="L43">
        <f>IF(TbRegistroEntradas[[#This Row],[Data da Competência]]="",0,YEAR(TbRegistroEntradas[[#This Row],[Data da Competência]]))</f>
        <v>2017</v>
      </c>
      <c r="M43" s="53">
        <f>IF(TbRegistroEntradas[[#This Row],[Data do Caixa Previsto]]="",0,MONTH(TbRegistroEntradas[[#This Row],[Data do Caixa Previsto]]))</f>
        <v>12</v>
      </c>
      <c r="N43" s="53">
        <f>IF(TbRegistroEntradas[[#This Row],[Data do Caixa Previsto]]="",0,YEAR(TbRegistroEntradas[[#This Row],[Data do Caixa Previsto]]))</f>
        <v>2017</v>
      </c>
      <c r="O43" s="53" t="str">
        <f ca="1">IF(AND(TbRegistroEntradas[[#This Row],[Data do Caixa Previsto]]&lt;TODAY(),TbRegistroEntradas[[#This Row],[Data do Caixa Realizado]]=""),"Vencida","Não Vencida")</f>
        <v>Não Vencida</v>
      </c>
      <c r="P43" s="53" t="str">
        <f>IF(TbRegistroEntradas[[#This Row],[Data da Competência]]=TbRegistroEntradas[[#This Row],[Data do Caixa Previsto]],"Vista","Prazo")</f>
        <v>Prazo</v>
      </c>
      <c r="Q43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44" spans="2:17" x14ac:dyDescent="0.3">
      <c r="B44" s="8">
        <v>43131.56407100569</v>
      </c>
      <c r="C44" s="8">
        <v>43080</v>
      </c>
      <c r="D44" s="8">
        <v>43131.56407100569</v>
      </c>
      <c r="E44" t="s">
        <v>27</v>
      </c>
      <c r="F44" t="s">
        <v>33</v>
      </c>
      <c r="G44" t="s">
        <v>102</v>
      </c>
      <c r="H44" s="14">
        <v>1267</v>
      </c>
      <c r="I44">
        <f>IF(TbRegistroEntradas[[#This Row],[Data do Caixa Realizado]]="",0,MONTH(TbRegistroEntradas[[#This Row],[Data do Caixa Realizado]]))</f>
        <v>1</v>
      </c>
      <c r="J44">
        <f>IF(TbRegistroEntradas[[#This Row],[Data do Caixa Realizado]]="",0,YEAR(TbRegistroEntradas[[#This Row],[Data do Caixa Realizado]]))</f>
        <v>2018</v>
      </c>
      <c r="K44">
        <f>IF(TbRegistroEntradas[[#This Row],[Data da Competência]]="",0,MONTH(TbRegistroEntradas[[#This Row],[Data da Competência]]))</f>
        <v>12</v>
      </c>
      <c r="L44">
        <f>IF(TbRegistroEntradas[[#This Row],[Data da Competência]]="",0,YEAR(TbRegistroEntradas[[#This Row],[Data da Competência]]))</f>
        <v>2017</v>
      </c>
      <c r="M44" s="53">
        <f>IF(TbRegistroEntradas[[#This Row],[Data do Caixa Previsto]]="",0,MONTH(TbRegistroEntradas[[#This Row],[Data do Caixa Previsto]]))</f>
        <v>1</v>
      </c>
      <c r="N44" s="53">
        <f>IF(TbRegistroEntradas[[#This Row],[Data do Caixa Previsto]]="",0,YEAR(TbRegistroEntradas[[#This Row],[Data do Caixa Previsto]]))</f>
        <v>2018</v>
      </c>
      <c r="O44" s="53" t="str">
        <f ca="1">IF(AND(TbRegistroEntradas[[#This Row],[Data do Caixa Previsto]]&lt;TODAY(),TbRegistroEntradas[[#This Row],[Data do Caixa Realizado]]=""),"Vencida","Não Vencida")</f>
        <v>Não Vencida</v>
      </c>
      <c r="P44" s="53" t="str">
        <f>IF(TbRegistroEntradas[[#This Row],[Data da Competência]]=TbRegistroEntradas[[#This Row],[Data do Caixa Previsto]],"Vista","Prazo")</f>
        <v>Prazo</v>
      </c>
      <c r="Q44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45" spans="2:17" x14ac:dyDescent="0.3">
      <c r="B45" s="8">
        <v>43103.027346399656</v>
      </c>
      <c r="C45" s="8">
        <v>43082</v>
      </c>
      <c r="D45" s="8">
        <v>43103.027346399656</v>
      </c>
      <c r="E45" t="s">
        <v>27</v>
      </c>
      <c r="F45" t="s">
        <v>33</v>
      </c>
      <c r="G45" t="s">
        <v>103</v>
      </c>
      <c r="H45" s="14">
        <v>284</v>
      </c>
      <c r="I45">
        <f>IF(TbRegistroEntradas[[#This Row],[Data do Caixa Realizado]]="",0,MONTH(TbRegistroEntradas[[#This Row],[Data do Caixa Realizado]]))</f>
        <v>1</v>
      </c>
      <c r="J45">
        <f>IF(TbRegistroEntradas[[#This Row],[Data do Caixa Realizado]]="",0,YEAR(TbRegistroEntradas[[#This Row],[Data do Caixa Realizado]]))</f>
        <v>2018</v>
      </c>
      <c r="K45">
        <f>IF(TbRegistroEntradas[[#This Row],[Data da Competência]]="",0,MONTH(TbRegistroEntradas[[#This Row],[Data da Competência]]))</f>
        <v>12</v>
      </c>
      <c r="L45">
        <f>IF(TbRegistroEntradas[[#This Row],[Data da Competência]]="",0,YEAR(TbRegistroEntradas[[#This Row],[Data da Competência]]))</f>
        <v>2017</v>
      </c>
      <c r="M45" s="53">
        <f>IF(TbRegistroEntradas[[#This Row],[Data do Caixa Previsto]]="",0,MONTH(TbRegistroEntradas[[#This Row],[Data do Caixa Previsto]]))</f>
        <v>1</v>
      </c>
      <c r="N45" s="53">
        <f>IF(TbRegistroEntradas[[#This Row],[Data do Caixa Previsto]]="",0,YEAR(TbRegistroEntradas[[#This Row],[Data do Caixa Previsto]]))</f>
        <v>2018</v>
      </c>
      <c r="O45" s="53" t="str">
        <f ca="1">IF(AND(TbRegistroEntradas[[#This Row],[Data do Caixa Previsto]]&lt;TODAY(),TbRegistroEntradas[[#This Row],[Data do Caixa Realizado]]=""),"Vencida","Não Vencida")</f>
        <v>Não Vencida</v>
      </c>
      <c r="P45" s="53" t="str">
        <f>IF(TbRegistroEntradas[[#This Row],[Data da Competência]]=TbRegistroEntradas[[#This Row],[Data do Caixa Previsto]],"Vista","Prazo")</f>
        <v>Prazo</v>
      </c>
      <c r="Q45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46" spans="2:17" x14ac:dyDescent="0.3">
      <c r="B46" s="8">
        <v>43086.779201496618</v>
      </c>
      <c r="C46" s="8">
        <v>43083</v>
      </c>
      <c r="D46" s="8">
        <v>43086.779201496618</v>
      </c>
      <c r="E46" t="s">
        <v>27</v>
      </c>
      <c r="F46" t="s">
        <v>36</v>
      </c>
      <c r="G46" t="s">
        <v>104</v>
      </c>
      <c r="H46" s="14">
        <v>2046</v>
      </c>
      <c r="I46">
        <f>IF(TbRegistroEntradas[[#This Row],[Data do Caixa Realizado]]="",0,MONTH(TbRegistroEntradas[[#This Row],[Data do Caixa Realizado]]))</f>
        <v>12</v>
      </c>
      <c r="J46">
        <f>IF(TbRegistroEntradas[[#This Row],[Data do Caixa Realizado]]="",0,YEAR(TbRegistroEntradas[[#This Row],[Data do Caixa Realizado]]))</f>
        <v>2017</v>
      </c>
      <c r="K46">
        <f>IF(TbRegistroEntradas[[#This Row],[Data da Competência]]="",0,MONTH(TbRegistroEntradas[[#This Row],[Data da Competência]]))</f>
        <v>12</v>
      </c>
      <c r="L46">
        <f>IF(TbRegistroEntradas[[#This Row],[Data da Competência]]="",0,YEAR(TbRegistroEntradas[[#This Row],[Data da Competência]]))</f>
        <v>2017</v>
      </c>
      <c r="M46" s="53">
        <f>IF(TbRegistroEntradas[[#This Row],[Data do Caixa Previsto]]="",0,MONTH(TbRegistroEntradas[[#This Row],[Data do Caixa Previsto]]))</f>
        <v>12</v>
      </c>
      <c r="N46" s="53">
        <f>IF(TbRegistroEntradas[[#This Row],[Data do Caixa Previsto]]="",0,YEAR(TbRegistroEntradas[[#This Row],[Data do Caixa Previsto]]))</f>
        <v>2017</v>
      </c>
      <c r="O46" s="53" t="str">
        <f ca="1">IF(AND(TbRegistroEntradas[[#This Row],[Data do Caixa Previsto]]&lt;TODAY(),TbRegistroEntradas[[#This Row],[Data do Caixa Realizado]]=""),"Vencida","Não Vencida")</f>
        <v>Não Vencida</v>
      </c>
      <c r="P46" s="53" t="str">
        <f>IF(TbRegistroEntradas[[#This Row],[Data da Competência]]=TbRegistroEntradas[[#This Row],[Data do Caixa Previsto]],"Vista","Prazo")</f>
        <v>Prazo</v>
      </c>
      <c r="Q46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47" spans="2:17" x14ac:dyDescent="0.3">
      <c r="B47" s="8">
        <v>43135.384353482346</v>
      </c>
      <c r="C47" s="8">
        <v>43085</v>
      </c>
      <c r="D47" s="8">
        <v>43122.788615114718</v>
      </c>
      <c r="E47" t="s">
        <v>27</v>
      </c>
      <c r="F47" t="s">
        <v>34</v>
      </c>
      <c r="G47" t="s">
        <v>105</v>
      </c>
      <c r="H47" s="14">
        <v>3880</v>
      </c>
      <c r="I47">
        <f>IF(TbRegistroEntradas[[#This Row],[Data do Caixa Realizado]]="",0,MONTH(TbRegistroEntradas[[#This Row],[Data do Caixa Realizado]]))</f>
        <v>2</v>
      </c>
      <c r="J47">
        <f>IF(TbRegistroEntradas[[#This Row],[Data do Caixa Realizado]]="",0,YEAR(TbRegistroEntradas[[#This Row],[Data do Caixa Realizado]]))</f>
        <v>2018</v>
      </c>
      <c r="K47">
        <f>IF(TbRegistroEntradas[[#This Row],[Data da Competência]]="",0,MONTH(TbRegistroEntradas[[#This Row],[Data da Competência]]))</f>
        <v>12</v>
      </c>
      <c r="L47">
        <f>IF(TbRegistroEntradas[[#This Row],[Data da Competência]]="",0,YEAR(TbRegistroEntradas[[#This Row],[Data da Competência]]))</f>
        <v>2017</v>
      </c>
      <c r="M47" s="53">
        <f>IF(TbRegistroEntradas[[#This Row],[Data do Caixa Previsto]]="",0,MONTH(TbRegistroEntradas[[#This Row],[Data do Caixa Previsto]]))</f>
        <v>1</v>
      </c>
      <c r="N47" s="53">
        <f>IF(TbRegistroEntradas[[#This Row],[Data do Caixa Previsto]]="",0,YEAR(TbRegistroEntradas[[#This Row],[Data do Caixa Previsto]]))</f>
        <v>2018</v>
      </c>
      <c r="O47" s="53" t="str">
        <f ca="1">IF(AND(TbRegistroEntradas[[#This Row],[Data do Caixa Previsto]]&lt;TODAY(),TbRegistroEntradas[[#This Row],[Data do Caixa Realizado]]=""),"Vencida","Não Vencida")</f>
        <v>Não Vencida</v>
      </c>
      <c r="P47" s="53" t="str">
        <f>IF(TbRegistroEntradas[[#This Row],[Data da Competência]]=TbRegistroEntradas[[#This Row],[Data do Caixa Previsto]],"Vista","Prazo")</f>
        <v>Prazo</v>
      </c>
      <c r="Q47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12.595738367628655</v>
      </c>
    </row>
    <row r="48" spans="2:17" x14ac:dyDescent="0.3">
      <c r="B48" s="8">
        <v>43123.054998054176</v>
      </c>
      <c r="C48" s="8">
        <v>43086</v>
      </c>
      <c r="D48" s="8">
        <v>43123.054998054176</v>
      </c>
      <c r="E48" t="s">
        <v>27</v>
      </c>
      <c r="F48" t="s">
        <v>34</v>
      </c>
      <c r="G48" t="s">
        <v>106</v>
      </c>
      <c r="H48" s="14">
        <v>3149</v>
      </c>
      <c r="I48">
        <f>IF(TbRegistroEntradas[[#This Row],[Data do Caixa Realizado]]="",0,MONTH(TbRegistroEntradas[[#This Row],[Data do Caixa Realizado]]))</f>
        <v>1</v>
      </c>
      <c r="J48">
        <f>IF(TbRegistroEntradas[[#This Row],[Data do Caixa Realizado]]="",0,YEAR(TbRegistroEntradas[[#This Row],[Data do Caixa Realizado]]))</f>
        <v>2018</v>
      </c>
      <c r="K48">
        <f>IF(TbRegistroEntradas[[#This Row],[Data da Competência]]="",0,MONTH(TbRegistroEntradas[[#This Row],[Data da Competência]]))</f>
        <v>12</v>
      </c>
      <c r="L48">
        <f>IF(TbRegistroEntradas[[#This Row],[Data da Competência]]="",0,YEAR(TbRegistroEntradas[[#This Row],[Data da Competência]]))</f>
        <v>2017</v>
      </c>
      <c r="M48" s="53">
        <f>IF(TbRegistroEntradas[[#This Row],[Data do Caixa Previsto]]="",0,MONTH(TbRegistroEntradas[[#This Row],[Data do Caixa Previsto]]))</f>
        <v>1</v>
      </c>
      <c r="N48" s="53">
        <f>IF(TbRegistroEntradas[[#This Row],[Data do Caixa Previsto]]="",0,YEAR(TbRegistroEntradas[[#This Row],[Data do Caixa Previsto]]))</f>
        <v>2018</v>
      </c>
      <c r="O48" s="53" t="str">
        <f ca="1">IF(AND(TbRegistroEntradas[[#This Row],[Data do Caixa Previsto]]&lt;TODAY(),TbRegistroEntradas[[#This Row],[Data do Caixa Realizado]]=""),"Vencida","Não Vencida")</f>
        <v>Não Vencida</v>
      </c>
      <c r="P48" s="53" t="str">
        <f>IF(TbRegistroEntradas[[#This Row],[Data da Competência]]=TbRegistroEntradas[[#This Row],[Data do Caixa Previsto]],"Vista","Prazo")</f>
        <v>Prazo</v>
      </c>
      <c r="Q48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49" spans="2:17" x14ac:dyDescent="0.3">
      <c r="B49" s="8">
        <v>43125.461755740398</v>
      </c>
      <c r="C49" s="8">
        <v>43088</v>
      </c>
      <c r="D49" s="8">
        <v>43125.461755740398</v>
      </c>
      <c r="E49" t="s">
        <v>27</v>
      </c>
      <c r="F49" t="s">
        <v>36</v>
      </c>
      <c r="G49" t="s">
        <v>107</v>
      </c>
      <c r="H49" s="14">
        <v>668</v>
      </c>
      <c r="I49">
        <f>IF(TbRegistroEntradas[[#This Row],[Data do Caixa Realizado]]="",0,MONTH(TbRegistroEntradas[[#This Row],[Data do Caixa Realizado]]))</f>
        <v>1</v>
      </c>
      <c r="J49">
        <f>IF(TbRegistroEntradas[[#This Row],[Data do Caixa Realizado]]="",0,YEAR(TbRegistroEntradas[[#This Row],[Data do Caixa Realizado]]))</f>
        <v>2018</v>
      </c>
      <c r="K49">
        <f>IF(TbRegistroEntradas[[#This Row],[Data da Competência]]="",0,MONTH(TbRegistroEntradas[[#This Row],[Data da Competência]]))</f>
        <v>12</v>
      </c>
      <c r="L49">
        <f>IF(TbRegistroEntradas[[#This Row],[Data da Competência]]="",0,YEAR(TbRegistroEntradas[[#This Row],[Data da Competência]]))</f>
        <v>2017</v>
      </c>
      <c r="M49" s="53">
        <f>IF(TbRegistroEntradas[[#This Row],[Data do Caixa Previsto]]="",0,MONTH(TbRegistroEntradas[[#This Row],[Data do Caixa Previsto]]))</f>
        <v>1</v>
      </c>
      <c r="N49" s="53">
        <f>IF(TbRegistroEntradas[[#This Row],[Data do Caixa Previsto]]="",0,YEAR(TbRegistroEntradas[[#This Row],[Data do Caixa Previsto]]))</f>
        <v>2018</v>
      </c>
      <c r="O49" s="53" t="str">
        <f ca="1">IF(AND(TbRegistroEntradas[[#This Row],[Data do Caixa Previsto]]&lt;TODAY(),TbRegistroEntradas[[#This Row],[Data do Caixa Realizado]]=""),"Vencida","Não Vencida")</f>
        <v>Não Vencida</v>
      </c>
      <c r="P49" s="53" t="str">
        <f>IF(TbRegistroEntradas[[#This Row],[Data da Competência]]=TbRegistroEntradas[[#This Row],[Data do Caixa Previsto]],"Vista","Prazo")</f>
        <v>Prazo</v>
      </c>
      <c r="Q49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50" spans="2:17" x14ac:dyDescent="0.3">
      <c r="B50" s="8">
        <v>43117.265187618672</v>
      </c>
      <c r="C50" s="8">
        <v>43089</v>
      </c>
      <c r="D50" s="8">
        <v>43117.265187618672</v>
      </c>
      <c r="E50" t="s">
        <v>27</v>
      </c>
      <c r="F50" t="s">
        <v>37</v>
      </c>
      <c r="G50" t="s">
        <v>108</v>
      </c>
      <c r="H50" s="14">
        <v>3721</v>
      </c>
      <c r="I50">
        <f>IF(TbRegistroEntradas[[#This Row],[Data do Caixa Realizado]]="",0,MONTH(TbRegistroEntradas[[#This Row],[Data do Caixa Realizado]]))</f>
        <v>1</v>
      </c>
      <c r="J50">
        <f>IF(TbRegistroEntradas[[#This Row],[Data do Caixa Realizado]]="",0,YEAR(TbRegistroEntradas[[#This Row],[Data do Caixa Realizado]]))</f>
        <v>2018</v>
      </c>
      <c r="K50">
        <f>IF(TbRegistroEntradas[[#This Row],[Data da Competência]]="",0,MONTH(TbRegistroEntradas[[#This Row],[Data da Competência]]))</f>
        <v>12</v>
      </c>
      <c r="L50">
        <f>IF(TbRegistroEntradas[[#This Row],[Data da Competência]]="",0,YEAR(TbRegistroEntradas[[#This Row],[Data da Competência]]))</f>
        <v>2017</v>
      </c>
      <c r="M50" s="53">
        <f>IF(TbRegistroEntradas[[#This Row],[Data do Caixa Previsto]]="",0,MONTH(TbRegistroEntradas[[#This Row],[Data do Caixa Previsto]]))</f>
        <v>1</v>
      </c>
      <c r="N50" s="53">
        <f>IF(TbRegistroEntradas[[#This Row],[Data do Caixa Previsto]]="",0,YEAR(TbRegistroEntradas[[#This Row],[Data do Caixa Previsto]]))</f>
        <v>2018</v>
      </c>
      <c r="O50" s="53" t="str">
        <f ca="1">IF(AND(TbRegistroEntradas[[#This Row],[Data do Caixa Previsto]]&lt;TODAY(),TbRegistroEntradas[[#This Row],[Data do Caixa Realizado]]=""),"Vencida","Não Vencida")</f>
        <v>Não Vencida</v>
      </c>
      <c r="P50" s="53" t="str">
        <f>IF(TbRegistroEntradas[[#This Row],[Data da Competência]]=TbRegistroEntradas[[#This Row],[Data do Caixa Previsto]],"Vista","Prazo")</f>
        <v>Prazo</v>
      </c>
      <c r="Q50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51" spans="2:17" x14ac:dyDescent="0.3">
      <c r="B51" s="8">
        <v>43222.826071389798</v>
      </c>
      <c r="C51" s="8">
        <v>43091</v>
      </c>
      <c r="D51" s="8">
        <v>43133.821281134544</v>
      </c>
      <c r="E51" t="s">
        <v>27</v>
      </c>
      <c r="F51" t="s">
        <v>34</v>
      </c>
      <c r="G51" t="s">
        <v>109</v>
      </c>
      <c r="H51" s="14">
        <v>3114</v>
      </c>
      <c r="I51">
        <f>IF(TbRegistroEntradas[[#This Row],[Data do Caixa Realizado]]="",0,MONTH(TbRegistroEntradas[[#This Row],[Data do Caixa Realizado]]))</f>
        <v>5</v>
      </c>
      <c r="J51">
        <f>IF(TbRegistroEntradas[[#This Row],[Data do Caixa Realizado]]="",0,YEAR(TbRegistroEntradas[[#This Row],[Data do Caixa Realizado]]))</f>
        <v>2018</v>
      </c>
      <c r="K51">
        <f>IF(TbRegistroEntradas[[#This Row],[Data da Competência]]="",0,MONTH(TbRegistroEntradas[[#This Row],[Data da Competência]]))</f>
        <v>12</v>
      </c>
      <c r="L51">
        <f>IF(TbRegistroEntradas[[#This Row],[Data da Competência]]="",0,YEAR(TbRegistroEntradas[[#This Row],[Data da Competência]]))</f>
        <v>2017</v>
      </c>
      <c r="M51" s="53">
        <f>IF(TbRegistroEntradas[[#This Row],[Data do Caixa Previsto]]="",0,MONTH(TbRegistroEntradas[[#This Row],[Data do Caixa Previsto]]))</f>
        <v>2</v>
      </c>
      <c r="N51" s="53">
        <f>IF(TbRegistroEntradas[[#This Row],[Data do Caixa Previsto]]="",0,YEAR(TbRegistroEntradas[[#This Row],[Data do Caixa Previsto]]))</f>
        <v>2018</v>
      </c>
      <c r="O51" s="53" t="str">
        <f ca="1">IF(AND(TbRegistroEntradas[[#This Row],[Data do Caixa Previsto]]&lt;TODAY(),TbRegistroEntradas[[#This Row],[Data do Caixa Realizado]]=""),"Vencida","Não Vencida")</f>
        <v>Não Vencida</v>
      </c>
      <c r="P51" s="53" t="str">
        <f>IF(TbRegistroEntradas[[#This Row],[Data da Competência]]=TbRegistroEntradas[[#This Row],[Data do Caixa Previsto]],"Vista","Prazo")</f>
        <v>Prazo</v>
      </c>
      <c r="Q51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89.004790255254193</v>
      </c>
    </row>
    <row r="52" spans="2:17" x14ac:dyDescent="0.3">
      <c r="B52" s="8">
        <v>43171.526334246679</v>
      </c>
      <c r="C52" s="8">
        <v>43095</v>
      </c>
      <c r="D52" s="8">
        <v>43150.040142629892</v>
      </c>
      <c r="E52" t="s">
        <v>27</v>
      </c>
      <c r="F52" t="s">
        <v>36</v>
      </c>
      <c r="G52" t="s">
        <v>110</v>
      </c>
      <c r="H52" s="14">
        <v>1436</v>
      </c>
      <c r="I52">
        <f>IF(TbRegistroEntradas[[#This Row],[Data do Caixa Realizado]]="",0,MONTH(TbRegistroEntradas[[#This Row],[Data do Caixa Realizado]]))</f>
        <v>3</v>
      </c>
      <c r="J52">
        <f>IF(TbRegistroEntradas[[#This Row],[Data do Caixa Realizado]]="",0,YEAR(TbRegistroEntradas[[#This Row],[Data do Caixa Realizado]]))</f>
        <v>2018</v>
      </c>
      <c r="K52">
        <f>IF(TbRegistroEntradas[[#This Row],[Data da Competência]]="",0,MONTH(TbRegistroEntradas[[#This Row],[Data da Competência]]))</f>
        <v>12</v>
      </c>
      <c r="L52">
        <f>IF(TbRegistroEntradas[[#This Row],[Data da Competência]]="",0,YEAR(TbRegistroEntradas[[#This Row],[Data da Competência]]))</f>
        <v>2017</v>
      </c>
      <c r="M52" s="53">
        <f>IF(TbRegistroEntradas[[#This Row],[Data do Caixa Previsto]]="",0,MONTH(TbRegistroEntradas[[#This Row],[Data do Caixa Previsto]]))</f>
        <v>2</v>
      </c>
      <c r="N52" s="53">
        <f>IF(TbRegistroEntradas[[#This Row],[Data do Caixa Previsto]]="",0,YEAR(TbRegistroEntradas[[#This Row],[Data do Caixa Previsto]]))</f>
        <v>2018</v>
      </c>
      <c r="O52" s="53" t="str">
        <f ca="1">IF(AND(TbRegistroEntradas[[#This Row],[Data do Caixa Previsto]]&lt;TODAY(),TbRegistroEntradas[[#This Row],[Data do Caixa Realizado]]=""),"Vencida","Não Vencida")</f>
        <v>Não Vencida</v>
      </c>
      <c r="P52" s="53" t="str">
        <f>IF(TbRegistroEntradas[[#This Row],[Data da Competência]]=TbRegistroEntradas[[#This Row],[Data do Caixa Previsto]],"Vista","Prazo")</f>
        <v>Prazo</v>
      </c>
      <c r="Q52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21.486191616786527</v>
      </c>
    </row>
    <row r="53" spans="2:17" x14ac:dyDescent="0.3">
      <c r="B53" s="8">
        <v>43101.6816504218</v>
      </c>
      <c r="C53" s="8">
        <v>43099</v>
      </c>
      <c r="D53" s="8">
        <v>43101.6816504218</v>
      </c>
      <c r="E53" t="s">
        <v>27</v>
      </c>
      <c r="F53" t="s">
        <v>36</v>
      </c>
      <c r="G53" t="s">
        <v>111</v>
      </c>
      <c r="H53" s="14">
        <v>3192</v>
      </c>
      <c r="I53">
        <f>IF(TbRegistroEntradas[[#This Row],[Data do Caixa Realizado]]="",0,MONTH(TbRegistroEntradas[[#This Row],[Data do Caixa Realizado]]))</f>
        <v>1</v>
      </c>
      <c r="J53">
        <f>IF(TbRegistroEntradas[[#This Row],[Data do Caixa Realizado]]="",0,YEAR(TbRegistroEntradas[[#This Row],[Data do Caixa Realizado]]))</f>
        <v>2018</v>
      </c>
      <c r="K53">
        <f>IF(TbRegistroEntradas[[#This Row],[Data da Competência]]="",0,MONTH(TbRegistroEntradas[[#This Row],[Data da Competência]]))</f>
        <v>12</v>
      </c>
      <c r="L53">
        <f>IF(TbRegistroEntradas[[#This Row],[Data da Competência]]="",0,YEAR(TbRegistroEntradas[[#This Row],[Data da Competência]]))</f>
        <v>2017</v>
      </c>
      <c r="M53" s="53">
        <f>IF(TbRegistroEntradas[[#This Row],[Data do Caixa Previsto]]="",0,MONTH(TbRegistroEntradas[[#This Row],[Data do Caixa Previsto]]))</f>
        <v>1</v>
      </c>
      <c r="N53" s="53">
        <f>IF(TbRegistroEntradas[[#This Row],[Data do Caixa Previsto]]="",0,YEAR(TbRegistroEntradas[[#This Row],[Data do Caixa Previsto]]))</f>
        <v>2018</v>
      </c>
      <c r="O53" s="53" t="str">
        <f ca="1">IF(AND(TbRegistroEntradas[[#This Row],[Data do Caixa Previsto]]&lt;TODAY(),TbRegistroEntradas[[#This Row],[Data do Caixa Realizado]]=""),"Vencida","Não Vencida")</f>
        <v>Não Vencida</v>
      </c>
      <c r="P53" s="53" t="str">
        <f>IF(TbRegistroEntradas[[#This Row],[Data da Competência]]=TbRegistroEntradas[[#This Row],[Data do Caixa Previsto]],"Vista","Prazo")</f>
        <v>Prazo</v>
      </c>
      <c r="Q53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54" spans="2:17" x14ac:dyDescent="0.3">
      <c r="B54" s="8">
        <v>43144.070709460881</v>
      </c>
      <c r="C54" s="8">
        <v>43100</v>
      </c>
      <c r="D54" s="8">
        <v>43144.070709460881</v>
      </c>
      <c r="E54" t="s">
        <v>27</v>
      </c>
      <c r="F54" t="s">
        <v>37</v>
      </c>
      <c r="G54" t="s">
        <v>112</v>
      </c>
      <c r="H54" s="14">
        <v>2687</v>
      </c>
      <c r="I54">
        <f>IF(TbRegistroEntradas[[#This Row],[Data do Caixa Realizado]]="",0,MONTH(TbRegistroEntradas[[#This Row],[Data do Caixa Realizado]]))</f>
        <v>2</v>
      </c>
      <c r="J54">
        <f>IF(TbRegistroEntradas[[#This Row],[Data do Caixa Realizado]]="",0,YEAR(TbRegistroEntradas[[#This Row],[Data do Caixa Realizado]]))</f>
        <v>2018</v>
      </c>
      <c r="K54">
        <f>IF(TbRegistroEntradas[[#This Row],[Data da Competência]]="",0,MONTH(TbRegistroEntradas[[#This Row],[Data da Competência]]))</f>
        <v>12</v>
      </c>
      <c r="L54">
        <f>IF(TbRegistroEntradas[[#This Row],[Data da Competência]]="",0,YEAR(TbRegistroEntradas[[#This Row],[Data da Competência]]))</f>
        <v>2017</v>
      </c>
      <c r="M54" s="53">
        <f>IF(TbRegistroEntradas[[#This Row],[Data do Caixa Previsto]]="",0,MONTH(TbRegistroEntradas[[#This Row],[Data do Caixa Previsto]]))</f>
        <v>2</v>
      </c>
      <c r="N54" s="53">
        <f>IF(TbRegistroEntradas[[#This Row],[Data do Caixa Previsto]]="",0,YEAR(TbRegistroEntradas[[#This Row],[Data do Caixa Previsto]]))</f>
        <v>2018</v>
      </c>
      <c r="O54" s="53" t="str">
        <f ca="1">IF(AND(TbRegistroEntradas[[#This Row],[Data do Caixa Previsto]]&lt;TODAY(),TbRegistroEntradas[[#This Row],[Data do Caixa Realizado]]=""),"Vencida","Não Vencida")</f>
        <v>Não Vencida</v>
      </c>
      <c r="P54" s="53" t="str">
        <f>IF(TbRegistroEntradas[[#This Row],[Data da Competência]]=TbRegistroEntradas[[#This Row],[Data do Caixa Previsto]],"Vista","Prazo")</f>
        <v>Prazo</v>
      </c>
      <c r="Q54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55" spans="2:17" x14ac:dyDescent="0.3">
      <c r="B55" s="8">
        <v>43159.768399969107</v>
      </c>
      <c r="C55" s="8">
        <v>43103</v>
      </c>
      <c r="D55" s="8">
        <v>43159.768399969107</v>
      </c>
      <c r="E55" t="s">
        <v>27</v>
      </c>
      <c r="F55" t="s">
        <v>36</v>
      </c>
      <c r="G55" t="s">
        <v>113</v>
      </c>
      <c r="H55" s="14">
        <v>1561</v>
      </c>
      <c r="I55">
        <f>IF(TbRegistroEntradas[[#This Row],[Data do Caixa Realizado]]="",0,MONTH(TbRegistroEntradas[[#This Row],[Data do Caixa Realizado]]))</f>
        <v>2</v>
      </c>
      <c r="J55">
        <f>IF(TbRegistroEntradas[[#This Row],[Data do Caixa Realizado]]="",0,YEAR(TbRegistroEntradas[[#This Row],[Data do Caixa Realizado]]))</f>
        <v>2018</v>
      </c>
      <c r="K55">
        <f>IF(TbRegistroEntradas[[#This Row],[Data da Competência]]="",0,MONTH(TbRegistroEntradas[[#This Row],[Data da Competência]]))</f>
        <v>1</v>
      </c>
      <c r="L55">
        <f>IF(TbRegistroEntradas[[#This Row],[Data da Competência]]="",0,YEAR(TbRegistroEntradas[[#This Row],[Data da Competência]]))</f>
        <v>2018</v>
      </c>
      <c r="M55" s="53">
        <f>IF(TbRegistroEntradas[[#This Row],[Data do Caixa Previsto]]="",0,MONTH(TbRegistroEntradas[[#This Row],[Data do Caixa Previsto]]))</f>
        <v>2</v>
      </c>
      <c r="N55" s="53">
        <f>IF(TbRegistroEntradas[[#This Row],[Data do Caixa Previsto]]="",0,YEAR(TbRegistroEntradas[[#This Row],[Data do Caixa Previsto]]))</f>
        <v>2018</v>
      </c>
      <c r="O55" s="53" t="str">
        <f ca="1">IF(AND(TbRegistroEntradas[[#This Row],[Data do Caixa Previsto]]&lt;TODAY(),TbRegistroEntradas[[#This Row],[Data do Caixa Realizado]]=""),"Vencida","Não Vencida")</f>
        <v>Não Vencida</v>
      </c>
      <c r="P55" s="53" t="str">
        <f>IF(TbRegistroEntradas[[#This Row],[Data da Competência]]=TbRegistroEntradas[[#This Row],[Data do Caixa Previsto]],"Vista","Prazo")</f>
        <v>Prazo</v>
      </c>
      <c r="Q55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56" spans="2:17" x14ac:dyDescent="0.3">
      <c r="B56" s="8">
        <v>43113.535870555577</v>
      </c>
      <c r="C56" s="8">
        <v>43109</v>
      </c>
      <c r="D56" s="8">
        <v>43113.535870555577</v>
      </c>
      <c r="E56" t="s">
        <v>27</v>
      </c>
      <c r="F56" t="s">
        <v>36</v>
      </c>
      <c r="G56" t="s">
        <v>114</v>
      </c>
      <c r="H56" s="14">
        <v>1573</v>
      </c>
      <c r="I56">
        <f>IF(TbRegistroEntradas[[#This Row],[Data do Caixa Realizado]]="",0,MONTH(TbRegistroEntradas[[#This Row],[Data do Caixa Realizado]]))</f>
        <v>1</v>
      </c>
      <c r="J56">
        <f>IF(TbRegistroEntradas[[#This Row],[Data do Caixa Realizado]]="",0,YEAR(TbRegistroEntradas[[#This Row],[Data do Caixa Realizado]]))</f>
        <v>2018</v>
      </c>
      <c r="K56">
        <f>IF(TbRegistroEntradas[[#This Row],[Data da Competência]]="",0,MONTH(TbRegistroEntradas[[#This Row],[Data da Competência]]))</f>
        <v>1</v>
      </c>
      <c r="L56">
        <f>IF(TbRegistroEntradas[[#This Row],[Data da Competência]]="",0,YEAR(TbRegistroEntradas[[#This Row],[Data da Competência]]))</f>
        <v>2018</v>
      </c>
      <c r="M56" s="53">
        <f>IF(TbRegistroEntradas[[#This Row],[Data do Caixa Previsto]]="",0,MONTH(TbRegistroEntradas[[#This Row],[Data do Caixa Previsto]]))</f>
        <v>1</v>
      </c>
      <c r="N56" s="53">
        <f>IF(TbRegistroEntradas[[#This Row],[Data do Caixa Previsto]]="",0,YEAR(TbRegistroEntradas[[#This Row],[Data do Caixa Previsto]]))</f>
        <v>2018</v>
      </c>
      <c r="O56" s="53" t="str">
        <f ca="1">IF(AND(TbRegistroEntradas[[#This Row],[Data do Caixa Previsto]]&lt;TODAY(),TbRegistroEntradas[[#This Row],[Data do Caixa Realizado]]=""),"Vencida","Não Vencida")</f>
        <v>Não Vencida</v>
      </c>
      <c r="P56" s="53" t="str">
        <f>IF(TbRegistroEntradas[[#This Row],[Data da Competência]]=TbRegistroEntradas[[#This Row],[Data do Caixa Previsto]],"Vista","Prazo")</f>
        <v>Prazo</v>
      </c>
      <c r="Q56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57" spans="2:17" x14ac:dyDescent="0.3">
      <c r="B57" s="8">
        <v>43147.636765206888</v>
      </c>
      <c r="C57" s="8">
        <v>43117</v>
      </c>
      <c r="D57" s="8">
        <v>43147.636765206888</v>
      </c>
      <c r="E57" t="s">
        <v>27</v>
      </c>
      <c r="F57" t="s">
        <v>36</v>
      </c>
      <c r="G57" t="s">
        <v>115</v>
      </c>
      <c r="H57" s="14">
        <v>1364</v>
      </c>
      <c r="I57">
        <f>IF(TbRegistroEntradas[[#This Row],[Data do Caixa Realizado]]="",0,MONTH(TbRegistroEntradas[[#This Row],[Data do Caixa Realizado]]))</f>
        <v>2</v>
      </c>
      <c r="J57">
        <f>IF(TbRegistroEntradas[[#This Row],[Data do Caixa Realizado]]="",0,YEAR(TbRegistroEntradas[[#This Row],[Data do Caixa Realizado]]))</f>
        <v>2018</v>
      </c>
      <c r="K57">
        <f>IF(TbRegistroEntradas[[#This Row],[Data da Competência]]="",0,MONTH(TbRegistroEntradas[[#This Row],[Data da Competência]]))</f>
        <v>1</v>
      </c>
      <c r="L57">
        <f>IF(TbRegistroEntradas[[#This Row],[Data da Competência]]="",0,YEAR(TbRegistroEntradas[[#This Row],[Data da Competência]]))</f>
        <v>2018</v>
      </c>
      <c r="M57" s="53">
        <f>IF(TbRegistroEntradas[[#This Row],[Data do Caixa Previsto]]="",0,MONTH(TbRegistroEntradas[[#This Row],[Data do Caixa Previsto]]))</f>
        <v>2</v>
      </c>
      <c r="N57" s="53">
        <f>IF(TbRegistroEntradas[[#This Row],[Data do Caixa Previsto]]="",0,YEAR(TbRegistroEntradas[[#This Row],[Data do Caixa Previsto]]))</f>
        <v>2018</v>
      </c>
      <c r="O57" s="53" t="str">
        <f ca="1">IF(AND(TbRegistroEntradas[[#This Row],[Data do Caixa Previsto]]&lt;TODAY(),TbRegistroEntradas[[#This Row],[Data do Caixa Realizado]]=""),"Vencida","Não Vencida")</f>
        <v>Não Vencida</v>
      </c>
      <c r="P57" s="53" t="str">
        <f>IF(TbRegistroEntradas[[#This Row],[Data da Competência]]=TbRegistroEntradas[[#This Row],[Data do Caixa Previsto]],"Vista","Prazo")</f>
        <v>Prazo</v>
      </c>
      <c r="Q57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58" spans="2:17" x14ac:dyDescent="0.3">
      <c r="B58" s="8">
        <v>43166.506331380886</v>
      </c>
      <c r="C58" s="8">
        <v>43121</v>
      </c>
      <c r="D58" s="8">
        <v>43166.506331380886</v>
      </c>
      <c r="E58" t="s">
        <v>27</v>
      </c>
      <c r="F58" t="s">
        <v>37</v>
      </c>
      <c r="G58" t="s">
        <v>116</v>
      </c>
      <c r="H58" s="14">
        <v>783</v>
      </c>
      <c r="I58">
        <f>IF(TbRegistroEntradas[[#This Row],[Data do Caixa Realizado]]="",0,MONTH(TbRegistroEntradas[[#This Row],[Data do Caixa Realizado]]))</f>
        <v>3</v>
      </c>
      <c r="J58">
        <f>IF(TbRegistroEntradas[[#This Row],[Data do Caixa Realizado]]="",0,YEAR(TbRegistroEntradas[[#This Row],[Data do Caixa Realizado]]))</f>
        <v>2018</v>
      </c>
      <c r="K58">
        <f>IF(TbRegistroEntradas[[#This Row],[Data da Competência]]="",0,MONTH(TbRegistroEntradas[[#This Row],[Data da Competência]]))</f>
        <v>1</v>
      </c>
      <c r="L58">
        <f>IF(TbRegistroEntradas[[#This Row],[Data da Competência]]="",0,YEAR(TbRegistroEntradas[[#This Row],[Data da Competência]]))</f>
        <v>2018</v>
      </c>
      <c r="M58" s="53">
        <f>IF(TbRegistroEntradas[[#This Row],[Data do Caixa Previsto]]="",0,MONTH(TbRegistroEntradas[[#This Row],[Data do Caixa Previsto]]))</f>
        <v>3</v>
      </c>
      <c r="N58" s="53">
        <f>IF(TbRegistroEntradas[[#This Row],[Data do Caixa Previsto]]="",0,YEAR(TbRegistroEntradas[[#This Row],[Data do Caixa Previsto]]))</f>
        <v>2018</v>
      </c>
      <c r="O58" s="53" t="str">
        <f ca="1">IF(AND(TbRegistroEntradas[[#This Row],[Data do Caixa Previsto]]&lt;TODAY(),TbRegistroEntradas[[#This Row],[Data do Caixa Realizado]]=""),"Vencida","Não Vencida")</f>
        <v>Não Vencida</v>
      </c>
      <c r="P58" s="53" t="str">
        <f>IF(TbRegistroEntradas[[#This Row],[Data da Competência]]=TbRegistroEntradas[[#This Row],[Data do Caixa Previsto]],"Vista","Prazo")</f>
        <v>Prazo</v>
      </c>
      <c r="Q58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59" spans="2:17" x14ac:dyDescent="0.3">
      <c r="B59" s="8">
        <v>43164.402079160267</v>
      </c>
      <c r="C59" s="8">
        <v>43122</v>
      </c>
      <c r="D59" s="8">
        <v>43145.930248245008</v>
      </c>
      <c r="E59" t="s">
        <v>27</v>
      </c>
      <c r="F59" t="s">
        <v>37</v>
      </c>
      <c r="G59" t="s">
        <v>117</v>
      </c>
      <c r="H59" s="14">
        <v>3928</v>
      </c>
      <c r="I59">
        <f>IF(TbRegistroEntradas[[#This Row],[Data do Caixa Realizado]]="",0,MONTH(TbRegistroEntradas[[#This Row],[Data do Caixa Realizado]]))</f>
        <v>3</v>
      </c>
      <c r="J59">
        <f>IF(TbRegistroEntradas[[#This Row],[Data do Caixa Realizado]]="",0,YEAR(TbRegistroEntradas[[#This Row],[Data do Caixa Realizado]]))</f>
        <v>2018</v>
      </c>
      <c r="K59">
        <f>IF(TbRegistroEntradas[[#This Row],[Data da Competência]]="",0,MONTH(TbRegistroEntradas[[#This Row],[Data da Competência]]))</f>
        <v>1</v>
      </c>
      <c r="L59">
        <f>IF(TbRegistroEntradas[[#This Row],[Data da Competência]]="",0,YEAR(TbRegistroEntradas[[#This Row],[Data da Competência]]))</f>
        <v>2018</v>
      </c>
      <c r="M59" s="53">
        <f>IF(TbRegistroEntradas[[#This Row],[Data do Caixa Previsto]]="",0,MONTH(TbRegistroEntradas[[#This Row],[Data do Caixa Previsto]]))</f>
        <v>2</v>
      </c>
      <c r="N59" s="53">
        <f>IF(TbRegistroEntradas[[#This Row],[Data do Caixa Previsto]]="",0,YEAR(TbRegistroEntradas[[#This Row],[Data do Caixa Previsto]]))</f>
        <v>2018</v>
      </c>
      <c r="O59" s="53" t="str">
        <f ca="1">IF(AND(TbRegistroEntradas[[#This Row],[Data do Caixa Previsto]]&lt;TODAY(),TbRegistroEntradas[[#This Row],[Data do Caixa Realizado]]=""),"Vencida","Não Vencida")</f>
        <v>Não Vencida</v>
      </c>
      <c r="P59" s="53" t="str">
        <f>IF(TbRegistroEntradas[[#This Row],[Data da Competência]]=TbRegistroEntradas[[#This Row],[Data do Caixa Previsto]],"Vista","Prazo")</f>
        <v>Prazo</v>
      </c>
      <c r="Q59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18.471830915259488</v>
      </c>
    </row>
    <row r="60" spans="2:17" x14ac:dyDescent="0.3">
      <c r="B60" s="8">
        <v>43142.713591319029</v>
      </c>
      <c r="C60" s="8">
        <v>43124</v>
      </c>
      <c r="D60" s="8">
        <v>43142.713591319029</v>
      </c>
      <c r="E60" t="s">
        <v>27</v>
      </c>
      <c r="F60" t="s">
        <v>34</v>
      </c>
      <c r="G60" t="s">
        <v>118</v>
      </c>
      <c r="H60" s="14">
        <v>3843</v>
      </c>
      <c r="I60">
        <f>IF(TbRegistroEntradas[[#This Row],[Data do Caixa Realizado]]="",0,MONTH(TbRegistroEntradas[[#This Row],[Data do Caixa Realizado]]))</f>
        <v>2</v>
      </c>
      <c r="J60">
        <f>IF(TbRegistroEntradas[[#This Row],[Data do Caixa Realizado]]="",0,YEAR(TbRegistroEntradas[[#This Row],[Data do Caixa Realizado]]))</f>
        <v>2018</v>
      </c>
      <c r="K60">
        <f>IF(TbRegistroEntradas[[#This Row],[Data da Competência]]="",0,MONTH(TbRegistroEntradas[[#This Row],[Data da Competência]]))</f>
        <v>1</v>
      </c>
      <c r="L60">
        <f>IF(TbRegistroEntradas[[#This Row],[Data da Competência]]="",0,YEAR(TbRegistroEntradas[[#This Row],[Data da Competência]]))</f>
        <v>2018</v>
      </c>
      <c r="M60" s="53">
        <f>IF(TbRegistroEntradas[[#This Row],[Data do Caixa Previsto]]="",0,MONTH(TbRegistroEntradas[[#This Row],[Data do Caixa Previsto]]))</f>
        <v>2</v>
      </c>
      <c r="N60" s="53">
        <f>IF(TbRegistroEntradas[[#This Row],[Data do Caixa Previsto]]="",0,YEAR(TbRegistroEntradas[[#This Row],[Data do Caixa Previsto]]))</f>
        <v>2018</v>
      </c>
      <c r="O60" s="53" t="str">
        <f ca="1">IF(AND(TbRegistroEntradas[[#This Row],[Data do Caixa Previsto]]&lt;TODAY(),TbRegistroEntradas[[#This Row],[Data do Caixa Realizado]]=""),"Vencida","Não Vencida")</f>
        <v>Não Vencida</v>
      </c>
      <c r="P60" s="53" t="str">
        <f>IF(TbRegistroEntradas[[#This Row],[Data da Competência]]=TbRegistroEntradas[[#This Row],[Data do Caixa Previsto]],"Vista","Prazo")</f>
        <v>Prazo</v>
      </c>
      <c r="Q60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61" spans="2:17" x14ac:dyDescent="0.3">
      <c r="B61" s="8">
        <v>43183.516256023155</v>
      </c>
      <c r="C61" s="8">
        <v>43125</v>
      </c>
      <c r="D61" s="8">
        <v>43129.375302218272</v>
      </c>
      <c r="E61" t="s">
        <v>27</v>
      </c>
      <c r="F61" t="s">
        <v>33</v>
      </c>
      <c r="G61" t="s">
        <v>119</v>
      </c>
      <c r="H61" s="14">
        <v>1864</v>
      </c>
      <c r="I61">
        <f>IF(TbRegistroEntradas[[#This Row],[Data do Caixa Realizado]]="",0,MONTH(TbRegistroEntradas[[#This Row],[Data do Caixa Realizado]]))</f>
        <v>3</v>
      </c>
      <c r="J61">
        <f>IF(TbRegistroEntradas[[#This Row],[Data do Caixa Realizado]]="",0,YEAR(TbRegistroEntradas[[#This Row],[Data do Caixa Realizado]]))</f>
        <v>2018</v>
      </c>
      <c r="K61">
        <f>IF(TbRegistroEntradas[[#This Row],[Data da Competência]]="",0,MONTH(TbRegistroEntradas[[#This Row],[Data da Competência]]))</f>
        <v>1</v>
      </c>
      <c r="L61">
        <f>IF(TbRegistroEntradas[[#This Row],[Data da Competência]]="",0,YEAR(TbRegistroEntradas[[#This Row],[Data da Competência]]))</f>
        <v>2018</v>
      </c>
      <c r="M61" s="53">
        <f>IF(TbRegistroEntradas[[#This Row],[Data do Caixa Previsto]]="",0,MONTH(TbRegistroEntradas[[#This Row],[Data do Caixa Previsto]]))</f>
        <v>1</v>
      </c>
      <c r="N61" s="53">
        <f>IF(TbRegistroEntradas[[#This Row],[Data do Caixa Previsto]]="",0,YEAR(TbRegistroEntradas[[#This Row],[Data do Caixa Previsto]]))</f>
        <v>2018</v>
      </c>
      <c r="O61" s="53" t="str">
        <f ca="1">IF(AND(TbRegistroEntradas[[#This Row],[Data do Caixa Previsto]]&lt;TODAY(),TbRegistroEntradas[[#This Row],[Data do Caixa Realizado]]=""),"Vencida","Não Vencida")</f>
        <v>Não Vencida</v>
      </c>
      <c r="P61" s="53" t="str">
        <f>IF(TbRegistroEntradas[[#This Row],[Data da Competência]]=TbRegistroEntradas[[#This Row],[Data do Caixa Previsto]],"Vista","Prazo")</f>
        <v>Prazo</v>
      </c>
      <c r="Q61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54.140953804882884</v>
      </c>
    </row>
    <row r="62" spans="2:17" x14ac:dyDescent="0.3">
      <c r="B62" s="8">
        <v>43181.942093945734</v>
      </c>
      <c r="C62" s="8">
        <v>43128</v>
      </c>
      <c r="D62" s="8">
        <v>43181.942093945734</v>
      </c>
      <c r="E62" t="s">
        <v>27</v>
      </c>
      <c r="F62" t="s">
        <v>36</v>
      </c>
      <c r="G62" t="s">
        <v>120</v>
      </c>
      <c r="H62" s="14">
        <v>1184</v>
      </c>
      <c r="I62">
        <f>IF(TbRegistroEntradas[[#This Row],[Data do Caixa Realizado]]="",0,MONTH(TbRegistroEntradas[[#This Row],[Data do Caixa Realizado]]))</f>
        <v>3</v>
      </c>
      <c r="J62">
        <f>IF(TbRegistroEntradas[[#This Row],[Data do Caixa Realizado]]="",0,YEAR(TbRegistroEntradas[[#This Row],[Data do Caixa Realizado]]))</f>
        <v>2018</v>
      </c>
      <c r="K62">
        <f>IF(TbRegistroEntradas[[#This Row],[Data da Competência]]="",0,MONTH(TbRegistroEntradas[[#This Row],[Data da Competência]]))</f>
        <v>1</v>
      </c>
      <c r="L62">
        <f>IF(TbRegistroEntradas[[#This Row],[Data da Competência]]="",0,YEAR(TbRegistroEntradas[[#This Row],[Data da Competência]]))</f>
        <v>2018</v>
      </c>
      <c r="M62" s="53">
        <f>IF(TbRegistroEntradas[[#This Row],[Data do Caixa Previsto]]="",0,MONTH(TbRegistroEntradas[[#This Row],[Data do Caixa Previsto]]))</f>
        <v>3</v>
      </c>
      <c r="N62" s="53">
        <f>IF(TbRegistroEntradas[[#This Row],[Data do Caixa Previsto]]="",0,YEAR(TbRegistroEntradas[[#This Row],[Data do Caixa Previsto]]))</f>
        <v>2018</v>
      </c>
      <c r="O62" s="53" t="str">
        <f ca="1">IF(AND(TbRegistroEntradas[[#This Row],[Data do Caixa Previsto]]&lt;TODAY(),TbRegistroEntradas[[#This Row],[Data do Caixa Realizado]]=""),"Vencida","Não Vencida")</f>
        <v>Não Vencida</v>
      </c>
      <c r="P62" s="53" t="str">
        <f>IF(TbRegistroEntradas[[#This Row],[Data da Competência]]=TbRegistroEntradas[[#This Row],[Data do Caixa Previsto]],"Vista","Prazo")</f>
        <v>Prazo</v>
      </c>
      <c r="Q62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63" spans="2:17" x14ac:dyDescent="0.3">
      <c r="B63" s="8">
        <v>43161.227605046144</v>
      </c>
      <c r="C63" s="8">
        <v>43129</v>
      </c>
      <c r="D63" s="8">
        <v>43161.227605046144</v>
      </c>
      <c r="E63" t="s">
        <v>27</v>
      </c>
      <c r="F63" t="s">
        <v>36</v>
      </c>
      <c r="G63" t="s">
        <v>121</v>
      </c>
      <c r="H63" s="14">
        <v>4055</v>
      </c>
      <c r="I63">
        <f>IF(TbRegistroEntradas[[#This Row],[Data do Caixa Realizado]]="",0,MONTH(TbRegistroEntradas[[#This Row],[Data do Caixa Realizado]]))</f>
        <v>3</v>
      </c>
      <c r="J63">
        <f>IF(TbRegistroEntradas[[#This Row],[Data do Caixa Realizado]]="",0,YEAR(TbRegistroEntradas[[#This Row],[Data do Caixa Realizado]]))</f>
        <v>2018</v>
      </c>
      <c r="K63">
        <f>IF(TbRegistroEntradas[[#This Row],[Data da Competência]]="",0,MONTH(TbRegistroEntradas[[#This Row],[Data da Competência]]))</f>
        <v>1</v>
      </c>
      <c r="L63">
        <f>IF(TbRegistroEntradas[[#This Row],[Data da Competência]]="",0,YEAR(TbRegistroEntradas[[#This Row],[Data da Competência]]))</f>
        <v>2018</v>
      </c>
      <c r="M63" s="53">
        <f>IF(TbRegistroEntradas[[#This Row],[Data do Caixa Previsto]]="",0,MONTH(TbRegistroEntradas[[#This Row],[Data do Caixa Previsto]]))</f>
        <v>3</v>
      </c>
      <c r="N63" s="53">
        <f>IF(TbRegistroEntradas[[#This Row],[Data do Caixa Previsto]]="",0,YEAR(TbRegistroEntradas[[#This Row],[Data do Caixa Previsto]]))</f>
        <v>2018</v>
      </c>
      <c r="O63" s="53" t="str">
        <f ca="1">IF(AND(TbRegistroEntradas[[#This Row],[Data do Caixa Previsto]]&lt;TODAY(),TbRegistroEntradas[[#This Row],[Data do Caixa Realizado]]=""),"Vencida","Não Vencida")</f>
        <v>Não Vencida</v>
      </c>
      <c r="P63" s="53" t="str">
        <f>IF(TbRegistroEntradas[[#This Row],[Data da Competência]]=TbRegistroEntradas[[#This Row],[Data do Caixa Previsto]],"Vista","Prazo")</f>
        <v>Prazo</v>
      </c>
      <c r="Q63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64" spans="2:17" x14ac:dyDescent="0.3">
      <c r="B64" s="8">
        <v>43178.327075601032</v>
      </c>
      <c r="C64" s="8">
        <v>43130</v>
      </c>
      <c r="D64" s="8">
        <v>43178.327075601032</v>
      </c>
      <c r="E64" t="s">
        <v>27</v>
      </c>
      <c r="F64" t="s">
        <v>36</v>
      </c>
      <c r="G64" t="s">
        <v>122</v>
      </c>
      <c r="H64" s="14">
        <v>427</v>
      </c>
      <c r="I64">
        <f>IF(TbRegistroEntradas[[#This Row],[Data do Caixa Realizado]]="",0,MONTH(TbRegistroEntradas[[#This Row],[Data do Caixa Realizado]]))</f>
        <v>3</v>
      </c>
      <c r="J64">
        <f>IF(TbRegistroEntradas[[#This Row],[Data do Caixa Realizado]]="",0,YEAR(TbRegistroEntradas[[#This Row],[Data do Caixa Realizado]]))</f>
        <v>2018</v>
      </c>
      <c r="K64">
        <f>IF(TbRegistroEntradas[[#This Row],[Data da Competência]]="",0,MONTH(TbRegistroEntradas[[#This Row],[Data da Competência]]))</f>
        <v>1</v>
      </c>
      <c r="L64">
        <f>IF(TbRegistroEntradas[[#This Row],[Data da Competência]]="",0,YEAR(TbRegistroEntradas[[#This Row],[Data da Competência]]))</f>
        <v>2018</v>
      </c>
      <c r="M64" s="53">
        <f>IF(TbRegistroEntradas[[#This Row],[Data do Caixa Previsto]]="",0,MONTH(TbRegistroEntradas[[#This Row],[Data do Caixa Previsto]]))</f>
        <v>3</v>
      </c>
      <c r="N64" s="53">
        <f>IF(TbRegistroEntradas[[#This Row],[Data do Caixa Previsto]]="",0,YEAR(TbRegistroEntradas[[#This Row],[Data do Caixa Previsto]]))</f>
        <v>2018</v>
      </c>
      <c r="O64" s="53" t="str">
        <f ca="1">IF(AND(TbRegistroEntradas[[#This Row],[Data do Caixa Previsto]]&lt;TODAY(),TbRegistroEntradas[[#This Row],[Data do Caixa Realizado]]=""),"Vencida","Não Vencida")</f>
        <v>Não Vencida</v>
      </c>
      <c r="P64" s="53" t="str">
        <f>IF(TbRegistroEntradas[[#This Row],[Data da Competência]]=TbRegistroEntradas[[#This Row],[Data do Caixa Previsto]],"Vista","Prazo")</f>
        <v>Prazo</v>
      </c>
      <c r="Q64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65" spans="2:17" x14ac:dyDescent="0.3">
      <c r="B65" s="8">
        <v>43138.085439585935</v>
      </c>
      <c r="C65" s="8">
        <v>43133</v>
      </c>
      <c r="D65" s="8">
        <v>43138.085439585935</v>
      </c>
      <c r="E65" t="s">
        <v>27</v>
      </c>
      <c r="F65" t="s">
        <v>35</v>
      </c>
      <c r="G65" t="s">
        <v>123</v>
      </c>
      <c r="H65" s="14">
        <v>460</v>
      </c>
      <c r="I65">
        <f>IF(TbRegistroEntradas[[#This Row],[Data do Caixa Realizado]]="",0,MONTH(TbRegistroEntradas[[#This Row],[Data do Caixa Realizado]]))</f>
        <v>2</v>
      </c>
      <c r="J65">
        <f>IF(TbRegistroEntradas[[#This Row],[Data do Caixa Realizado]]="",0,YEAR(TbRegistroEntradas[[#This Row],[Data do Caixa Realizado]]))</f>
        <v>2018</v>
      </c>
      <c r="K65">
        <f>IF(TbRegistroEntradas[[#This Row],[Data da Competência]]="",0,MONTH(TbRegistroEntradas[[#This Row],[Data da Competência]]))</f>
        <v>2</v>
      </c>
      <c r="L65">
        <f>IF(TbRegistroEntradas[[#This Row],[Data da Competência]]="",0,YEAR(TbRegistroEntradas[[#This Row],[Data da Competência]]))</f>
        <v>2018</v>
      </c>
      <c r="M65" s="53">
        <f>IF(TbRegistroEntradas[[#This Row],[Data do Caixa Previsto]]="",0,MONTH(TbRegistroEntradas[[#This Row],[Data do Caixa Previsto]]))</f>
        <v>2</v>
      </c>
      <c r="N65" s="53">
        <f>IF(TbRegistroEntradas[[#This Row],[Data do Caixa Previsto]]="",0,YEAR(TbRegistroEntradas[[#This Row],[Data do Caixa Previsto]]))</f>
        <v>2018</v>
      </c>
      <c r="O65" s="53" t="str">
        <f ca="1">IF(AND(TbRegistroEntradas[[#This Row],[Data do Caixa Previsto]]&lt;TODAY(),TbRegistroEntradas[[#This Row],[Data do Caixa Realizado]]=""),"Vencida","Não Vencida")</f>
        <v>Não Vencida</v>
      </c>
      <c r="P65" s="53" t="str">
        <f>IF(TbRegistroEntradas[[#This Row],[Data da Competência]]=TbRegistroEntradas[[#This Row],[Data do Caixa Previsto]],"Vista","Prazo")</f>
        <v>Prazo</v>
      </c>
      <c r="Q65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66" spans="2:17" x14ac:dyDescent="0.3">
      <c r="B66" s="8">
        <v>43190.17599100792</v>
      </c>
      <c r="C66" s="8">
        <v>43136</v>
      </c>
      <c r="D66" s="8">
        <v>43190.17599100792</v>
      </c>
      <c r="E66" t="s">
        <v>27</v>
      </c>
      <c r="F66" t="s">
        <v>37</v>
      </c>
      <c r="G66" t="s">
        <v>124</v>
      </c>
      <c r="H66" s="14">
        <v>964</v>
      </c>
      <c r="I66">
        <f>IF(TbRegistroEntradas[[#This Row],[Data do Caixa Realizado]]="",0,MONTH(TbRegistroEntradas[[#This Row],[Data do Caixa Realizado]]))</f>
        <v>3</v>
      </c>
      <c r="J66">
        <f>IF(TbRegistroEntradas[[#This Row],[Data do Caixa Realizado]]="",0,YEAR(TbRegistroEntradas[[#This Row],[Data do Caixa Realizado]]))</f>
        <v>2018</v>
      </c>
      <c r="K66">
        <f>IF(TbRegistroEntradas[[#This Row],[Data da Competência]]="",0,MONTH(TbRegistroEntradas[[#This Row],[Data da Competência]]))</f>
        <v>2</v>
      </c>
      <c r="L66">
        <f>IF(TbRegistroEntradas[[#This Row],[Data da Competência]]="",0,YEAR(TbRegistroEntradas[[#This Row],[Data da Competência]]))</f>
        <v>2018</v>
      </c>
      <c r="M66" s="53">
        <f>IF(TbRegistroEntradas[[#This Row],[Data do Caixa Previsto]]="",0,MONTH(TbRegistroEntradas[[#This Row],[Data do Caixa Previsto]]))</f>
        <v>3</v>
      </c>
      <c r="N66" s="53">
        <f>IF(TbRegistroEntradas[[#This Row],[Data do Caixa Previsto]]="",0,YEAR(TbRegistroEntradas[[#This Row],[Data do Caixa Previsto]]))</f>
        <v>2018</v>
      </c>
      <c r="O66" s="53" t="str">
        <f ca="1">IF(AND(TbRegistroEntradas[[#This Row],[Data do Caixa Previsto]]&lt;TODAY(),TbRegistroEntradas[[#This Row],[Data do Caixa Realizado]]=""),"Vencida","Não Vencida")</f>
        <v>Não Vencida</v>
      </c>
      <c r="P66" s="53" t="str">
        <f>IF(TbRegistroEntradas[[#This Row],[Data da Competência]]=TbRegistroEntradas[[#This Row],[Data do Caixa Previsto]],"Vista","Prazo")</f>
        <v>Prazo</v>
      </c>
      <c r="Q66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67" spans="2:17" x14ac:dyDescent="0.3">
      <c r="B67" s="8">
        <v>43145.940969359632</v>
      </c>
      <c r="C67" s="8">
        <v>43140</v>
      </c>
      <c r="D67" s="8">
        <v>43145.940969359632</v>
      </c>
      <c r="E67" t="s">
        <v>27</v>
      </c>
      <c r="F67" t="s">
        <v>36</v>
      </c>
      <c r="G67" t="s">
        <v>125</v>
      </c>
      <c r="H67" s="14">
        <v>3412</v>
      </c>
      <c r="I67">
        <f>IF(TbRegistroEntradas[[#This Row],[Data do Caixa Realizado]]="",0,MONTH(TbRegistroEntradas[[#This Row],[Data do Caixa Realizado]]))</f>
        <v>2</v>
      </c>
      <c r="J67">
        <f>IF(TbRegistroEntradas[[#This Row],[Data do Caixa Realizado]]="",0,YEAR(TbRegistroEntradas[[#This Row],[Data do Caixa Realizado]]))</f>
        <v>2018</v>
      </c>
      <c r="K67">
        <f>IF(TbRegistroEntradas[[#This Row],[Data da Competência]]="",0,MONTH(TbRegistroEntradas[[#This Row],[Data da Competência]]))</f>
        <v>2</v>
      </c>
      <c r="L67">
        <f>IF(TbRegistroEntradas[[#This Row],[Data da Competência]]="",0,YEAR(TbRegistroEntradas[[#This Row],[Data da Competência]]))</f>
        <v>2018</v>
      </c>
      <c r="M67" s="53">
        <f>IF(TbRegistroEntradas[[#This Row],[Data do Caixa Previsto]]="",0,MONTH(TbRegistroEntradas[[#This Row],[Data do Caixa Previsto]]))</f>
        <v>2</v>
      </c>
      <c r="N67" s="53">
        <f>IF(TbRegistroEntradas[[#This Row],[Data do Caixa Previsto]]="",0,YEAR(TbRegistroEntradas[[#This Row],[Data do Caixa Previsto]]))</f>
        <v>2018</v>
      </c>
      <c r="O67" s="53" t="str">
        <f ca="1">IF(AND(TbRegistroEntradas[[#This Row],[Data do Caixa Previsto]]&lt;TODAY(),TbRegistroEntradas[[#This Row],[Data do Caixa Realizado]]=""),"Vencida","Não Vencida")</f>
        <v>Não Vencida</v>
      </c>
      <c r="P67" s="53" t="str">
        <f>IF(TbRegistroEntradas[[#This Row],[Data da Competência]]=TbRegistroEntradas[[#This Row],[Data do Caixa Previsto]],"Vista","Prazo")</f>
        <v>Prazo</v>
      </c>
      <c r="Q67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68" spans="2:17" x14ac:dyDescent="0.3">
      <c r="B68" s="8">
        <v>43146.225751185812</v>
      </c>
      <c r="C68" s="8">
        <v>43142</v>
      </c>
      <c r="D68" s="8">
        <v>43146.225751185812</v>
      </c>
      <c r="E68" t="s">
        <v>27</v>
      </c>
      <c r="F68" t="s">
        <v>34</v>
      </c>
      <c r="G68" t="s">
        <v>126</v>
      </c>
      <c r="H68" s="14">
        <v>3095</v>
      </c>
      <c r="I68">
        <f>IF(TbRegistroEntradas[[#This Row],[Data do Caixa Realizado]]="",0,MONTH(TbRegistroEntradas[[#This Row],[Data do Caixa Realizado]]))</f>
        <v>2</v>
      </c>
      <c r="J68">
        <f>IF(TbRegistroEntradas[[#This Row],[Data do Caixa Realizado]]="",0,YEAR(TbRegistroEntradas[[#This Row],[Data do Caixa Realizado]]))</f>
        <v>2018</v>
      </c>
      <c r="K68">
        <f>IF(TbRegistroEntradas[[#This Row],[Data da Competência]]="",0,MONTH(TbRegistroEntradas[[#This Row],[Data da Competência]]))</f>
        <v>2</v>
      </c>
      <c r="L68">
        <f>IF(TbRegistroEntradas[[#This Row],[Data da Competência]]="",0,YEAR(TbRegistroEntradas[[#This Row],[Data da Competência]]))</f>
        <v>2018</v>
      </c>
      <c r="M68" s="53">
        <f>IF(TbRegistroEntradas[[#This Row],[Data do Caixa Previsto]]="",0,MONTH(TbRegistroEntradas[[#This Row],[Data do Caixa Previsto]]))</f>
        <v>2</v>
      </c>
      <c r="N68" s="53">
        <f>IF(TbRegistroEntradas[[#This Row],[Data do Caixa Previsto]]="",0,YEAR(TbRegistroEntradas[[#This Row],[Data do Caixa Previsto]]))</f>
        <v>2018</v>
      </c>
      <c r="O68" s="53" t="str">
        <f ca="1">IF(AND(TbRegistroEntradas[[#This Row],[Data do Caixa Previsto]]&lt;TODAY(),TbRegistroEntradas[[#This Row],[Data do Caixa Realizado]]=""),"Vencida","Não Vencida")</f>
        <v>Não Vencida</v>
      </c>
      <c r="P68" s="53" t="str">
        <f>IF(TbRegistroEntradas[[#This Row],[Data da Competência]]=TbRegistroEntradas[[#This Row],[Data do Caixa Previsto]],"Vista","Prazo")</f>
        <v>Prazo</v>
      </c>
      <c r="Q68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69" spans="2:17" x14ac:dyDescent="0.3">
      <c r="B69" s="8">
        <v>43193.467827275977</v>
      </c>
      <c r="C69" s="8">
        <v>43148</v>
      </c>
      <c r="D69" s="8">
        <v>43193.467827275977</v>
      </c>
      <c r="E69" t="s">
        <v>27</v>
      </c>
      <c r="F69" t="s">
        <v>35</v>
      </c>
      <c r="G69" t="s">
        <v>127</v>
      </c>
      <c r="H69" s="14">
        <v>1532</v>
      </c>
      <c r="I69">
        <f>IF(TbRegistroEntradas[[#This Row],[Data do Caixa Realizado]]="",0,MONTH(TbRegistroEntradas[[#This Row],[Data do Caixa Realizado]]))</f>
        <v>4</v>
      </c>
      <c r="J69">
        <f>IF(TbRegistroEntradas[[#This Row],[Data do Caixa Realizado]]="",0,YEAR(TbRegistroEntradas[[#This Row],[Data do Caixa Realizado]]))</f>
        <v>2018</v>
      </c>
      <c r="K69">
        <f>IF(TbRegistroEntradas[[#This Row],[Data da Competência]]="",0,MONTH(TbRegistroEntradas[[#This Row],[Data da Competência]]))</f>
        <v>2</v>
      </c>
      <c r="L69">
        <f>IF(TbRegistroEntradas[[#This Row],[Data da Competência]]="",0,YEAR(TbRegistroEntradas[[#This Row],[Data da Competência]]))</f>
        <v>2018</v>
      </c>
      <c r="M69" s="53">
        <f>IF(TbRegistroEntradas[[#This Row],[Data do Caixa Previsto]]="",0,MONTH(TbRegistroEntradas[[#This Row],[Data do Caixa Previsto]]))</f>
        <v>4</v>
      </c>
      <c r="N69" s="53">
        <f>IF(TbRegistroEntradas[[#This Row],[Data do Caixa Previsto]]="",0,YEAR(TbRegistroEntradas[[#This Row],[Data do Caixa Previsto]]))</f>
        <v>2018</v>
      </c>
      <c r="O69" s="53" t="str">
        <f ca="1">IF(AND(TbRegistroEntradas[[#This Row],[Data do Caixa Previsto]]&lt;TODAY(),TbRegistroEntradas[[#This Row],[Data do Caixa Realizado]]=""),"Vencida","Não Vencida")</f>
        <v>Não Vencida</v>
      </c>
      <c r="P69" s="53" t="str">
        <f>IF(TbRegistroEntradas[[#This Row],[Data da Competência]]=TbRegistroEntradas[[#This Row],[Data do Caixa Previsto]],"Vista","Prazo")</f>
        <v>Prazo</v>
      </c>
      <c r="Q69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70" spans="2:17" x14ac:dyDescent="0.3">
      <c r="B70" s="8">
        <v>43193.409618971542</v>
      </c>
      <c r="C70" s="8">
        <v>43193</v>
      </c>
      <c r="D70" s="8">
        <v>43193.409618971542</v>
      </c>
      <c r="E70" t="s">
        <v>27</v>
      </c>
      <c r="F70" t="s">
        <v>35</v>
      </c>
      <c r="G70" t="s">
        <v>128</v>
      </c>
      <c r="H70" s="14">
        <v>3726</v>
      </c>
      <c r="I70">
        <f>IF(TbRegistroEntradas[[#This Row],[Data do Caixa Realizado]]="",0,MONTH(TbRegistroEntradas[[#This Row],[Data do Caixa Realizado]]))</f>
        <v>4</v>
      </c>
      <c r="J70">
        <f>IF(TbRegistroEntradas[[#This Row],[Data do Caixa Realizado]]="",0,YEAR(TbRegistroEntradas[[#This Row],[Data do Caixa Realizado]]))</f>
        <v>2018</v>
      </c>
      <c r="K70">
        <f>IF(TbRegistroEntradas[[#This Row],[Data da Competência]]="",0,MONTH(TbRegistroEntradas[[#This Row],[Data da Competência]]))</f>
        <v>4</v>
      </c>
      <c r="L70">
        <f>IF(TbRegistroEntradas[[#This Row],[Data da Competência]]="",0,YEAR(TbRegistroEntradas[[#This Row],[Data da Competência]]))</f>
        <v>2018</v>
      </c>
      <c r="M70" s="53">
        <f>IF(TbRegistroEntradas[[#This Row],[Data do Caixa Previsto]]="",0,MONTH(TbRegistroEntradas[[#This Row],[Data do Caixa Previsto]]))</f>
        <v>4</v>
      </c>
      <c r="N70" s="53">
        <f>IF(TbRegistroEntradas[[#This Row],[Data do Caixa Previsto]]="",0,YEAR(TbRegistroEntradas[[#This Row],[Data do Caixa Previsto]]))</f>
        <v>2018</v>
      </c>
      <c r="O70" s="53" t="str">
        <f ca="1">IF(AND(TbRegistroEntradas[[#This Row],[Data do Caixa Previsto]]&lt;TODAY(),TbRegistroEntradas[[#This Row],[Data do Caixa Realizado]]=""),"Vencida","Não Vencida")</f>
        <v>Não Vencida</v>
      </c>
      <c r="P70" s="53" t="str">
        <f>IF(TbRegistroEntradas[[#This Row],[Data da Competência]]=TbRegistroEntradas[[#This Row],[Data do Caixa Previsto]],"Vista","Prazo")</f>
        <v>Prazo</v>
      </c>
      <c r="Q70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71" spans="2:17" x14ac:dyDescent="0.3">
      <c r="B71" s="8">
        <v>43261.17512133922</v>
      </c>
      <c r="C71" s="8">
        <v>43154</v>
      </c>
      <c r="D71" s="8">
        <v>43180.340377186512</v>
      </c>
      <c r="E71" t="s">
        <v>27</v>
      </c>
      <c r="F71" t="s">
        <v>36</v>
      </c>
      <c r="G71" t="s">
        <v>129</v>
      </c>
      <c r="H71" s="14">
        <v>4322</v>
      </c>
      <c r="I71">
        <f>IF(TbRegistroEntradas[[#This Row],[Data do Caixa Realizado]]="",0,MONTH(TbRegistroEntradas[[#This Row],[Data do Caixa Realizado]]))</f>
        <v>6</v>
      </c>
      <c r="J71">
        <f>IF(TbRegistroEntradas[[#This Row],[Data do Caixa Realizado]]="",0,YEAR(TbRegistroEntradas[[#This Row],[Data do Caixa Realizado]]))</f>
        <v>2018</v>
      </c>
      <c r="K71">
        <f>IF(TbRegistroEntradas[[#This Row],[Data da Competência]]="",0,MONTH(TbRegistroEntradas[[#This Row],[Data da Competência]]))</f>
        <v>2</v>
      </c>
      <c r="L71">
        <f>IF(TbRegistroEntradas[[#This Row],[Data da Competência]]="",0,YEAR(TbRegistroEntradas[[#This Row],[Data da Competência]]))</f>
        <v>2018</v>
      </c>
      <c r="M71" s="53">
        <f>IF(TbRegistroEntradas[[#This Row],[Data do Caixa Previsto]]="",0,MONTH(TbRegistroEntradas[[#This Row],[Data do Caixa Previsto]]))</f>
        <v>3</v>
      </c>
      <c r="N71" s="53">
        <f>IF(TbRegistroEntradas[[#This Row],[Data do Caixa Previsto]]="",0,YEAR(TbRegistroEntradas[[#This Row],[Data do Caixa Previsto]]))</f>
        <v>2018</v>
      </c>
      <c r="O71" s="53" t="str">
        <f ca="1">IF(AND(TbRegistroEntradas[[#This Row],[Data do Caixa Previsto]]&lt;TODAY(),TbRegistroEntradas[[#This Row],[Data do Caixa Realizado]]=""),"Vencida","Não Vencida")</f>
        <v>Não Vencida</v>
      </c>
      <c r="P71" s="53" t="str">
        <f>IF(TbRegistroEntradas[[#This Row],[Data da Competência]]=TbRegistroEntradas[[#This Row],[Data do Caixa Previsto]],"Vista","Prazo")</f>
        <v>Prazo</v>
      </c>
      <c r="Q71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80.834744152707572</v>
      </c>
    </row>
    <row r="72" spans="2:17" x14ac:dyDescent="0.3">
      <c r="B72" s="8">
        <v>43253.722363167413</v>
      </c>
      <c r="C72" s="8">
        <v>43156</v>
      </c>
      <c r="D72" s="8">
        <v>43205.753397319932</v>
      </c>
      <c r="E72" t="s">
        <v>27</v>
      </c>
      <c r="F72" t="s">
        <v>34</v>
      </c>
      <c r="G72" t="s">
        <v>130</v>
      </c>
      <c r="H72" s="14">
        <v>3998</v>
      </c>
      <c r="I72">
        <f>IF(TbRegistroEntradas[[#This Row],[Data do Caixa Realizado]]="",0,MONTH(TbRegistroEntradas[[#This Row],[Data do Caixa Realizado]]))</f>
        <v>6</v>
      </c>
      <c r="J72">
        <f>IF(TbRegistroEntradas[[#This Row],[Data do Caixa Realizado]]="",0,YEAR(TbRegistroEntradas[[#This Row],[Data do Caixa Realizado]]))</f>
        <v>2018</v>
      </c>
      <c r="K72">
        <f>IF(TbRegistroEntradas[[#This Row],[Data da Competência]]="",0,MONTH(TbRegistroEntradas[[#This Row],[Data da Competência]]))</f>
        <v>2</v>
      </c>
      <c r="L72">
        <f>IF(TbRegistroEntradas[[#This Row],[Data da Competência]]="",0,YEAR(TbRegistroEntradas[[#This Row],[Data da Competência]]))</f>
        <v>2018</v>
      </c>
      <c r="M72" s="53">
        <f>IF(TbRegistroEntradas[[#This Row],[Data do Caixa Previsto]]="",0,MONTH(TbRegistroEntradas[[#This Row],[Data do Caixa Previsto]]))</f>
        <v>4</v>
      </c>
      <c r="N72" s="53">
        <f>IF(TbRegistroEntradas[[#This Row],[Data do Caixa Previsto]]="",0,YEAR(TbRegistroEntradas[[#This Row],[Data do Caixa Previsto]]))</f>
        <v>2018</v>
      </c>
      <c r="O72" s="53" t="str">
        <f ca="1">IF(AND(TbRegistroEntradas[[#This Row],[Data do Caixa Previsto]]&lt;TODAY(),TbRegistroEntradas[[#This Row],[Data do Caixa Realizado]]=""),"Vencida","Não Vencida")</f>
        <v>Não Vencida</v>
      </c>
      <c r="P72" s="53" t="str">
        <f>IF(TbRegistroEntradas[[#This Row],[Data da Competência]]=TbRegistroEntradas[[#This Row],[Data do Caixa Previsto]],"Vista","Prazo")</f>
        <v>Prazo</v>
      </c>
      <c r="Q72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47.968965847481741</v>
      </c>
    </row>
    <row r="73" spans="2:17" x14ac:dyDescent="0.3">
      <c r="B73" s="8">
        <v>43268.070563511268</v>
      </c>
      <c r="C73" s="8">
        <v>43158</v>
      </c>
      <c r="D73" s="8">
        <v>43188.829564949629</v>
      </c>
      <c r="E73" t="s">
        <v>27</v>
      </c>
      <c r="F73" t="s">
        <v>34</v>
      </c>
      <c r="G73" t="s">
        <v>131</v>
      </c>
      <c r="H73" s="14">
        <v>3252</v>
      </c>
      <c r="I73">
        <f>IF(TbRegistroEntradas[[#This Row],[Data do Caixa Realizado]]="",0,MONTH(TbRegistroEntradas[[#This Row],[Data do Caixa Realizado]]))</f>
        <v>6</v>
      </c>
      <c r="J73">
        <f>IF(TbRegistroEntradas[[#This Row],[Data do Caixa Realizado]]="",0,YEAR(TbRegistroEntradas[[#This Row],[Data do Caixa Realizado]]))</f>
        <v>2018</v>
      </c>
      <c r="K73">
        <f>IF(TbRegistroEntradas[[#This Row],[Data da Competência]]="",0,MONTH(TbRegistroEntradas[[#This Row],[Data da Competência]]))</f>
        <v>2</v>
      </c>
      <c r="L73">
        <f>IF(TbRegistroEntradas[[#This Row],[Data da Competência]]="",0,YEAR(TbRegistroEntradas[[#This Row],[Data da Competência]]))</f>
        <v>2018</v>
      </c>
      <c r="M73" s="53">
        <f>IF(TbRegistroEntradas[[#This Row],[Data do Caixa Previsto]]="",0,MONTH(TbRegistroEntradas[[#This Row],[Data do Caixa Previsto]]))</f>
        <v>3</v>
      </c>
      <c r="N73" s="53">
        <f>IF(TbRegistroEntradas[[#This Row],[Data do Caixa Previsto]]="",0,YEAR(TbRegistroEntradas[[#This Row],[Data do Caixa Previsto]]))</f>
        <v>2018</v>
      </c>
      <c r="O73" s="53" t="str">
        <f ca="1">IF(AND(TbRegistroEntradas[[#This Row],[Data do Caixa Previsto]]&lt;TODAY(),TbRegistroEntradas[[#This Row],[Data do Caixa Realizado]]=""),"Vencida","Não Vencida")</f>
        <v>Não Vencida</v>
      </c>
      <c r="P73" s="53" t="str">
        <f>IF(TbRegistroEntradas[[#This Row],[Data da Competência]]=TbRegistroEntradas[[#This Row],[Data do Caixa Previsto]],"Vista","Prazo")</f>
        <v>Prazo</v>
      </c>
      <c r="Q73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79.240998561639572</v>
      </c>
    </row>
    <row r="74" spans="2:17" x14ac:dyDescent="0.3">
      <c r="B74" s="8">
        <v>43169.443907551016</v>
      </c>
      <c r="C74" s="8">
        <v>43160</v>
      </c>
      <c r="D74" s="8">
        <v>43169.443907551016</v>
      </c>
      <c r="E74" t="s">
        <v>27</v>
      </c>
      <c r="F74" t="s">
        <v>35</v>
      </c>
      <c r="G74" t="s">
        <v>132</v>
      </c>
      <c r="H74" s="14">
        <v>3701</v>
      </c>
      <c r="I74">
        <f>IF(TbRegistroEntradas[[#This Row],[Data do Caixa Realizado]]="",0,MONTH(TbRegistroEntradas[[#This Row],[Data do Caixa Realizado]]))</f>
        <v>3</v>
      </c>
      <c r="J74">
        <f>IF(TbRegistroEntradas[[#This Row],[Data do Caixa Realizado]]="",0,YEAR(TbRegistroEntradas[[#This Row],[Data do Caixa Realizado]]))</f>
        <v>2018</v>
      </c>
      <c r="K74">
        <f>IF(TbRegistroEntradas[[#This Row],[Data da Competência]]="",0,MONTH(TbRegistroEntradas[[#This Row],[Data da Competência]]))</f>
        <v>3</v>
      </c>
      <c r="L74">
        <f>IF(TbRegistroEntradas[[#This Row],[Data da Competência]]="",0,YEAR(TbRegistroEntradas[[#This Row],[Data da Competência]]))</f>
        <v>2018</v>
      </c>
      <c r="M74" s="53">
        <f>IF(TbRegistroEntradas[[#This Row],[Data do Caixa Previsto]]="",0,MONTH(TbRegistroEntradas[[#This Row],[Data do Caixa Previsto]]))</f>
        <v>3</v>
      </c>
      <c r="N74" s="53">
        <f>IF(TbRegistroEntradas[[#This Row],[Data do Caixa Previsto]]="",0,YEAR(TbRegistroEntradas[[#This Row],[Data do Caixa Previsto]]))</f>
        <v>2018</v>
      </c>
      <c r="O74" s="53" t="str">
        <f ca="1">IF(AND(TbRegistroEntradas[[#This Row],[Data do Caixa Previsto]]&lt;TODAY(),TbRegistroEntradas[[#This Row],[Data do Caixa Realizado]]=""),"Vencida","Não Vencida")</f>
        <v>Não Vencida</v>
      </c>
      <c r="P74" s="53" t="str">
        <f>IF(TbRegistroEntradas[[#This Row],[Data da Competência]]=TbRegistroEntradas[[#This Row],[Data do Caixa Previsto]],"Vista","Prazo")</f>
        <v>Prazo</v>
      </c>
      <c r="Q74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75" spans="2:17" x14ac:dyDescent="0.3">
      <c r="B75" s="8">
        <v>43202.812742183109</v>
      </c>
      <c r="C75" s="8">
        <v>43162</v>
      </c>
      <c r="D75" s="8">
        <v>43202.812742183109</v>
      </c>
      <c r="E75" t="s">
        <v>27</v>
      </c>
      <c r="F75" t="s">
        <v>37</v>
      </c>
      <c r="G75" t="s">
        <v>133</v>
      </c>
      <c r="H75" s="14">
        <v>1977</v>
      </c>
      <c r="I75">
        <f>IF(TbRegistroEntradas[[#This Row],[Data do Caixa Realizado]]="",0,MONTH(TbRegistroEntradas[[#This Row],[Data do Caixa Realizado]]))</f>
        <v>4</v>
      </c>
      <c r="J75">
        <f>IF(TbRegistroEntradas[[#This Row],[Data do Caixa Realizado]]="",0,YEAR(TbRegistroEntradas[[#This Row],[Data do Caixa Realizado]]))</f>
        <v>2018</v>
      </c>
      <c r="K75">
        <f>IF(TbRegistroEntradas[[#This Row],[Data da Competência]]="",0,MONTH(TbRegistroEntradas[[#This Row],[Data da Competência]]))</f>
        <v>3</v>
      </c>
      <c r="L75">
        <f>IF(TbRegistroEntradas[[#This Row],[Data da Competência]]="",0,YEAR(TbRegistroEntradas[[#This Row],[Data da Competência]]))</f>
        <v>2018</v>
      </c>
      <c r="M75" s="53">
        <f>IF(TbRegistroEntradas[[#This Row],[Data do Caixa Previsto]]="",0,MONTH(TbRegistroEntradas[[#This Row],[Data do Caixa Previsto]]))</f>
        <v>4</v>
      </c>
      <c r="N75" s="53">
        <f>IF(TbRegistroEntradas[[#This Row],[Data do Caixa Previsto]]="",0,YEAR(TbRegistroEntradas[[#This Row],[Data do Caixa Previsto]]))</f>
        <v>2018</v>
      </c>
      <c r="O75" s="53" t="str">
        <f ca="1">IF(AND(TbRegistroEntradas[[#This Row],[Data do Caixa Previsto]]&lt;TODAY(),TbRegistroEntradas[[#This Row],[Data do Caixa Realizado]]=""),"Vencida","Não Vencida")</f>
        <v>Não Vencida</v>
      </c>
      <c r="P75" s="53" t="str">
        <f>IF(TbRegistroEntradas[[#This Row],[Data da Competência]]=TbRegistroEntradas[[#This Row],[Data do Caixa Previsto]],"Vista","Prazo")</f>
        <v>Prazo</v>
      </c>
      <c r="Q75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76" spans="2:17" x14ac:dyDescent="0.3">
      <c r="B76" s="8">
        <v>43277.69194849013</v>
      </c>
      <c r="C76" s="8">
        <v>43163</v>
      </c>
      <c r="D76" s="8">
        <v>43211.113627447019</v>
      </c>
      <c r="E76" t="s">
        <v>27</v>
      </c>
      <c r="F76" t="s">
        <v>35</v>
      </c>
      <c r="G76" t="s">
        <v>134</v>
      </c>
      <c r="H76" s="14">
        <v>1217</v>
      </c>
      <c r="I76">
        <f>IF(TbRegistroEntradas[[#This Row],[Data do Caixa Realizado]]="",0,MONTH(TbRegistroEntradas[[#This Row],[Data do Caixa Realizado]]))</f>
        <v>6</v>
      </c>
      <c r="J76">
        <f>IF(TbRegistroEntradas[[#This Row],[Data do Caixa Realizado]]="",0,YEAR(TbRegistroEntradas[[#This Row],[Data do Caixa Realizado]]))</f>
        <v>2018</v>
      </c>
      <c r="K76">
        <f>IF(TbRegistroEntradas[[#This Row],[Data da Competência]]="",0,MONTH(TbRegistroEntradas[[#This Row],[Data da Competência]]))</f>
        <v>3</v>
      </c>
      <c r="L76">
        <f>IF(TbRegistroEntradas[[#This Row],[Data da Competência]]="",0,YEAR(TbRegistroEntradas[[#This Row],[Data da Competência]]))</f>
        <v>2018</v>
      </c>
      <c r="M76" s="53">
        <f>IF(TbRegistroEntradas[[#This Row],[Data do Caixa Previsto]]="",0,MONTH(TbRegistroEntradas[[#This Row],[Data do Caixa Previsto]]))</f>
        <v>4</v>
      </c>
      <c r="N76" s="53">
        <f>IF(TbRegistroEntradas[[#This Row],[Data do Caixa Previsto]]="",0,YEAR(TbRegistroEntradas[[#This Row],[Data do Caixa Previsto]]))</f>
        <v>2018</v>
      </c>
      <c r="O76" s="53" t="str">
        <f ca="1">IF(AND(TbRegistroEntradas[[#This Row],[Data do Caixa Previsto]]&lt;TODAY(),TbRegistroEntradas[[#This Row],[Data do Caixa Realizado]]=""),"Vencida","Não Vencida")</f>
        <v>Não Vencida</v>
      </c>
      <c r="P76" s="53" t="str">
        <f>IF(TbRegistroEntradas[[#This Row],[Data da Competência]]=TbRegistroEntradas[[#This Row],[Data do Caixa Previsto]],"Vista","Prazo")</f>
        <v>Prazo</v>
      </c>
      <c r="Q76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66.578321043110918</v>
      </c>
    </row>
    <row r="77" spans="2:17" x14ac:dyDescent="0.3">
      <c r="B77" s="8">
        <v>43283.817447549081</v>
      </c>
      <c r="C77" s="8">
        <v>43166</v>
      </c>
      <c r="D77" s="8">
        <v>43203.174471123319</v>
      </c>
      <c r="E77" t="s">
        <v>27</v>
      </c>
      <c r="F77" t="s">
        <v>33</v>
      </c>
      <c r="G77" t="s">
        <v>135</v>
      </c>
      <c r="H77" s="14">
        <v>1660</v>
      </c>
      <c r="I77">
        <f>IF(TbRegistroEntradas[[#This Row],[Data do Caixa Realizado]]="",0,MONTH(TbRegistroEntradas[[#This Row],[Data do Caixa Realizado]]))</f>
        <v>7</v>
      </c>
      <c r="J77">
        <f>IF(TbRegistroEntradas[[#This Row],[Data do Caixa Realizado]]="",0,YEAR(TbRegistroEntradas[[#This Row],[Data do Caixa Realizado]]))</f>
        <v>2018</v>
      </c>
      <c r="K77">
        <f>IF(TbRegistroEntradas[[#This Row],[Data da Competência]]="",0,MONTH(TbRegistroEntradas[[#This Row],[Data da Competência]]))</f>
        <v>3</v>
      </c>
      <c r="L77">
        <f>IF(TbRegistroEntradas[[#This Row],[Data da Competência]]="",0,YEAR(TbRegistroEntradas[[#This Row],[Data da Competência]]))</f>
        <v>2018</v>
      </c>
      <c r="M77" s="53">
        <f>IF(TbRegistroEntradas[[#This Row],[Data do Caixa Previsto]]="",0,MONTH(TbRegistroEntradas[[#This Row],[Data do Caixa Previsto]]))</f>
        <v>4</v>
      </c>
      <c r="N77" s="53">
        <f>IF(TbRegistroEntradas[[#This Row],[Data do Caixa Previsto]]="",0,YEAR(TbRegistroEntradas[[#This Row],[Data do Caixa Previsto]]))</f>
        <v>2018</v>
      </c>
      <c r="O77" s="53" t="str">
        <f ca="1">IF(AND(TbRegistroEntradas[[#This Row],[Data do Caixa Previsto]]&lt;TODAY(),TbRegistroEntradas[[#This Row],[Data do Caixa Realizado]]=""),"Vencida","Não Vencida")</f>
        <v>Não Vencida</v>
      </c>
      <c r="P77" s="53" t="str">
        <f>IF(TbRegistroEntradas[[#This Row],[Data da Competência]]=TbRegistroEntradas[[#This Row],[Data do Caixa Previsto]],"Vista","Prazo")</f>
        <v>Prazo</v>
      </c>
      <c r="Q77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80.642976425762754</v>
      </c>
    </row>
    <row r="78" spans="2:17" x14ac:dyDescent="0.3">
      <c r="B78" s="8">
        <v>43184.083980960655</v>
      </c>
      <c r="C78" s="8">
        <v>43169</v>
      </c>
      <c r="D78" s="8">
        <v>43184.083980960655</v>
      </c>
      <c r="E78" t="s">
        <v>27</v>
      </c>
      <c r="F78" t="s">
        <v>33</v>
      </c>
      <c r="G78" t="s">
        <v>136</v>
      </c>
      <c r="H78" s="14">
        <v>837</v>
      </c>
      <c r="I78">
        <f>IF(TbRegistroEntradas[[#This Row],[Data do Caixa Realizado]]="",0,MONTH(TbRegistroEntradas[[#This Row],[Data do Caixa Realizado]]))</f>
        <v>3</v>
      </c>
      <c r="J78">
        <f>IF(TbRegistroEntradas[[#This Row],[Data do Caixa Realizado]]="",0,YEAR(TbRegistroEntradas[[#This Row],[Data do Caixa Realizado]]))</f>
        <v>2018</v>
      </c>
      <c r="K78">
        <f>IF(TbRegistroEntradas[[#This Row],[Data da Competência]]="",0,MONTH(TbRegistroEntradas[[#This Row],[Data da Competência]]))</f>
        <v>3</v>
      </c>
      <c r="L78">
        <f>IF(TbRegistroEntradas[[#This Row],[Data da Competência]]="",0,YEAR(TbRegistroEntradas[[#This Row],[Data da Competência]]))</f>
        <v>2018</v>
      </c>
      <c r="M78" s="53">
        <f>IF(TbRegistroEntradas[[#This Row],[Data do Caixa Previsto]]="",0,MONTH(TbRegistroEntradas[[#This Row],[Data do Caixa Previsto]]))</f>
        <v>3</v>
      </c>
      <c r="N78" s="53">
        <f>IF(TbRegistroEntradas[[#This Row],[Data do Caixa Previsto]]="",0,YEAR(TbRegistroEntradas[[#This Row],[Data do Caixa Previsto]]))</f>
        <v>2018</v>
      </c>
      <c r="O78" s="53" t="str">
        <f ca="1">IF(AND(TbRegistroEntradas[[#This Row],[Data do Caixa Previsto]]&lt;TODAY(),TbRegistroEntradas[[#This Row],[Data do Caixa Realizado]]=""),"Vencida","Não Vencida")</f>
        <v>Não Vencida</v>
      </c>
      <c r="P78" s="53" t="str">
        <f>IF(TbRegistroEntradas[[#This Row],[Data da Competência]]=TbRegistroEntradas[[#This Row],[Data do Caixa Previsto]],"Vista","Prazo")</f>
        <v>Prazo</v>
      </c>
      <c r="Q78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79" spans="2:17" x14ac:dyDescent="0.3">
      <c r="B79" s="8">
        <v>43200.147034627953</v>
      </c>
      <c r="C79" s="8">
        <v>43171</v>
      </c>
      <c r="D79" s="8">
        <v>43200.147034627953</v>
      </c>
      <c r="E79" t="s">
        <v>27</v>
      </c>
      <c r="F79" t="s">
        <v>36</v>
      </c>
      <c r="G79" t="s">
        <v>137</v>
      </c>
      <c r="H79" s="14">
        <v>1838</v>
      </c>
      <c r="I79">
        <f>IF(TbRegistroEntradas[[#This Row],[Data do Caixa Realizado]]="",0,MONTH(TbRegistroEntradas[[#This Row],[Data do Caixa Realizado]]))</f>
        <v>4</v>
      </c>
      <c r="J79">
        <f>IF(TbRegistroEntradas[[#This Row],[Data do Caixa Realizado]]="",0,YEAR(TbRegistroEntradas[[#This Row],[Data do Caixa Realizado]]))</f>
        <v>2018</v>
      </c>
      <c r="K79">
        <f>IF(TbRegistroEntradas[[#This Row],[Data da Competência]]="",0,MONTH(TbRegistroEntradas[[#This Row],[Data da Competência]]))</f>
        <v>3</v>
      </c>
      <c r="L79">
        <f>IF(TbRegistroEntradas[[#This Row],[Data da Competência]]="",0,YEAR(TbRegistroEntradas[[#This Row],[Data da Competência]]))</f>
        <v>2018</v>
      </c>
      <c r="M79" s="53">
        <f>IF(TbRegistroEntradas[[#This Row],[Data do Caixa Previsto]]="",0,MONTH(TbRegistroEntradas[[#This Row],[Data do Caixa Previsto]]))</f>
        <v>4</v>
      </c>
      <c r="N79" s="53">
        <f>IF(TbRegistroEntradas[[#This Row],[Data do Caixa Previsto]]="",0,YEAR(TbRegistroEntradas[[#This Row],[Data do Caixa Previsto]]))</f>
        <v>2018</v>
      </c>
      <c r="O79" s="53" t="str">
        <f ca="1">IF(AND(TbRegistroEntradas[[#This Row],[Data do Caixa Previsto]]&lt;TODAY(),TbRegistroEntradas[[#This Row],[Data do Caixa Realizado]]=""),"Vencida","Não Vencida")</f>
        <v>Não Vencida</v>
      </c>
      <c r="P79" s="53" t="str">
        <f>IF(TbRegistroEntradas[[#This Row],[Data da Competência]]=TbRegistroEntradas[[#This Row],[Data do Caixa Previsto]],"Vista","Prazo")</f>
        <v>Prazo</v>
      </c>
      <c r="Q79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80" spans="2:17" x14ac:dyDescent="0.3">
      <c r="B80" s="8">
        <v>43207.818228031581</v>
      </c>
      <c r="C80" s="8">
        <v>43176</v>
      </c>
      <c r="D80" s="8">
        <v>43207.818228031581</v>
      </c>
      <c r="E80" t="s">
        <v>27</v>
      </c>
      <c r="F80" t="s">
        <v>37</v>
      </c>
      <c r="G80" t="s">
        <v>138</v>
      </c>
      <c r="H80" s="14">
        <v>4471</v>
      </c>
      <c r="I80">
        <f>IF(TbRegistroEntradas[[#This Row],[Data do Caixa Realizado]]="",0,MONTH(TbRegistroEntradas[[#This Row],[Data do Caixa Realizado]]))</f>
        <v>4</v>
      </c>
      <c r="J80">
        <f>IF(TbRegistroEntradas[[#This Row],[Data do Caixa Realizado]]="",0,YEAR(TbRegistroEntradas[[#This Row],[Data do Caixa Realizado]]))</f>
        <v>2018</v>
      </c>
      <c r="K80">
        <f>IF(TbRegistroEntradas[[#This Row],[Data da Competência]]="",0,MONTH(TbRegistroEntradas[[#This Row],[Data da Competência]]))</f>
        <v>3</v>
      </c>
      <c r="L80">
        <f>IF(TbRegistroEntradas[[#This Row],[Data da Competência]]="",0,YEAR(TbRegistroEntradas[[#This Row],[Data da Competência]]))</f>
        <v>2018</v>
      </c>
      <c r="M80" s="53">
        <f>IF(TbRegistroEntradas[[#This Row],[Data do Caixa Previsto]]="",0,MONTH(TbRegistroEntradas[[#This Row],[Data do Caixa Previsto]]))</f>
        <v>4</v>
      </c>
      <c r="N80" s="53">
        <f>IF(TbRegistroEntradas[[#This Row],[Data do Caixa Previsto]]="",0,YEAR(TbRegistroEntradas[[#This Row],[Data do Caixa Previsto]]))</f>
        <v>2018</v>
      </c>
      <c r="O80" s="53" t="str">
        <f ca="1">IF(AND(TbRegistroEntradas[[#This Row],[Data do Caixa Previsto]]&lt;TODAY(),TbRegistroEntradas[[#This Row],[Data do Caixa Realizado]]=""),"Vencida","Não Vencida")</f>
        <v>Não Vencida</v>
      </c>
      <c r="P80" s="53" t="str">
        <f>IF(TbRegistroEntradas[[#This Row],[Data da Competência]]=TbRegistroEntradas[[#This Row],[Data do Caixa Previsto]],"Vista","Prazo")</f>
        <v>Prazo</v>
      </c>
      <c r="Q80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81" spans="2:17" x14ac:dyDescent="0.3">
      <c r="B81" s="8">
        <v>43234.457970610572</v>
      </c>
      <c r="C81" s="8">
        <v>43177</v>
      </c>
      <c r="D81" s="8">
        <v>43234.457970610572</v>
      </c>
      <c r="E81" t="s">
        <v>27</v>
      </c>
      <c r="F81" t="s">
        <v>36</v>
      </c>
      <c r="G81" t="s">
        <v>139</v>
      </c>
      <c r="H81" s="14">
        <v>3540</v>
      </c>
      <c r="I81">
        <f>IF(TbRegistroEntradas[[#This Row],[Data do Caixa Realizado]]="",0,MONTH(TbRegistroEntradas[[#This Row],[Data do Caixa Realizado]]))</f>
        <v>5</v>
      </c>
      <c r="J81">
        <f>IF(TbRegistroEntradas[[#This Row],[Data do Caixa Realizado]]="",0,YEAR(TbRegistroEntradas[[#This Row],[Data do Caixa Realizado]]))</f>
        <v>2018</v>
      </c>
      <c r="K81">
        <f>IF(TbRegistroEntradas[[#This Row],[Data da Competência]]="",0,MONTH(TbRegistroEntradas[[#This Row],[Data da Competência]]))</f>
        <v>3</v>
      </c>
      <c r="L81">
        <f>IF(TbRegistroEntradas[[#This Row],[Data da Competência]]="",0,YEAR(TbRegistroEntradas[[#This Row],[Data da Competência]]))</f>
        <v>2018</v>
      </c>
      <c r="M81" s="53">
        <f>IF(TbRegistroEntradas[[#This Row],[Data do Caixa Previsto]]="",0,MONTH(TbRegistroEntradas[[#This Row],[Data do Caixa Previsto]]))</f>
        <v>5</v>
      </c>
      <c r="N81" s="53">
        <f>IF(TbRegistroEntradas[[#This Row],[Data do Caixa Previsto]]="",0,YEAR(TbRegistroEntradas[[#This Row],[Data do Caixa Previsto]]))</f>
        <v>2018</v>
      </c>
      <c r="O81" s="53" t="str">
        <f ca="1">IF(AND(TbRegistroEntradas[[#This Row],[Data do Caixa Previsto]]&lt;TODAY(),TbRegistroEntradas[[#This Row],[Data do Caixa Realizado]]=""),"Vencida","Não Vencida")</f>
        <v>Não Vencida</v>
      </c>
      <c r="P81" s="53" t="str">
        <f>IF(TbRegistroEntradas[[#This Row],[Data da Competência]]=TbRegistroEntradas[[#This Row],[Data do Caixa Previsto]],"Vista","Prazo")</f>
        <v>Prazo</v>
      </c>
      <c r="Q81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82" spans="2:17" x14ac:dyDescent="0.3">
      <c r="B82" s="8">
        <v>43220.822063654756</v>
      </c>
      <c r="C82" s="8">
        <v>43180</v>
      </c>
      <c r="D82" s="8">
        <v>43220.822063654756</v>
      </c>
      <c r="E82" t="s">
        <v>27</v>
      </c>
      <c r="F82" t="s">
        <v>36</v>
      </c>
      <c r="G82" t="s">
        <v>140</v>
      </c>
      <c r="H82" s="14">
        <v>4606</v>
      </c>
      <c r="I82">
        <f>IF(TbRegistroEntradas[[#This Row],[Data do Caixa Realizado]]="",0,MONTH(TbRegistroEntradas[[#This Row],[Data do Caixa Realizado]]))</f>
        <v>4</v>
      </c>
      <c r="J82">
        <f>IF(TbRegistroEntradas[[#This Row],[Data do Caixa Realizado]]="",0,YEAR(TbRegistroEntradas[[#This Row],[Data do Caixa Realizado]]))</f>
        <v>2018</v>
      </c>
      <c r="K82">
        <f>IF(TbRegistroEntradas[[#This Row],[Data da Competência]]="",0,MONTH(TbRegistroEntradas[[#This Row],[Data da Competência]]))</f>
        <v>3</v>
      </c>
      <c r="L82">
        <f>IF(TbRegistroEntradas[[#This Row],[Data da Competência]]="",0,YEAR(TbRegistroEntradas[[#This Row],[Data da Competência]]))</f>
        <v>2018</v>
      </c>
      <c r="M82" s="53">
        <f>IF(TbRegistroEntradas[[#This Row],[Data do Caixa Previsto]]="",0,MONTH(TbRegistroEntradas[[#This Row],[Data do Caixa Previsto]]))</f>
        <v>4</v>
      </c>
      <c r="N82" s="53">
        <f>IF(TbRegistroEntradas[[#This Row],[Data do Caixa Previsto]]="",0,YEAR(TbRegistroEntradas[[#This Row],[Data do Caixa Previsto]]))</f>
        <v>2018</v>
      </c>
      <c r="O82" s="53" t="str">
        <f ca="1">IF(AND(TbRegistroEntradas[[#This Row],[Data do Caixa Previsto]]&lt;TODAY(),TbRegistroEntradas[[#This Row],[Data do Caixa Realizado]]=""),"Vencida","Não Vencida")</f>
        <v>Não Vencida</v>
      </c>
      <c r="P82" s="53" t="str">
        <f>IF(TbRegistroEntradas[[#This Row],[Data da Competência]]=TbRegistroEntradas[[#This Row],[Data do Caixa Previsto]],"Vista","Prazo")</f>
        <v>Prazo</v>
      </c>
      <c r="Q82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83" spans="2:17" x14ac:dyDescent="0.3">
      <c r="B83" s="8" t="s">
        <v>70</v>
      </c>
      <c r="C83" s="8">
        <v>43182</v>
      </c>
      <c r="D83" s="8">
        <v>43199.063059084292</v>
      </c>
      <c r="E83" t="s">
        <v>27</v>
      </c>
      <c r="F83" t="s">
        <v>34</v>
      </c>
      <c r="G83" t="s">
        <v>141</v>
      </c>
      <c r="H83" s="14">
        <v>2388</v>
      </c>
      <c r="I83">
        <f>IF(TbRegistroEntradas[[#This Row],[Data do Caixa Realizado]]="",0,MONTH(TbRegistroEntradas[[#This Row],[Data do Caixa Realizado]]))</f>
        <v>0</v>
      </c>
      <c r="J83">
        <f>IF(TbRegistroEntradas[[#This Row],[Data do Caixa Realizado]]="",0,YEAR(TbRegistroEntradas[[#This Row],[Data do Caixa Realizado]]))</f>
        <v>0</v>
      </c>
      <c r="K83">
        <f>IF(TbRegistroEntradas[[#This Row],[Data da Competência]]="",0,MONTH(TbRegistroEntradas[[#This Row],[Data da Competência]]))</f>
        <v>3</v>
      </c>
      <c r="L83">
        <f>IF(TbRegistroEntradas[[#This Row],[Data da Competência]]="",0,YEAR(TbRegistroEntradas[[#This Row],[Data da Competência]]))</f>
        <v>2018</v>
      </c>
      <c r="M83" s="53">
        <f>IF(TbRegistroEntradas[[#This Row],[Data do Caixa Previsto]]="",0,MONTH(TbRegistroEntradas[[#This Row],[Data do Caixa Previsto]]))</f>
        <v>4</v>
      </c>
      <c r="N83" s="53">
        <f>IF(TbRegistroEntradas[[#This Row],[Data do Caixa Previsto]]="",0,YEAR(TbRegistroEntradas[[#This Row],[Data do Caixa Previsto]]))</f>
        <v>2018</v>
      </c>
      <c r="O83" s="53" t="str">
        <f ca="1">IF(AND(TbRegistroEntradas[[#This Row],[Data do Caixa Previsto]]&lt;TODAY(),TbRegistroEntradas[[#This Row],[Data do Caixa Realizado]]=""),"Vencida","Não Vencida")</f>
        <v>Vencida</v>
      </c>
      <c r="P83" s="53" t="str">
        <f>IF(TbRegistroEntradas[[#This Row],[Data da Competência]]=TbRegistroEntradas[[#This Row],[Data do Caixa Previsto]],"Vista","Prazo")</f>
        <v>Prazo</v>
      </c>
      <c r="Q83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2409.936940915708</v>
      </c>
    </row>
    <row r="84" spans="2:17" x14ac:dyDescent="0.3">
      <c r="B84" s="8">
        <v>43187.544050679455</v>
      </c>
      <c r="C84" s="8">
        <v>43184</v>
      </c>
      <c r="D84" s="8">
        <v>43187.544050679455</v>
      </c>
      <c r="E84" t="s">
        <v>27</v>
      </c>
      <c r="F84" t="s">
        <v>33</v>
      </c>
      <c r="G84" t="s">
        <v>142</v>
      </c>
      <c r="H84" s="14">
        <v>2303</v>
      </c>
      <c r="I84">
        <f>IF(TbRegistroEntradas[[#This Row],[Data do Caixa Realizado]]="",0,MONTH(TbRegistroEntradas[[#This Row],[Data do Caixa Realizado]]))</f>
        <v>3</v>
      </c>
      <c r="J84">
        <f>IF(TbRegistroEntradas[[#This Row],[Data do Caixa Realizado]]="",0,YEAR(TbRegistroEntradas[[#This Row],[Data do Caixa Realizado]]))</f>
        <v>2018</v>
      </c>
      <c r="K84">
        <f>IF(TbRegistroEntradas[[#This Row],[Data da Competência]]="",0,MONTH(TbRegistroEntradas[[#This Row],[Data da Competência]]))</f>
        <v>3</v>
      </c>
      <c r="L84">
        <f>IF(TbRegistroEntradas[[#This Row],[Data da Competência]]="",0,YEAR(TbRegistroEntradas[[#This Row],[Data da Competência]]))</f>
        <v>2018</v>
      </c>
      <c r="M84" s="53">
        <f>IF(TbRegistroEntradas[[#This Row],[Data do Caixa Previsto]]="",0,MONTH(TbRegistroEntradas[[#This Row],[Data do Caixa Previsto]]))</f>
        <v>3</v>
      </c>
      <c r="N84" s="53">
        <f>IF(TbRegistroEntradas[[#This Row],[Data do Caixa Previsto]]="",0,YEAR(TbRegistroEntradas[[#This Row],[Data do Caixa Previsto]]))</f>
        <v>2018</v>
      </c>
      <c r="O84" s="53" t="str">
        <f ca="1">IF(AND(TbRegistroEntradas[[#This Row],[Data do Caixa Previsto]]&lt;TODAY(),TbRegistroEntradas[[#This Row],[Data do Caixa Realizado]]=""),"Vencida","Não Vencida")</f>
        <v>Não Vencida</v>
      </c>
      <c r="P84" s="53" t="str">
        <f>IF(TbRegistroEntradas[[#This Row],[Data da Competência]]=TbRegistroEntradas[[#This Row],[Data do Caixa Previsto]],"Vista","Prazo")</f>
        <v>Prazo</v>
      </c>
      <c r="Q84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85" spans="2:17" x14ac:dyDescent="0.3">
      <c r="B85" s="8">
        <v>43205.258677559352</v>
      </c>
      <c r="C85" s="8">
        <v>43187</v>
      </c>
      <c r="D85" s="8">
        <v>43205.258677559352</v>
      </c>
      <c r="E85" t="s">
        <v>27</v>
      </c>
      <c r="F85" t="s">
        <v>37</v>
      </c>
      <c r="G85" t="s">
        <v>143</v>
      </c>
      <c r="H85" s="14">
        <v>1662</v>
      </c>
      <c r="I85">
        <f>IF(TbRegistroEntradas[[#This Row],[Data do Caixa Realizado]]="",0,MONTH(TbRegistroEntradas[[#This Row],[Data do Caixa Realizado]]))</f>
        <v>4</v>
      </c>
      <c r="J85">
        <f>IF(TbRegistroEntradas[[#This Row],[Data do Caixa Realizado]]="",0,YEAR(TbRegistroEntradas[[#This Row],[Data do Caixa Realizado]]))</f>
        <v>2018</v>
      </c>
      <c r="K85">
        <f>IF(TbRegistroEntradas[[#This Row],[Data da Competência]]="",0,MONTH(TbRegistroEntradas[[#This Row],[Data da Competência]]))</f>
        <v>3</v>
      </c>
      <c r="L85">
        <f>IF(TbRegistroEntradas[[#This Row],[Data da Competência]]="",0,YEAR(TbRegistroEntradas[[#This Row],[Data da Competência]]))</f>
        <v>2018</v>
      </c>
      <c r="M85" s="53">
        <f>IF(TbRegistroEntradas[[#This Row],[Data do Caixa Previsto]]="",0,MONTH(TbRegistroEntradas[[#This Row],[Data do Caixa Previsto]]))</f>
        <v>4</v>
      </c>
      <c r="N85" s="53">
        <f>IF(TbRegistroEntradas[[#This Row],[Data do Caixa Previsto]]="",0,YEAR(TbRegistroEntradas[[#This Row],[Data do Caixa Previsto]]))</f>
        <v>2018</v>
      </c>
      <c r="O85" s="53" t="str">
        <f ca="1">IF(AND(TbRegistroEntradas[[#This Row],[Data do Caixa Previsto]]&lt;TODAY(),TbRegistroEntradas[[#This Row],[Data do Caixa Realizado]]=""),"Vencida","Não Vencida")</f>
        <v>Não Vencida</v>
      </c>
      <c r="P85" s="53" t="str">
        <f>IF(TbRegistroEntradas[[#This Row],[Data da Competência]]=TbRegistroEntradas[[#This Row],[Data do Caixa Previsto]],"Vista","Prazo")</f>
        <v>Prazo</v>
      </c>
      <c r="Q85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86" spans="2:17" x14ac:dyDescent="0.3">
      <c r="B86" s="8">
        <v>43228.479640925485</v>
      </c>
      <c r="C86" s="8">
        <v>43189</v>
      </c>
      <c r="D86" s="8">
        <v>43228.479640925485</v>
      </c>
      <c r="E86" t="s">
        <v>27</v>
      </c>
      <c r="F86" t="s">
        <v>34</v>
      </c>
      <c r="G86" t="s">
        <v>144</v>
      </c>
      <c r="H86" s="14">
        <v>3241</v>
      </c>
      <c r="I86">
        <f>IF(TbRegistroEntradas[[#This Row],[Data do Caixa Realizado]]="",0,MONTH(TbRegistroEntradas[[#This Row],[Data do Caixa Realizado]]))</f>
        <v>5</v>
      </c>
      <c r="J86">
        <f>IF(TbRegistroEntradas[[#This Row],[Data do Caixa Realizado]]="",0,YEAR(TbRegistroEntradas[[#This Row],[Data do Caixa Realizado]]))</f>
        <v>2018</v>
      </c>
      <c r="K86">
        <f>IF(TbRegistroEntradas[[#This Row],[Data da Competência]]="",0,MONTH(TbRegistroEntradas[[#This Row],[Data da Competência]]))</f>
        <v>3</v>
      </c>
      <c r="L86">
        <f>IF(TbRegistroEntradas[[#This Row],[Data da Competência]]="",0,YEAR(TbRegistroEntradas[[#This Row],[Data da Competência]]))</f>
        <v>2018</v>
      </c>
      <c r="M86" s="53">
        <f>IF(TbRegistroEntradas[[#This Row],[Data do Caixa Previsto]]="",0,MONTH(TbRegistroEntradas[[#This Row],[Data do Caixa Previsto]]))</f>
        <v>5</v>
      </c>
      <c r="N86" s="53">
        <f>IF(TbRegistroEntradas[[#This Row],[Data do Caixa Previsto]]="",0,YEAR(TbRegistroEntradas[[#This Row],[Data do Caixa Previsto]]))</f>
        <v>2018</v>
      </c>
      <c r="O86" s="53" t="str">
        <f ca="1">IF(AND(TbRegistroEntradas[[#This Row],[Data do Caixa Previsto]]&lt;TODAY(),TbRegistroEntradas[[#This Row],[Data do Caixa Realizado]]=""),"Vencida","Não Vencida")</f>
        <v>Não Vencida</v>
      </c>
      <c r="P86" s="53" t="str">
        <f>IF(TbRegistroEntradas[[#This Row],[Data da Competência]]=TbRegistroEntradas[[#This Row],[Data do Caixa Previsto]],"Vista","Prazo")</f>
        <v>Prazo</v>
      </c>
      <c r="Q86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87" spans="2:17" x14ac:dyDescent="0.3">
      <c r="B87" s="8">
        <v>43228.526498585612</v>
      </c>
      <c r="C87" s="8">
        <v>43190</v>
      </c>
      <c r="D87" s="8">
        <v>43228.526498585612</v>
      </c>
      <c r="E87" t="s">
        <v>27</v>
      </c>
      <c r="F87" t="s">
        <v>37</v>
      </c>
      <c r="G87" t="s">
        <v>145</v>
      </c>
      <c r="H87" s="14">
        <v>4017</v>
      </c>
      <c r="I87">
        <f>IF(TbRegistroEntradas[[#This Row],[Data do Caixa Realizado]]="",0,MONTH(TbRegistroEntradas[[#This Row],[Data do Caixa Realizado]]))</f>
        <v>5</v>
      </c>
      <c r="J87">
        <f>IF(TbRegistroEntradas[[#This Row],[Data do Caixa Realizado]]="",0,YEAR(TbRegistroEntradas[[#This Row],[Data do Caixa Realizado]]))</f>
        <v>2018</v>
      </c>
      <c r="K87">
        <f>IF(TbRegistroEntradas[[#This Row],[Data da Competência]]="",0,MONTH(TbRegistroEntradas[[#This Row],[Data da Competência]]))</f>
        <v>3</v>
      </c>
      <c r="L87">
        <f>IF(TbRegistroEntradas[[#This Row],[Data da Competência]]="",0,YEAR(TbRegistroEntradas[[#This Row],[Data da Competência]]))</f>
        <v>2018</v>
      </c>
      <c r="M87" s="53">
        <f>IF(TbRegistroEntradas[[#This Row],[Data do Caixa Previsto]]="",0,MONTH(TbRegistroEntradas[[#This Row],[Data do Caixa Previsto]]))</f>
        <v>5</v>
      </c>
      <c r="N87" s="53">
        <f>IF(TbRegistroEntradas[[#This Row],[Data do Caixa Previsto]]="",0,YEAR(TbRegistroEntradas[[#This Row],[Data do Caixa Previsto]]))</f>
        <v>2018</v>
      </c>
      <c r="O87" s="53" t="str">
        <f ca="1">IF(AND(TbRegistroEntradas[[#This Row],[Data do Caixa Previsto]]&lt;TODAY(),TbRegistroEntradas[[#This Row],[Data do Caixa Realizado]]=""),"Vencida","Não Vencida")</f>
        <v>Não Vencida</v>
      </c>
      <c r="P87" s="53" t="str">
        <f>IF(TbRegistroEntradas[[#This Row],[Data da Competência]]=TbRegistroEntradas[[#This Row],[Data do Caixa Previsto]],"Vista","Prazo")</f>
        <v>Prazo</v>
      </c>
      <c r="Q87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88" spans="2:17" x14ac:dyDescent="0.3">
      <c r="B88" s="8">
        <v>43289.577504759094</v>
      </c>
      <c r="C88" s="8">
        <v>43193</v>
      </c>
      <c r="D88" s="8">
        <v>43251.952991180231</v>
      </c>
      <c r="E88" t="s">
        <v>27</v>
      </c>
      <c r="F88" t="s">
        <v>36</v>
      </c>
      <c r="G88" t="s">
        <v>146</v>
      </c>
      <c r="H88" s="14">
        <v>3586</v>
      </c>
      <c r="I88">
        <f>IF(TbRegistroEntradas[[#This Row],[Data do Caixa Realizado]]="",0,MONTH(TbRegistroEntradas[[#This Row],[Data do Caixa Realizado]]))</f>
        <v>7</v>
      </c>
      <c r="J88">
        <f>IF(TbRegistroEntradas[[#This Row],[Data do Caixa Realizado]]="",0,YEAR(TbRegistroEntradas[[#This Row],[Data do Caixa Realizado]]))</f>
        <v>2018</v>
      </c>
      <c r="K88">
        <f>IF(TbRegistroEntradas[[#This Row],[Data da Competência]]="",0,MONTH(TbRegistroEntradas[[#This Row],[Data da Competência]]))</f>
        <v>4</v>
      </c>
      <c r="L88">
        <f>IF(TbRegistroEntradas[[#This Row],[Data da Competência]]="",0,YEAR(TbRegistroEntradas[[#This Row],[Data da Competência]]))</f>
        <v>2018</v>
      </c>
      <c r="M88" s="53">
        <f>IF(TbRegistroEntradas[[#This Row],[Data do Caixa Previsto]]="",0,MONTH(TbRegistroEntradas[[#This Row],[Data do Caixa Previsto]]))</f>
        <v>5</v>
      </c>
      <c r="N88" s="53">
        <f>IF(TbRegistroEntradas[[#This Row],[Data do Caixa Previsto]]="",0,YEAR(TbRegistroEntradas[[#This Row],[Data do Caixa Previsto]]))</f>
        <v>2018</v>
      </c>
      <c r="O88" s="53" t="str">
        <f ca="1">IF(AND(TbRegistroEntradas[[#This Row],[Data do Caixa Previsto]]&lt;TODAY(),TbRegistroEntradas[[#This Row],[Data do Caixa Realizado]]=""),"Vencida","Não Vencida")</f>
        <v>Não Vencida</v>
      </c>
      <c r="P88" s="53" t="str">
        <f>IF(TbRegistroEntradas[[#This Row],[Data da Competência]]=TbRegistroEntradas[[#This Row],[Data do Caixa Previsto]],"Vista","Prazo")</f>
        <v>Prazo</v>
      </c>
      <c r="Q88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37.624513578863116</v>
      </c>
    </row>
    <row r="89" spans="2:17" x14ac:dyDescent="0.3">
      <c r="B89" s="8">
        <v>43221.091190775791</v>
      </c>
      <c r="C89" s="8">
        <v>43196</v>
      </c>
      <c r="D89" s="8">
        <v>43221.091190775791</v>
      </c>
      <c r="E89" t="s">
        <v>27</v>
      </c>
      <c r="F89" t="s">
        <v>34</v>
      </c>
      <c r="G89" t="s">
        <v>147</v>
      </c>
      <c r="H89" s="14">
        <v>4467</v>
      </c>
      <c r="I89">
        <f>IF(TbRegistroEntradas[[#This Row],[Data do Caixa Realizado]]="",0,MONTH(TbRegistroEntradas[[#This Row],[Data do Caixa Realizado]]))</f>
        <v>5</v>
      </c>
      <c r="J89">
        <f>IF(TbRegistroEntradas[[#This Row],[Data do Caixa Realizado]]="",0,YEAR(TbRegistroEntradas[[#This Row],[Data do Caixa Realizado]]))</f>
        <v>2018</v>
      </c>
      <c r="K89">
        <f>IF(TbRegistroEntradas[[#This Row],[Data da Competência]]="",0,MONTH(TbRegistroEntradas[[#This Row],[Data da Competência]]))</f>
        <v>4</v>
      </c>
      <c r="L89">
        <f>IF(TbRegistroEntradas[[#This Row],[Data da Competência]]="",0,YEAR(TbRegistroEntradas[[#This Row],[Data da Competência]]))</f>
        <v>2018</v>
      </c>
      <c r="M89" s="53">
        <f>IF(TbRegistroEntradas[[#This Row],[Data do Caixa Previsto]]="",0,MONTH(TbRegistroEntradas[[#This Row],[Data do Caixa Previsto]]))</f>
        <v>5</v>
      </c>
      <c r="N89" s="53">
        <f>IF(TbRegistroEntradas[[#This Row],[Data do Caixa Previsto]]="",0,YEAR(TbRegistroEntradas[[#This Row],[Data do Caixa Previsto]]))</f>
        <v>2018</v>
      </c>
      <c r="O89" s="53" t="str">
        <f ca="1">IF(AND(TbRegistroEntradas[[#This Row],[Data do Caixa Previsto]]&lt;TODAY(),TbRegistroEntradas[[#This Row],[Data do Caixa Realizado]]=""),"Vencida","Não Vencida")</f>
        <v>Não Vencida</v>
      </c>
      <c r="P89" s="53" t="str">
        <f>IF(TbRegistroEntradas[[#This Row],[Data da Competência]]=TbRegistroEntradas[[#This Row],[Data do Caixa Previsto]],"Vista","Prazo")</f>
        <v>Prazo</v>
      </c>
      <c r="Q89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90" spans="2:17" x14ac:dyDescent="0.3">
      <c r="B90" s="8">
        <v>43251.171133907985</v>
      </c>
      <c r="C90" s="8">
        <v>43199</v>
      </c>
      <c r="D90" s="8">
        <v>43251.171133907985</v>
      </c>
      <c r="E90" t="s">
        <v>27</v>
      </c>
      <c r="F90" t="s">
        <v>36</v>
      </c>
      <c r="G90" t="s">
        <v>148</v>
      </c>
      <c r="H90" s="14">
        <v>4262</v>
      </c>
      <c r="I90">
        <f>IF(TbRegistroEntradas[[#This Row],[Data do Caixa Realizado]]="",0,MONTH(TbRegistroEntradas[[#This Row],[Data do Caixa Realizado]]))</f>
        <v>5</v>
      </c>
      <c r="J90">
        <f>IF(TbRegistroEntradas[[#This Row],[Data do Caixa Realizado]]="",0,YEAR(TbRegistroEntradas[[#This Row],[Data do Caixa Realizado]]))</f>
        <v>2018</v>
      </c>
      <c r="K90">
        <f>IF(TbRegistroEntradas[[#This Row],[Data da Competência]]="",0,MONTH(TbRegistroEntradas[[#This Row],[Data da Competência]]))</f>
        <v>4</v>
      </c>
      <c r="L90">
        <f>IF(TbRegistroEntradas[[#This Row],[Data da Competência]]="",0,YEAR(TbRegistroEntradas[[#This Row],[Data da Competência]]))</f>
        <v>2018</v>
      </c>
      <c r="M90" s="53">
        <f>IF(TbRegistroEntradas[[#This Row],[Data do Caixa Previsto]]="",0,MONTH(TbRegistroEntradas[[#This Row],[Data do Caixa Previsto]]))</f>
        <v>5</v>
      </c>
      <c r="N90" s="53">
        <f>IF(TbRegistroEntradas[[#This Row],[Data do Caixa Previsto]]="",0,YEAR(TbRegistroEntradas[[#This Row],[Data do Caixa Previsto]]))</f>
        <v>2018</v>
      </c>
      <c r="O90" s="53" t="str">
        <f ca="1">IF(AND(TbRegistroEntradas[[#This Row],[Data do Caixa Previsto]]&lt;TODAY(),TbRegistroEntradas[[#This Row],[Data do Caixa Realizado]]=""),"Vencida","Não Vencida")</f>
        <v>Não Vencida</v>
      </c>
      <c r="P90" s="53" t="str">
        <f>IF(TbRegistroEntradas[[#This Row],[Data da Competência]]=TbRegistroEntradas[[#This Row],[Data do Caixa Previsto]],"Vista","Prazo")</f>
        <v>Prazo</v>
      </c>
      <c r="Q90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91" spans="2:17" x14ac:dyDescent="0.3">
      <c r="B91" s="8">
        <v>43264.89293629631</v>
      </c>
      <c r="C91" s="8">
        <v>43201</v>
      </c>
      <c r="D91" s="8">
        <v>43260.535750034454</v>
      </c>
      <c r="E91" t="s">
        <v>27</v>
      </c>
      <c r="F91" t="s">
        <v>36</v>
      </c>
      <c r="G91" t="s">
        <v>149</v>
      </c>
      <c r="H91" s="14">
        <v>2593</v>
      </c>
      <c r="I91">
        <f>IF(TbRegistroEntradas[[#This Row],[Data do Caixa Realizado]]="",0,MONTH(TbRegistroEntradas[[#This Row],[Data do Caixa Realizado]]))</f>
        <v>6</v>
      </c>
      <c r="J91">
        <f>IF(TbRegistroEntradas[[#This Row],[Data do Caixa Realizado]]="",0,YEAR(TbRegistroEntradas[[#This Row],[Data do Caixa Realizado]]))</f>
        <v>2018</v>
      </c>
      <c r="K91">
        <f>IF(TbRegistroEntradas[[#This Row],[Data da Competência]]="",0,MONTH(TbRegistroEntradas[[#This Row],[Data da Competência]]))</f>
        <v>4</v>
      </c>
      <c r="L91">
        <f>IF(TbRegistroEntradas[[#This Row],[Data da Competência]]="",0,YEAR(TbRegistroEntradas[[#This Row],[Data da Competência]]))</f>
        <v>2018</v>
      </c>
      <c r="M91" s="53">
        <f>IF(TbRegistroEntradas[[#This Row],[Data do Caixa Previsto]]="",0,MONTH(TbRegistroEntradas[[#This Row],[Data do Caixa Previsto]]))</f>
        <v>6</v>
      </c>
      <c r="N91" s="53">
        <f>IF(TbRegistroEntradas[[#This Row],[Data do Caixa Previsto]]="",0,YEAR(TbRegistroEntradas[[#This Row],[Data do Caixa Previsto]]))</f>
        <v>2018</v>
      </c>
      <c r="O91" s="53" t="str">
        <f ca="1">IF(AND(TbRegistroEntradas[[#This Row],[Data do Caixa Previsto]]&lt;TODAY(),TbRegistroEntradas[[#This Row],[Data do Caixa Realizado]]=""),"Vencida","Não Vencida")</f>
        <v>Não Vencida</v>
      </c>
      <c r="P91" s="53" t="str">
        <f>IF(TbRegistroEntradas[[#This Row],[Data da Competência]]=TbRegistroEntradas[[#This Row],[Data do Caixa Previsto]],"Vista","Prazo")</f>
        <v>Prazo</v>
      </c>
      <c r="Q91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4.3571862618555315</v>
      </c>
    </row>
    <row r="92" spans="2:17" x14ac:dyDescent="0.3">
      <c r="B92" s="8">
        <v>43224.851474146271</v>
      </c>
      <c r="C92" s="8">
        <v>43204</v>
      </c>
      <c r="D92" s="8">
        <v>43224.851474146271</v>
      </c>
      <c r="E92" t="s">
        <v>27</v>
      </c>
      <c r="F92" t="s">
        <v>36</v>
      </c>
      <c r="G92" t="s">
        <v>150</v>
      </c>
      <c r="H92" s="14">
        <v>1885</v>
      </c>
      <c r="I92">
        <f>IF(TbRegistroEntradas[[#This Row],[Data do Caixa Realizado]]="",0,MONTH(TbRegistroEntradas[[#This Row],[Data do Caixa Realizado]]))</f>
        <v>5</v>
      </c>
      <c r="J92">
        <f>IF(TbRegistroEntradas[[#This Row],[Data do Caixa Realizado]]="",0,YEAR(TbRegistroEntradas[[#This Row],[Data do Caixa Realizado]]))</f>
        <v>2018</v>
      </c>
      <c r="K92">
        <f>IF(TbRegistroEntradas[[#This Row],[Data da Competência]]="",0,MONTH(TbRegistroEntradas[[#This Row],[Data da Competência]]))</f>
        <v>4</v>
      </c>
      <c r="L92">
        <f>IF(TbRegistroEntradas[[#This Row],[Data da Competência]]="",0,YEAR(TbRegistroEntradas[[#This Row],[Data da Competência]]))</f>
        <v>2018</v>
      </c>
      <c r="M92" s="53">
        <f>IF(TbRegistroEntradas[[#This Row],[Data do Caixa Previsto]]="",0,MONTH(TbRegistroEntradas[[#This Row],[Data do Caixa Previsto]]))</f>
        <v>5</v>
      </c>
      <c r="N92" s="53">
        <f>IF(TbRegistroEntradas[[#This Row],[Data do Caixa Previsto]]="",0,YEAR(TbRegistroEntradas[[#This Row],[Data do Caixa Previsto]]))</f>
        <v>2018</v>
      </c>
      <c r="O92" s="53" t="str">
        <f ca="1">IF(AND(TbRegistroEntradas[[#This Row],[Data do Caixa Previsto]]&lt;TODAY(),TbRegistroEntradas[[#This Row],[Data do Caixa Realizado]]=""),"Vencida","Não Vencida")</f>
        <v>Não Vencida</v>
      </c>
      <c r="P92" s="53" t="str">
        <f>IF(TbRegistroEntradas[[#This Row],[Data da Competência]]=TbRegistroEntradas[[#This Row],[Data do Caixa Previsto]],"Vista","Prazo")</f>
        <v>Prazo</v>
      </c>
      <c r="Q92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93" spans="2:17" x14ac:dyDescent="0.3">
      <c r="B93" s="8" t="s">
        <v>70</v>
      </c>
      <c r="C93" s="8">
        <v>43209</v>
      </c>
      <c r="D93" s="8">
        <v>43266.340119269124</v>
      </c>
      <c r="E93" t="s">
        <v>27</v>
      </c>
      <c r="F93" t="s">
        <v>36</v>
      </c>
      <c r="G93" t="s">
        <v>151</v>
      </c>
      <c r="H93" s="14">
        <v>2224</v>
      </c>
      <c r="I93">
        <f>IF(TbRegistroEntradas[[#This Row],[Data do Caixa Realizado]]="",0,MONTH(TbRegistroEntradas[[#This Row],[Data do Caixa Realizado]]))</f>
        <v>0</v>
      </c>
      <c r="J93">
        <f>IF(TbRegistroEntradas[[#This Row],[Data do Caixa Realizado]]="",0,YEAR(TbRegistroEntradas[[#This Row],[Data do Caixa Realizado]]))</f>
        <v>0</v>
      </c>
      <c r="K93">
        <f>IF(TbRegistroEntradas[[#This Row],[Data da Competência]]="",0,MONTH(TbRegistroEntradas[[#This Row],[Data da Competência]]))</f>
        <v>4</v>
      </c>
      <c r="L93">
        <f>IF(TbRegistroEntradas[[#This Row],[Data da Competência]]="",0,YEAR(TbRegistroEntradas[[#This Row],[Data da Competência]]))</f>
        <v>2018</v>
      </c>
      <c r="M93" s="53">
        <f>IF(TbRegistroEntradas[[#This Row],[Data do Caixa Previsto]]="",0,MONTH(TbRegistroEntradas[[#This Row],[Data do Caixa Previsto]]))</f>
        <v>6</v>
      </c>
      <c r="N93" s="53">
        <f>IF(TbRegistroEntradas[[#This Row],[Data do Caixa Previsto]]="",0,YEAR(TbRegistroEntradas[[#This Row],[Data do Caixa Previsto]]))</f>
        <v>2018</v>
      </c>
      <c r="O93" s="53" t="str">
        <f ca="1">IF(AND(TbRegistroEntradas[[#This Row],[Data do Caixa Previsto]]&lt;TODAY(),TbRegistroEntradas[[#This Row],[Data do Caixa Realizado]]=""),"Vencida","Não Vencida")</f>
        <v>Vencida</v>
      </c>
      <c r="P93" s="53" t="str">
        <f>IF(TbRegistroEntradas[[#This Row],[Data da Competência]]=TbRegistroEntradas[[#This Row],[Data do Caixa Previsto]],"Vista","Prazo")</f>
        <v>Prazo</v>
      </c>
      <c r="Q93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2342.6598807308765</v>
      </c>
    </row>
    <row r="94" spans="2:17" x14ac:dyDescent="0.3">
      <c r="B94" s="8">
        <v>43302.517348540277</v>
      </c>
      <c r="C94" s="8">
        <v>43213</v>
      </c>
      <c r="D94" s="8">
        <v>43234.087727619473</v>
      </c>
      <c r="E94" t="s">
        <v>27</v>
      </c>
      <c r="F94" t="s">
        <v>36</v>
      </c>
      <c r="G94" t="s">
        <v>152</v>
      </c>
      <c r="H94" s="14">
        <v>3223</v>
      </c>
      <c r="I94">
        <f>IF(TbRegistroEntradas[[#This Row],[Data do Caixa Realizado]]="",0,MONTH(TbRegistroEntradas[[#This Row],[Data do Caixa Realizado]]))</f>
        <v>7</v>
      </c>
      <c r="J94">
        <f>IF(TbRegistroEntradas[[#This Row],[Data do Caixa Realizado]]="",0,YEAR(TbRegistroEntradas[[#This Row],[Data do Caixa Realizado]]))</f>
        <v>2018</v>
      </c>
      <c r="K94">
        <f>IF(TbRegistroEntradas[[#This Row],[Data da Competência]]="",0,MONTH(TbRegistroEntradas[[#This Row],[Data da Competência]]))</f>
        <v>4</v>
      </c>
      <c r="L94">
        <f>IF(TbRegistroEntradas[[#This Row],[Data da Competência]]="",0,YEAR(TbRegistroEntradas[[#This Row],[Data da Competência]]))</f>
        <v>2018</v>
      </c>
      <c r="M94" s="53">
        <f>IF(TbRegistroEntradas[[#This Row],[Data do Caixa Previsto]]="",0,MONTH(TbRegistroEntradas[[#This Row],[Data do Caixa Previsto]]))</f>
        <v>5</v>
      </c>
      <c r="N94" s="53">
        <f>IF(TbRegistroEntradas[[#This Row],[Data do Caixa Previsto]]="",0,YEAR(TbRegistroEntradas[[#This Row],[Data do Caixa Previsto]]))</f>
        <v>2018</v>
      </c>
      <c r="O94" s="53" t="str">
        <f ca="1">IF(AND(TbRegistroEntradas[[#This Row],[Data do Caixa Previsto]]&lt;TODAY(),TbRegistroEntradas[[#This Row],[Data do Caixa Realizado]]=""),"Vencida","Não Vencida")</f>
        <v>Não Vencida</v>
      </c>
      <c r="P94" s="53" t="str">
        <f>IF(TbRegistroEntradas[[#This Row],[Data da Competência]]=TbRegistroEntradas[[#This Row],[Data do Caixa Previsto]],"Vista","Prazo")</f>
        <v>Prazo</v>
      </c>
      <c r="Q94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68.429620920804155</v>
      </c>
    </row>
    <row r="95" spans="2:17" x14ac:dyDescent="0.3">
      <c r="B95" s="8">
        <v>43299.933065152305</v>
      </c>
      <c r="C95" s="8">
        <v>43216</v>
      </c>
      <c r="D95" s="8">
        <v>43265.015379904566</v>
      </c>
      <c r="E95" t="s">
        <v>27</v>
      </c>
      <c r="F95" t="s">
        <v>35</v>
      </c>
      <c r="G95" t="s">
        <v>153</v>
      </c>
      <c r="H95" s="14">
        <v>3446</v>
      </c>
      <c r="I95">
        <f>IF(TbRegistroEntradas[[#This Row],[Data do Caixa Realizado]]="",0,MONTH(TbRegistroEntradas[[#This Row],[Data do Caixa Realizado]]))</f>
        <v>7</v>
      </c>
      <c r="J95">
        <f>IF(TbRegistroEntradas[[#This Row],[Data do Caixa Realizado]]="",0,YEAR(TbRegistroEntradas[[#This Row],[Data do Caixa Realizado]]))</f>
        <v>2018</v>
      </c>
      <c r="K95">
        <f>IF(TbRegistroEntradas[[#This Row],[Data da Competência]]="",0,MONTH(TbRegistroEntradas[[#This Row],[Data da Competência]]))</f>
        <v>4</v>
      </c>
      <c r="L95">
        <f>IF(TbRegistroEntradas[[#This Row],[Data da Competência]]="",0,YEAR(TbRegistroEntradas[[#This Row],[Data da Competência]]))</f>
        <v>2018</v>
      </c>
      <c r="M95" s="53">
        <f>IF(TbRegistroEntradas[[#This Row],[Data do Caixa Previsto]]="",0,MONTH(TbRegistroEntradas[[#This Row],[Data do Caixa Previsto]]))</f>
        <v>6</v>
      </c>
      <c r="N95" s="53">
        <f>IF(TbRegistroEntradas[[#This Row],[Data do Caixa Previsto]]="",0,YEAR(TbRegistroEntradas[[#This Row],[Data do Caixa Previsto]]))</f>
        <v>2018</v>
      </c>
      <c r="O95" s="53" t="str">
        <f ca="1">IF(AND(TbRegistroEntradas[[#This Row],[Data do Caixa Previsto]]&lt;TODAY(),TbRegistroEntradas[[#This Row],[Data do Caixa Realizado]]=""),"Vencida","Não Vencida")</f>
        <v>Não Vencida</v>
      </c>
      <c r="P95" s="53" t="str">
        <f>IF(TbRegistroEntradas[[#This Row],[Data da Competência]]=TbRegistroEntradas[[#This Row],[Data do Caixa Previsto]],"Vista","Prazo")</f>
        <v>Prazo</v>
      </c>
      <c r="Q95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34.917685247739428</v>
      </c>
    </row>
    <row r="96" spans="2:17" x14ac:dyDescent="0.3">
      <c r="B96" s="8">
        <v>43265.565544078599</v>
      </c>
      <c r="C96" s="8">
        <v>43220</v>
      </c>
      <c r="D96" s="8">
        <v>43265.565544078599</v>
      </c>
      <c r="E96" t="s">
        <v>27</v>
      </c>
      <c r="F96" t="s">
        <v>36</v>
      </c>
      <c r="G96" t="s">
        <v>154</v>
      </c>
      <c r="H96" s="14">
        <v>4540</v>
      </c>
      <c r="I96">
        <f>IF(TbRegistroEntradas[[#This Row],[Data do Caixa Realizado]]="",0,MONTH(TbRegistroEntradas[[#This Row],[Data do Caixa Realizado]]))</f>
        <v>6</v>
      </c>
      <c r="J96">
        <f>IF(TbRegistroEntradas[[#This Row],[Data do Caixa Realizado]]="",0,YEAR(TbRegistroEntradas[[#This Row],[Data do Caixa Realizado]]))</f>
        <v>2018</v>
      </c>
      <c r="K96">
        <f>IF(TbRegistroEntradas[[#This Row],[Data da Competência]]="",0,MONTH(TbRegistroEntradas[[#This Row],[Data da Competência]]))</f>
        <v>4</v>
      </c>
      <c r="L96">
        <f>IF(TbRegistroEntradas[[#This Row],[Data da Competência]]="",0,YEAR(TbRegistroEntradas[[#This Row],[Data da Competência]]))</f>
        <v>2018</v>
      </c>
      <c r="M96" s="53">
        <f>IF(TbRegistroEntradas[[#This Row],[Data do Caixa Previsto]]="",0,MONTH(TbRegistroEntradas[[#This Row],[Data do Caixa Previsto]]))</f>
        <v>6</v>
      </c>
      <c r="N96" s="53">
        <f>IF(TbRegistroEntradas[[#This Row],[Data do Caixa Previsto]]="",0,YEAR(TbRegistroEntradas[[#This Row],[Data do Caixa Previsto]]))</f>
        <v>2018</v>
      </c>
      <c r="O96" s="53" t="str">
        <f ca="1">IF(AND(TbRegistroEntradas[[#This Row],[Data do Caixa Previsto]]&lt;TODAY(),TbRegistroEntradas[[#This Row],[Data do Caixa Realizado]]=""),"Vencida","Não Vencida")</f>
        <v>Não Vencida</v>
      </c>
      <c r="P96" s="53" t="str">
        <f>IF(TbRegistroEntradas[[#This Row],[Data da Competência]]=TbRegistroEntradas[[#This Row],[Data do Caixa Previsto]],"Vista","Prazo")</f>
        <v>Prazo</v>
      </c>
      <c r="Q96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97" spans="2:17" x14ac:dyDescent="0.3">
      <c r="B97" s="8">
        <v>43330.643378541507</v>
      </c>
      <c r="C97" s="8">
        <v>43228</v>
      </c>
      <c r="D97" s="8">
        <v>43283.921086983224</v>
      </c>
      <c r="E97" t="s">
        <v>27</v>
      </c>
      <c r="F97" t="s">
        <v>37</v>
      </c>
      <c r="G97" t="s">
        <v>155</v>
      </c>
      <c r="H97" s="14">
        <v>3862</v>
      </c>
      <c r="I97">
        <f>IF(TbRegistroEntradas[[#This Row],[Data do Caixa Realizado]]="",0,MONTH(TbRegistroEntradas[[#This Row],[Data do Caixa Realizado]]))</f>
        <v>8</v>
      </c>
      <c r="J97">
        <f>IF(TbRegistroEntradas[[#This Row],[Data do Caixa Realizado]]="",0,YEAR(TbRegistroEntradas[[#This Row],[Data do Caixa Realizado]]))</f>
        <v>2018</v>
      </c>
      <c r="K97">
        <f>IF(TbRegistroEntradas[[#This Row],[Data da Competência]]="",0,MONTH(TbRegistroEntradas[[#This Row],[Data da Competência]]))</f>
        <v>5</v>
      </c>
      <c r="L97">
        <f>IF(TbRegistroEntradas[[#This Row],[Data da Competência]]="",0,YEAR(TbRegistroEntradas[[#This Row],[Data da Competência]]))</f>
        <v>2018</v>
      </c>
      <c r="M97" s="53">
        <f>IF(TbRegistroEntradas[[#This Row],[Data do Caixa Previsto]]="",0,MONTH(TbRegistroEntradas[[#This Row],[Data do Caixa Previsto]]))</f>
        <v>7</v>
      </c>
      <c r="N97" s="53">
        <f>IF(TbRegistroEntradas[[#This Row],[Data do Caixa Previsto]]="",0,YEAR(TbRegistroEntradas[[#This Row],[Data do Caixa Previsto]]))</f>
        <v>2018</v>
      </c>
      <c r="O97" s="53" t="str">
        <f ca="1">IF(AND(TbRegistroEntradas[[#This Row],[Data do Caixa Previsto]]&lt;TODAY(),TbRegistroEntradas[[#This Row],[Data do Caixa Realizado]]=""),"Vencida","Não Vencida")</f>
        <v>Não Vencida</v>
      </c>
      <c r="P97" s="53" t="str">
        <f>IF(TbRegistroEntradas[[#This Row],[Data da Competência]]=TbRegistroEntradas[[#This Row],[Data do Caixa Previsto]],"Vista","Prazo")</f>
        <v>Prazo</v>
      </c>
      <c r="Q97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46.72229155828245</v>
      </c>
    </row>
    <row r="98" spans="2:17" x14ac:dyDescent="0.3">
      <c r="B98" s="8">
        <v>43279.381017407846</v>
      </c>
      <c r="C98" s="8">
        <v>43231</v>
      </c>
      <c r="D98" s="8">
        <v>43279.381017407846</v>
      </c>
      <c r="E98" t="s">
        <v>27</v>
      </c>
      <c r="F98" t="s">
        <v>35</v>
      </c>
      <c r="G98" t="s">
        <v>156</v>
      </c>
      <c r="H98" s="14">
        <v>611</v>
      </c>
      <c r="I98">
        <f>IF(TbRegistroEntradas[[#This Row],[Data do Caixa Realizado]]="",0,MONTH(TbRegistroEntradas[[#This Row],[Data do Caixa Realizado]]))</f>
        <v>6</v>
      </c>
      <c r="J98">
        <f>IF(TbRegistroEntradas[[#This Row],[Data do Caixa Realizado]]="",0,YEAR(TbRegistroEntradas[[#This Row],[Data do Caixa Realizado]]))</f>
        <v>2018</v>
      </c>
      <c r="K98">
        <f>IF(TbRegistroEntradas[[#This Row],[Data da Competência]]="",0,MONTH(TbRegistroEntradas[[#This Row],[Data da Competência]]))</f>
        <v>5</v>
      </c>
      <c r="L98">
        <f>IF(TbRegistroEntradas[[#This Row],[Data da Competência]]="",0,YEAR(TbRegistroEntradas[[#This Row],[Data da Competência]]))</f>
        <v>2018</v>
      </c>
      <c r="M98" s="53">
        <f>IF(TbRegistroEntradas[[#This Row],[Data do Caixa Previsto]]="",0,MONTH(TbRegistroEntradas[[#This Row],[Data do Caixa Previsto]]))</f>
        <v>6</v>
      </c>
      <c r="N98" s="53">
        <f>IF(TbRegistroEntradas[[#This Row],[Data do Caixa Previsto]]="",0,YEAR(TbRegistroEntradas[[#This Row],[Data do Caixa Previsto]]))</f>
        <v>2018</v>
      </c>
      <c r="O98" s="53" t="str">
        <f ca="1">IF(AND(TbRegistroEntradas[[#This Row],[Data do Caixa Previsto]]&lt;TODAY(),TbRegistroEntradas[[#This Row],[Data do Caixa Realizado]]=""),"Vencida","Não Vencida")</f>
        <v>Não Vencida</v>
      </c>
      <c r="P98" s="53" t="str">
        <f>IF(TbRegistroEntradas[[#This Row],[Data da Competência]]=TbRegistroEntradas[[#This Row],[Data do Caixa Previsto]],"Vista","Prazo")</f>
        <v>Prazo</v>
      </c>
      <c r="Q98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99" spans="2:17" x14ac:dyDescent="0.3">
      <c r="B99" s="8">
        <v>43285.463133098099</v>
      </c>
      <c r="C99" s="8">
        <v>43233</v>
      </c>
      <c r="D99" s="8">
        <v>43285.463133098099</v>
      </c>
      <c r="E99" t="s">
        <v>27</v>
      </c>
      <c r="F99" t="s">
        <v>33</v>
      </c>
      <c r="G99" t="s">
        <v>157</v>
      </c>
      <c r="H99" s="14">
        <v>1486</v>
      </c>
      <c r="I99">
        <f>IF(TbRegistroEntradas[[#This Row],[Data do Caixa Realizado]]="",0,MONTH(TbRegistroEntradas[[#This Row],[Data do Caixa Realizado]]))</f>
        <v>7</v>
      </c>
      <c r="J99">
        <f>IF(TbRegistroEntradas[[#This Row],[Data do Caixa Realizado]]="",0,YEAR(TbRegistroEntradas[[#This Row],[Data do Caixa Realizado]]))</f>
        <v>2018</v>
      </c>
      <c r="K99">
        <f>IF(TbRegistroEntradas[[#This Row],[Data da Competência]]="",0,MONTH(TbRegistroEntradas[[#This Row],[Data da Competência]]))</f>
        <v>5</v>
      </c>
      <c r="L99">
        <f>IF(TbRegistroEntradas[[#This Row],[Data da Competência]]="",0,YEAR(TbRegistroEntradas[[#This Row],[Data da Competência]]))</f>
        <v>2018</v>
      </c>
      <c r="M99" s="53">
        <f>IF(TbRegistroEntradas[[#This Row],[Data do Caixa Previsto]]="",0,MONTH(TbRegistroEntradas[[#This Row],[Data do Caixa Previsto]]))</f>
        <v>7</v>
      </c>
      <c r="N99" s="53">
        <f>IF(TbRegistroEntradas[[#This Row],[Data do Caixa Previsto]]="",0,YEAR(TbRegistroEntradas[[#This Row],[Data do Caixa Previsto]]))</f>
        <v>2018</v>
      </c>
      <c r="O99" s="53" t="str">
        <f ca="1">IF(AND(TbRegistroEntradas[[#This Row],[Data do Caixa Previsto]]&lt;TODAY(),TbRegistroEntradas[[#This Row],[Data do Caixa Realizado]]=""),"Vencida","Não Vencida")</f>
        <v>Não Vencida</v>
      </c>
      <c r="P99" s="53" t="str">
        <f>IF(TbRegistroEntradas[[#This Row],[Data da Competência]]=TbRegistroEntradas[[#This Row],[Data do Caixa Previsto]],"Vista","Prazo")</f>
        <v>Prazo</v>
      </c>
      <c r="Q99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00" spans="2:17" x14ac:dyDescent="0.3">
      <c r="B100" s="8">
        <v>43252.121501784946</v>
      </c>
      <c r="C100" s="8">
        <v>43241</v>
      </c>
      <c r="D100" s="8">
        <v>43252.121501784946</v>
      </c>
      <c r="E100" t="s">
        <v>27</v>
      </c>
      <c r="F100" t="s">
        <v>36</v>
      </c>
      <c r="G100" t="s">
        <v>158</v>
      </c>
      <c r="H100" s="14">
        <v>4850</v>
      </c>
      <c r="I100">
        <f>IF(TbRegistroEntradas[[#This Row],[Data do Caixa Realizado]]="",0,MONTH(TbRegistroEntradas[[#This Row],[Data do Caixa Realizado]]))</f>
        <v>6</v>
      </c>
      <c r="J100">
        <f>IF(TbRegistroEntradas[[#This Row],[Data do Caixa Realizado]]="",0,YEAR(TbRegistroEntradas[[#This Row],[Data do Caixa Realizado]]))</f>
        <v>2018</v>
      </c>
      <c r="K100">
        <f>IF(TbRegistroEntradas[[#This Row],[Data da Competência]]="",0,MONTH(TbRegistroEntradas[[#This Row],[Data da Competência]]))</f>
        <v>5</v>
      </c>
      <c r="L100">
        <f>IF(TbRegistroEntradas[[#This Row],[Data da Competência]]="",0,YEAR(TbRegistroEntradas[[#This Row],[Data da Competência]]))</f>
        <v>2018</v>
      </c>
      <c r="M100" s="53">
        <f>IF(TbRegistroEntradas[[#This Row],[Data do Caixa Previsto]]="",0,MONTH(TbRegistroEntradas[[#This Row],[Data do Caixa Previsto]]))</f>
        <v>6</v>
      </c>
      <c r="N100" s="53">
        <f>IF(TbRegistroEntradas[[#This Row],[Data do Caixa Previsto]]="",0,YEAR(TbRegistroEntradas[[#This Row],[Data do Caixa Previsto]]))</f>
        <v>2018</v>
      </c>
      <c r="O100" s="53" t="str">
        <f ca="1">IF(AND(TbRegistroEntradas[[#This Row],[Data do Caixa Previsto]]&lt;TODAY(),TbRegistroEntradas[[#This Row],[Data do Caixa Realizado]]=""),"Vencida","Não Vencida")</f>
        <v>Não Vencida</v>
      </c>
      <c r="P100" s="53" t="str">
        <f>IF(TbRegistroEntradas[[#This Row],[Data da Competência]]=TbRegistroEntradas[[#This Row],[Data do Caixa Previsto]],"Vista","Prazo")</f>
        <v>Prazo</v>
      </c>
      <c r="Q100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01" spans="2:17" x14ac:dyDescent="0.3">
      <c r="B101" s="8" t="s">
        <v>70</v>
      </c>
      <c r="C101" s="8">
        <v>43244</v>
      </c>
      <c r="D101" s="8">
        <v>43275.457463184524</v>
      </c>
      <c r="E101" t="s">
        <v>27</v>
      </c>
      <c r="F101" t="s">
        <v>33</v>
      </c>
      <c r="G101" t="s">
        <v>97</v>
      </c>
      <c r="H101" s="14">
        <v>3878</v>
      </c>
      <c r="I101">
        <f>IF(TbRegistroEntradas[[#This Row],[Data do Caixa Realizado]]="",0,MONTH(TbRegistroEntradas[[#This Row],[Data do Caixa Realizado]]))</f>
        <v>0</v>
      </c>
      <c r="J101">
        <f>IF(TbRegistroEntradas[[#This Row],[Data do Caixa Realizado]]="",0,YEAR(TbRegistroEntradas[[#This Row],[Data do Caixa Realizado]]))</f>
        <v>0</v>
      </c>
      <c r="K101">
        <f>IF(TbRegistroEntradas[[#This Row],[Data da Competência]]="",0,MONTH(TbRegistroEntradas[[#This Row],[Data da Competência]]))</f>
        <v>5</v>
      </c>
      <c r="L101">
        <f>IF(TbRegistroEntradas[[#This Row],[Data da Competência]]="",0,YEAR(TbRegistroEntradas[[#This Row],[Data da Competência]]))</f>
        <v>2018</v>
      </c>
      <c r="M101" s="53">
        <f>IF(TbRegistroEntradas[[#This Row],[Data do Caixa Previsto]]="",0,MONTH(TbRegistroEntradas[[#This Row],[Data do Caixa Previsto]]))</f>
        <v>6</v>
      </c>
      <c r="N101" s="53">
        <f>IF(TbRegistroEntradas[[#This Row],[Data do Caixa Previsto]]="",0,YEAR(TbRegistroEntradas[[#This Row],[Data do Caixa Previsto]]))</f>
        <v>2018</v>
      </c>
      <c r="O101" s="53" t="str">
        <f ca="1">IF(AND(TbRegistroEntradas[[#This Row],[Data do Caixa Previsto]]&lt;TODAY(),TbRegistroEntradas[[#This Row],[Data do Caixa Realizado]]=""),"Vencida","Não Vencida")</f>
        <v>Vencida</v>
      </c>
      <c r="P101" s="53" t="str">
        <f>IF(TbRegistroEntradas[[#This Row],[Data da Competência]]=TbRegistroEntradas[[#This Row],[Data do Caixa Previsto]],"Vista","Prazo")</f>
        <v>Prazo</v>
      </c>
      <c r="Q101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2333.5425368154756</v>
      </c>
    </row>
    <row r="102" spans="2:17" x14ac:dyDescent="0.3">
      <c r="B102" s="8">
        <v>43275.663970819842</v>
      </c>
      <c r="C102" s="8">
        <v>43249</v>
      </c>
      <c r="D102" s="8">
        <v>43275.663970819842</v>
      </c>
      <c r="E102" t="s">
        <v>27</v>
      </c>
      <c r="F102" t="s">
        <v>33</v>
      </c>
      <c r="G102" t="s">
        <v>159</v>
      </c>
      <c r="H102" s="14">
        <v>976</v>
      </c>
      <c r="I102">
        <f>IF(TbRegistroEntradas[[#This Row],[Data do Caixa Realizado]]="",0,MONTH(TbRegistroEntradas[[#This Row],[Data do Caixa Realizado]]))</f>
        <v>6</v>
      </c>
      <c r="J102">
        <f>IF(TbRegistroEntradas[[#This Row],[Data do Caixa Realizado]]="",0,YEAR(TbRegistroEntradas[[#This Row],[Data do Caixa Realizado]]))</f>
        <v>2018</v>
      </c>
      <c r="K102">
        <f>IF(TbRegistroEntradas[[#This Row],[Data da Competência]]="",0,MONTH(TbRegistroEntradas[[#This Row],[Data da Competência]]))</f>
        <v>5</v>
      </c>
      <c r="L102">
        <f>IF(TbRegistroEntradas[[#This Row],[Data da Competência]]="",0,YEAR(TbRegistroEntradas[[#This Row],[Data da Competência]]))</f>
        <v>2018</v>
      </c>
      <c r="M102" s="53">
        <f>IF(TbRegistroEntradas[[#This Row],[Data do Caixa Previsto]]="",0,MONTH(TbRegistroEntradas[[#This Row],[Data do Caixa Previsto]]))</f>
        <v>6</v>
      </c>
      <c r="N102" s="53">
        <f>IF(TbRegistroEntradas[[#This Row],[Data do Caixa Previsto]]="",0,YEAR(TbRegistroEntradas[[#This Row],[Data do Caixa Previsto]]))</f>
        <v>2018</v>
      </c>
      <c r="O102" s="53" t="str">
        <f ca="1">IF(AND(TbRegistroEntradas[[#This Row],[Data do Caixa Previsto]]&lt;TODAY(),TbRegistroEntradas[[#This Row],[Data do Caixa Realizado]]=""),"Vencida","Não Vencida")</f>
        <v>Não Vencida</v>
      </c>
      <c r="P102" s="53" t="str">
        <f>IF(TbRegistroEntradas[[#This Row],[Data da Competência]]=TbRegistroEntradas[[#This Row],[Data do Caixa Previsto]],"Vista","Prazo")</f>
        <v>Prazo</v>
      </c>
      <c r="Q102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03" spans="2:17" x14ac:dyDescent="0.3">
      <c r="B103" s="8">
        <v>43265.40932974538</v>
      </c>
      <c r="C103" s="8">
        <v>43250</v>
      </c>
      <c r="D103" s="8">
        <v>43265.40932974538</v>
      </c>
      <c r="E103" t="s">
        <v>27</v>
      </c>
      <c r="F103" t="s">
        <v>37</v>
      </c>
      <c r="G103" t="s">
        <v>160</v>
      </c>
      <c r="H103" s="14">
        <v>3346</v>
      </c>
      <c r="I103">
        <f>IF(TbRegistroEntradas[[#This Row],[Data do Caixa Realizado]]="",0,MONTH(TbRegistroEntradas[[#This Row],[Data do Caixa Realizado]]))</f>
        <v>6</v>
      </c>
      <c r="J103">
        <f>IF(TbRegistroEntradas[[#This Row],[Data do Caixa Realizado]]="",0,YEAR(TbRegistroEntradas[[#This Row],[Data do Caixa Realizado]]))</f>
        <v>2018</v>
      </c>
      <c r="K103">
        <f>IF(TbRegistroEntradas[[#This Row],[Data da Competência]]="",0,MONTH(TbRegistroEntradas[[#This Row],[Data da Competência]]))</f>
        <v>5</v>
      </c>
      <c r="L103">
        <f>IF(TbRegistroEntradas[[#This Row],[Data da Competência]]="",0,YEAR(TbRegistroEntradas[[#This Row],[Data da Competência]]))</f>
        <v>2018</v>
      </c>
      <c r="M103" s="53">
        <f>IF(TbRegistroEntradas[[#This Row],[Data do Caixa Previsto]]="",0,MONTH(TbRegistroEntradas[[#This Row],[Data do Caixa Previsto]]))</f>
        <v>6</v>
      </c>
      <c r="N103" s="53">
        <f>IF(TbRegistroEntradas[[#This Row],[Data do Caixa Previsto]]="",0,YEAR(TbRegistroEntradas[[#This Row],[Data do Caixa Previsto]]))</f>
        <v>2018</v>
      </c>
      <c r="O103" s="53" t="str">
        <f ca="1">IF(AND(TbRegistroEntradas[[#This Row],[Data do Caixa Previsto]]&lt;TODAY(),TbRegistroEntradas[[#This Row],[Data do Caixa Realizado]]=""),"Vencida","Não Vencida")</f>
        <v>Não Vencida</v>
      </c>
      <c r="P103" s="53" t="str">
        <f>IF(TbRegistroEntradas[[#This Row],[Data da Competência]]=TbRegistroEntradas[[#This Row],[Data do Caixa Previsto]],"Vista","Prazo")</f>
        <v>Prazo</v>
      </c>
      <c r="Q103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04" spans="2:17" x14ac:dyDescent="0.3">
      <c r="B104" s="8">
        <v>43313.778330733978</v>
      </c>
      <c r="C104" s="8">
        <v>43254</v>
      </c>
      <c r="D104" s="8">
        <v>43313.778330733978</v>
      </c>
      <c r="E104" t="s">
        <v>27</v>
      </c>
      <c r="F104" t="s">
        <v>35</v>
      </c>
      <c r="G104" t="s">
        <v>161</v>
      </c>
      <c r="H104" s="14">
        <v>443</v>
      </c>
      <c r="I104">
        <f>IF(TbRegistroEntradas[[#This Row],[Data do Caixa Realizado]]="",0,MONTH(TbRegistroEntradas[[#This Row],[Data do Caixa Realizado]]))</f>
        <v>8</v>
      </c>
      <c r="J104">
        <f>IF(TbRegistroEntradas[[#This Row],[Data do Caixa Realizado]]="",0,YEAR(TbRegistroEntradas[[#This Row],[Data do Caixa Realizado]]))</f>
        <v>2018</v>
      </c>
      <c r="K104">
        <f>IF(TbRegistroEntradas[[#This Row],[Data da Competência]]="",0,MONTH(TbRegistroEntradas[[#This Row],[Data da Competência]]))</f>
        <v>6</v>
      </c>
      <c r="L104">
        <f>IF(TbRegistroEntradas[[#This Row],[Data da Competência]]="",0,YEAR(TbRegistroEntradas[[#This Row],[Data da Competência]]))</f>
        <v>2018</v>
      </c>
      <c r="M104" s="53">
        <f>IF(TbRegistroEntradas[[#This Row],[Data do Caixa Previsto]]="",0,MONTH(TbRegistroEntradas[[#This Row],[Data do Caixa Previsto]]))</f>
        <v>8</v>
      </c>
      <c r="N104" s="53">
        <f>IF(TbRegistroEntradas[[#This Row],[Data do Caixa Previsto]]="",0,YEAR(TbRegistroEntradas[[#This Row],[Data do Caixa Previsto]]))</f>
        <v>2018</v>
      </c>
      <c r="O104" s="53" t="str">
        <f ca="1">IF(AND(TbRegistroEntradas[[#This Row],[Data do Caixa Previsto]]&lt;TODAY(),TbRegistroEntradas[[#This Row],[Data do Caixa Realizado]]=""),"Vencida","Não Vencida")</f>
        <v>Não Vencida</v>
      </c>
      <c r="P104" s="53" t="str">
        <f>IF(TbRegistroEntradas[[#This Row],[Data da Competência]]=TbRegistroEntradas[[#This Row],[Data do Caixa Previsto]],"Vista","Prazo")</f>
        <v>Prazo</v>
      </c>
      <c r="Q104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05" spans="2:17" x14ac:dyDescent="0.3">
      <c r="B105" s="8">
        <v>43309.034479812522</v>
      </c>
      <c r="C105" s="8">
        <v>43255</v>
      </c>
      <c r="D105" s="8">
        <v>43309.034479812522</v>
      </c>
      <c r="E105" t="s">
        <v>27</v>
      </c>
      <c r="F105" t="s">
        <v>35</v>
      </c>
      <c r="G105" t="s">
        <v>162</v>
      </c>
      <c r="H105" s="14">
        <v>2781</v>
      </c>
      <c r="I105">
        <f>IF(TbRegistroEntradas[[#This Row],[Data do Caixa Realizado]]="",0,MONTH(TbRegistroEntradas[[#This Row],[Data do Caixa Realizado]]))</f>
        <v>7</v>
      </c>
      <c r="J105">
        <f>IF(TbRegistroEntradas[[#This Row],[Data do Caixa Realizado]]="",0,YEAR(TbRegistroEntradas[[#This Row],[Data do Caixa Realizado]]))</f>
        <v>2018</v>
      </c>
      <c r="K105">
        <f>IF(TbRegistroEntradas[[#This Row],[Data da Competência]]="",0,MONTH(TbRegistroEntradas[[#This Row],[Data da Competência]]))</f>
        <v>6</v>
      </c>
      <c r="L105">
        <f>IF(TbRegistroEntradas[[#This Row],[Data da Competência]]="",0,YEAR(TbRegistroEntradas[[#This Row],[Data da Competência]]))</f>
        <v>2018</v>
      </c>
      <c r="M105" s="53">
        <f>IF(TbRegistroEntradas[[#This Row],[Data do Caixa Previsto]]="",0,MONTH(TbRegistroEntradas[[#This Row],[Data do Caixa Previsto]]))</f>
        <v>7</v>
      </c>
      <c r="N105" s="53">
        <f>IF(TbRegistroEntradas[[#This Row],[Data do Caixa Previsto]]="",0,YEAR(TbRegistroEntradas[[#This Row],[Data do Caixa Previsto]]))</f>
        <v>2018</v>
      </c>
      <c r="O105" s="53" t="str">
        <f ca="1">IF(AND(TbRegistroEntradas[[#This Row],[Data do Caixa Previsto]]&lt;TODAY(),TbRegistroEntradas[[#This Row],[Data do Caixa Realizado]]=""),"Vencida","Não Vencida")</f>
        <v>Não Vencida</v>
      </c>
      <c r="P105" s="53" t="str">
        <f>IF(TbRegistroEntradas[[#This Row],[Data da Competência]]=TbRegistroEntradas[[#This Row],[Data do Caixa Previsto]],"Vista","Prazo")</f>
        <v>Prazo</v>
      </c>
      <c r="Q105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06" spans="2:17" x14ac:dyDescent="0.3">
      <c r="B106" s="8">
        <v>43267.639792395334</v>
      </c>
      <c r="C106" s="8">
        <v>43256</v>
      </c>
      <c r="D106" s="8">
        <v>43267.639792395334</v>
      </c>
      <c r="E106" t="s">
        <v>27</v>
      </c>
      <c r="F106" t="s">
        <v>33</v>
      </c>
      <c r="G106" t="s">
        <v>163</v>
      </c>
      <c r="H106" s="14">
        <v>1875</v>
      </c>
      <c r="I106">
        <f>IF(TbRegistroEntradas[[#This Row],[Data do Caixa Realizado]]="",0,MONTH(TbRegistroEntradas[[#This Row],[Data do Caixa Realizado]]))</f>
        <v>6</v>
      </c>
      <c r="J106">
        <f>IF(TbRegistroEntradas[[#This Row],[Data do Caixa Realizado]]="",0,YEAR(TbRegistroEntradas[[#This Row],[Data do Caixa Realizado]]))</f>
        <v>2018</v>
      </c>
      <c r="K106">
        <f>IF(TbRegistroEntradas[[#This Row],[Data da Competência]]="",0,MONTH(TbRegistroEntradas[[#This Row],[Data da Competência]]))</f>
        <v>6</v>
      </c>
      <c r="L106">
        <f>IF(TbRegistroEntradas[[#This Row],[Data da Competência]]="",0,YEAR(TbRegistroEntradas[[#This Row],[Data da Competência]]))</f>
        <v>2018</v>
      </c>
      <c r="M106" s="53">
        <f>IF(TbRegistroEntradas[[#This Row],[Data do Caixa Previsto]]="",0,MONTH(TbRegistroEntradas[[#This Row],[Data do Caixa Previsto]]))</f>
        <v>6</v>
      </c>
      <c r="N106" s="53">
        <f>IF(TbRegistroEntradas[[#This Row],[Data do Caixa Previsto]]="",0,YEAR(TbRegistroEntradas[[#This Row],[Data do Caixa Previsto]]))</f>
        <v>2018</v>
      </c>
      <c r="O106" s="53" t="str">
        <f ca="1">IF(AND(TbRegistroEntradas[[#This Row],[Data do Caixa Previsto]]&lt;TODAY(),TbRegistroEntradas[[#This Row],[Data do Caixa Realizado]]=""),"Vencida","Não Vencida")</f>
        <v>Não Vencida</v>
      </c>
      <c r="P106" s="53" t="str">
        <f>IF(TbRegistroEntradas[[#This Row],[Data da Competência]]=TbRegistroEntradas[[#This Row],[Data do Caixa Previsto]],"Vista","Prazo")</f>
        <v>Prazo</v>
      </c>
      <c r="Q106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07" spans="2:17" x14ac:dyDescent="0.3">
      <c r="B107" s="8">
        <v>43295.992726264638</v>
      </c>
      <c r="C107" s="8">
        <v>43259</v>
      </c>
      <c r="D107" s="8">
        <v>43295.992726264638</v>
      </c>
      <c r="E107" t="s">
        <v>27</v>
      </c>
      <c r="F107" t="s">
        <v>36</v>
      </c>
      <c r="G107" t="s">
        <v>164</v>
      </c>
      <c r="H107" s="14">
        <v>3134</v>
      </c>
      <c r="I107">
        <f>IF(TbRegistroEntradas[[#This Row],[Data do Caixa Realizado]]="",0,MONTH(TbRegistroEntradas[[#This Row],[Data do Caixa Realizado]]))</f>
        <v>7</v>
      </c>
      <c r="J107">
        <f>IF(TbRegistroEntradas[[#This Row],[Data do Caixa Realizado]]="",0,YEAR(TbRegistroEntradas[[#This Row],[Data do Caixa Realizado]]))</f>
        <v>2018</v>
      </c>
      <c r="K107">
        <f>IF(TbRegistroEntradas[[#This Row],[Data da Competência]]="",0,MONTH(TbRegistroEntradas[[#This Row],[Data da Competência]]))</f>
        <v>6</v>
      </c>
      <c r="L107">
        <f>IF(TbRegistroEntradas[[#This Row],[Data da Competência]]="",0,YEAR(TbRegistroEntradas[[#This Row],[Data da Competência]]))</f>
        <v>2018</v>
      </c>
      <c r="M107" s="53">
        <f>IF(TbRegistroEntradas[[#This Row],[Data do Caixa Previsto]]="",0,MONTH(TbRegistroEntradas[[#This Row],[Data do Caixa Previsto]]))</f>
        <v>7</v>
      </c>
      <c r="N107" s="53">
        <f>IF(TbRegistroEntradas[[#This Row],[Data do Caixa Previsto]]="",0,YEAR(TbRegistroEntradas[[#This Row],[Data do Caixa Previsto]]))</f>
        <v>2018</v>
      </c>
      <c r="O107" s="53" t="str">
        <f ca="1">IF(AND(TbRegistroEntradas[[#This Row],[Data do Caixa Previsto]]&lt;TODAY(),TbRegistroEntradas[[#This Row],[Data do Caixa Realizado]]=""),"Vencida","Não Vencida")</f>
        <v>Não Vencida</v>
      </c>
      <c r="P107" s="53" t="str">
        <f>IF(TbRegistroEntradas[[#This Row],[Data da Competência]]=TbRegistroEntradas[[#This Row],[Data do Caixa Previsto]],"Vista","Prazo")</f>
        <v>Prazo</v>
      </c>
      <c r="Q107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08" spans="2:17" x14ac:dyDescent="0.3">
      <c r="B108" s="8">
        <v>43276.511490365912</v>
      </c>
      <c r="C108" s="8">
        <v>43261</v>
      </c>
      <c r="D108" s="8">
        <v>43276.511490365912</v>
      </c>
      <c r="E108" t="s">
        <v>27</v>
      </c>
      <c r="F108" t="s">
        <v>34</v>
      </c>
      <c r="G108" t="s">
        <v>165</v>
      </c>
      <c r="H108" s="14">
        <v>2114</v>
      </c>
      <c r="I108">
        <f>IF(TbRegistroEntradas[[#This Row],[Data do Caixa Realizado]]="",0,MONTH(TbRegistroEntradas[[#This Row],[Data do Caixa Realizado]]))</f>
        <v>6</v>
      </c>
      <c r="J108">
        <f>IF(TbRegistroEntradas[[#This Row],[Data do Caixa Realizado]]="",0,YEAR(TbRegistroEntradas[[#This Row],[Data do Caixa Realizado]]))</f>
        <v>2018</v>
      </c>
      <c r="K108">
        <f>IF(TbRegistroEntradas[[#This Row],[Data da Competência]]="",0,MONTH(TbRegistroEntradas[[#This Row],[Data da Competência]]))</f>
        <v>6</v>
      </c>
      <c r="L108">
        <f>IF(TbRegistroEntradas[[#This Row],[Data da Competência]]="",0,YEAR(TbRegistroEntradas[[#This Row],[Data da Competência]]))</f>
        <v>2018</v>
      </c>
      <c r="M108" s="53">
        <f>IF(TbRegistroEntradas[[#This Row],[Data do Caixa Previsto]]="",0,MONTH(TbRegistroEntradas[[#This Row],[Data do Caixa Previsto]]))</f>
        <v>6</v>
      </c>
      <c r="N108" s="53">
        <f>IF(TbRegistroEntradas[[#This Row],[Data do Caixa Previsto]]="",0,YEAR(TbRegistroEntradas[[#This Row],[Data do Caixa Previsto]]))</f>
        <v>2018</v>
      </c>
      <c r="O108" s="53" t="str">
        <f ca="1">IF(AND(TbRegistroEntradas[[#This Row],[Data do Caixa Previsto]]&lt;TODAY(),TbRegistroEntradas[[#This Row],[Data do Caixa Realizado]]=""),"Vencida","Não Vencida")</f>
        <v>Não Vencida</v>
      </c>
      <c r="P108" s="53" t="str">
        <f>IF(TbRegistroEntradas[[#This Row],[Data da Competência]]=TbRegistroEntradas[[#This Row],[Data do Caixa Previsto]],"Vista","Prazo")</f>
        <v>Prazo</v>
      </c>
      <c r="Q108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09" spans="2:17" x14ac:dyDescent="0.3">
      <c r="B109" s="8">
        <v>43320.151513939236</v>
      </c>
      <c r="C109" s="8">
        <v>43264</v>
      </c>
      <c r="D109" s="8">
        <v>43320.151513939236</v>
      </c>
      <c r="E109" t="s">
        <v>27</v>
      </c>
      <c r="F109" t="s">
        <v>33</v>
      </c>
      <c r="G109" t="s">
        <v>166</v>
      </c>
      <c r="H109" s="14">
        <v>4961</v>
      </c>
      <c r="I109">
        <f>IF(TbRegistroEntradas[[#This Row],[Data do Caixa Realizado]]="",0,MONTH(TbRegistroEntradas[[#This Row],[Data do Caixa Realizado]]))</f>
        <v>8</v>
      </c>
      <c r="J109">
        <f>IF(TbRegistroEntradas[[#This Row],[Data do Caixa Realizado]]="",0,YEAR(TbRegistroEntradas[[#This Row],[Data do Caixa Realizado]]))</f>
        <v>2018</v>
      </c>
      <c r="K109">
        <f>IF(TbRegistroEntradas[[#This Row],[Data da Competência]]="",0,MONTH(TbRegistroEntradas[[#This Row],[Data da Competência]]))</f>
        <v>6</v>
      </c>
      <c r="L109">
        <f>IF(TbRegistroEntradas[[#This Row],[Data da Competência]]="",0,YEAR(TbRegistroEntradas[[#This Row],[Data da Competência]]))</f>
        <v>2018</v>
      </c>
      <c r="M109" s="53">
        <f>IF(TbRegistroEntradas[[#This Row],[Data do Caixa Previsto]]="",0,MONTH(TbRegistroEntradas[[#This Row],[Data do Caixa Previsto]]))</f>
        <v>8</v>
      </c>
      <c r="N109" s="53">
        <f>IF(TbRegistroEntradas[[#This Row],[Data do Caixa Previsto]]="",0,YEAR(TbRegistroEntradas[[#This Row],[Data do Caixa Previsto]]))</f>
        <v>2018</v>
      </c>
      <c r="O109" s="53" t="str">
        <f ca="1">IF(AND(TbRegistroEntradas[[#This Row],[Data do Caixa Previsto]]&lt;TODAY(),TbRegistroEntradas[[#This Row],[Data do Caixa Realizado]]=""),"Vencida","Não Vencida")</f>
        <v>Não Vencida</v>
      </c>
      <c r="P109" s="53" t="str">
        <f>IF(TbRegistroEntradas[[#This Row],[Data da Competência]]=TbRegistroEntradas[[#This Row],[Data do Caixa Previsto]],"Vista","Prazo")</f>
        <v>Prazo</v>
      </c>
      <c r="Q109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10" spans="2:17" x14ac:dyDescent="0.3">
      <c r="B110" s="8">
        <v>43303.335943391627</v>
      </c>
      <c r="C110" s="8">
        <v>43265</v>
      </c>
      <c r="D110" s="8">
        <v>43303.335943391627</v>
      </c>
      <c r="E110" t="s">
        <v>27</v>
      </c>
      <c r="F110" t="s">
        <v>36</v>
      </c>
      <c r="G110" t="s">
        <v>167</v>
      </c>
      <c r="H110" s="14">
        <v>909</v>
      </c>
      <c r="I110">
        <f>IF(TbRegistroEntradas[[#This Row],[Data do Caixa Realizado]]="",0,MONTH(TbRegistroEntradas[[#This Row],[Data do Caixa Realizado]]))</f>
        <v>7</v>
      </c>
      <c r="J110">
        <f>IF(TbRegistroEntradas[[#This Row],[Data do Caixa Realizado]]="",0,YEAR(TbRegistroEntradas[[#This Row],[Data do Caixa Realizado]]))</f>
        <v>2018</v>
      </c>
      <c r="K110">
        <f>IF(TbRegistroEntradas[[#This Row],[Data da Competência]]="",0,MONTH(TbRegistroEntradas[[#This Row],[Data da Competência]]))</f>
        <v>6</v>
      </c>
      <c r="L110">
        <f>IF(TbRegistroEntradas[[#This Row],[Data da Competência]]="",0,YEAR(TbRegistroEntradas[[#This Row],[Data da Competência]]))</f>
        <v>2018</v>
      </c>
      <c r="M110" s="53">
        <f>IF(TbRegistroEntradas[[#This Row],[Data do Caixa Previsto]]="",0,MONTH(TbRegistroEntradas[[#This Row],[Data do Caixa Previsto]]))</f>
        <v>7</v>
      </c>
      <c r="N110" s="53">
        <f>IF(TbRegistroEntradas[[#This Row],[Data do Caixa Previsto]]="",0,YEAR(TbRegistroEntradas[[#This Row],[Data do Caixa Previsto]]))</f>
        <v>2018</v>
      </c>
      <c r="O110" s="53" t="str">
        <f ca="1">IF(AND(TbRegistroEntradas[[#This Row],[Data do Caixa Previsto]]&lt;TODAY(),TbRegistroEntradas[[#This Row],[Data do Caixa Realizado]]=""),"Vencida","Não Vencida")</f>
        <v>Não Vencida</v>
      </c>
      <c r="P110" s="53" t="str">
        <f>IF(TbRegistroEntradas[[#This Row],[Data da Competência]]=TbRegistroEntradas[[#This Row],[Data do Caixa Previsto]],"Vista","Prazo")</f>
        <v>Prazo</v>
      </c>
      <c r="Q110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11" spans="2:17" x14ac:dyDescent="0.3">
      <c r="B111" s="8">
        <v>43293.385542692129</v>
      </c>
      <c r="C111" s="8">
        <v>43266</v>
      </c>
      <c r="D111" s="8">
        <v>43293.385542692129</v>
      </c>
      <c r="E111" t="s">
        <v>27</v>
      </c>
      <c r="F111" t="s">
        <v>36</v>
      </c>
      <c r="G111" t="s">
        <v>168</v>
      </c>
      <c r="H111" s="14">
        <v>2197</v>
      </c>
      <c r="I111">
        <f>IF(TbRegistroEntradas[[#This Row],[Data do Caixa Realizado]]="",0,MONTH(TbRegistroEntradas[[#This Row],[Data do Caixa Realizado]]))</f>
        <v>7</v>
      </c>
      <c r="J111">
        <f>IF(TbRegistroEntradas[[#This Row],[Data do Caixa Realizado]]="",0,YEAR(TbRegistroEntradas[[#This Row],[Data do Caixa Realizado]]))</f>
        <v>2018</v>
      </c>
      <c r="K111">
        <f>IF(TbRegistroEntradas[[#This Row],[Data da Competência]]="",0,MONTH(TbRegistroEntradas[[#This Row],[Data da Competência]]))</f>
        <v>6</v>
      </c>
      <c r="L111">
        <f>IF(TbRegistroEntradas[[#This Row],[Data da Competência]]="",0,YEAR(TbRegistroEntradas[[#This Row],[Data da Competência]]))</f>
        <v>2018</v>
      </c>
      <c r="M111" s="53">
        <f>IF(TbRegistroEntradas[[#This Row],[Data do Caixa Previsto]]="",0,MONTH(TbRegistroEntradas[[#This Row],[Data do Caixa Previsto]]))</f>
        <v>7</v>
      </c>
      <c r="N111" s="53">
        <f>IF(TbRegistroEntradas[[#This Row],[Data do Caixa Previsto]]="",0,YEAR(TbRegistroEntradas[[#This Row],[Data do Caixa Previsto]]))</f>
        <v>2018</v>
      </c>
      <c r="O111" s="53" t="str">
        <f ca="1">IF(AND(TbRegistroEntradas[[#This Row],[Data do Caixa Previsto]]&lt;TODAY(),TbRegistroEntradas[[#This Row],[Data do Caixa Realizado]]=""),"Vencida","Não Vencida")</f>
        <v>Não Vencida</v>
      </c>
      <c r="P111" s="53" t="str">
        <f>IF(TbRegistroEntradas[[#This Row],[Data da Competência]]=TbRegistroEntradas[[#This Row],[Data do Caixa Previsto]],"Vista","Prazo")</f>
        <v>Prazo</v>
      </c>
      <c r="Q111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12" spans="2:17" x14ac:dyDescent="0.3">
      <c r="B112" s="8">
        <v>43347.784698126074</v>
      </c>
      <c r="C112" s="8">
        <v>43268</v>
      </c>
      <c r="D112" s="8">
        <v>43310.26005003383</v>
      </c>
      <c r="E112" t="s">
        <v>27</v>
      </c>
      <c r="F112" t="s">
        <v>37</v>
      </c>
      <c r="G112" t="s">
        <v>169</v>
      </c>
      <c r="H112" s="14">
        <v>3045</v>
      </c>
      <c r="I112">
        <f>IF(TbRegistroEntradas[[#This Row],[Data do Caixa Realizado]]="",0,MONTH(TbRegistroEntradas[[#This Row],[Data do Caixa Realizado]]))</f>
        <v>9</v>
      </c>
      <c r="J112">
        <f>IF(TbRegistroEntradas[[#This Row],[Data do Caixa Realizado]]="",0,YEAR(TbRegistroEntradas[[#This Row],[Data do Caixa Realizado]]))</f>
        <v>2018</v>
      </c>
      <c r="K112">
        <f>IF(TbRegistroEntradas[[#This Row],[Data da Competência]]="",0,MONTH(TbRegistroEntradas[[#This Row],[Data da Competência]]))</f>
        <v>6</v>
      </c>
      <c r="L112">
        <f>IF(TbRegistroEntradas[[#This Row],[Data da Competência]]="",0,YEAR(TbRegistroEntradas[[#This Row],[Data da Competência]]))</f>
        <v>2018</v>
      </c>
      <c r="M112" s="53">
        <f>IF(TbRegistroEntradas[[#This Row],[Data do Caixa Previsto]]="",0,MONTH(TbRegistroEntradas[[#This Row],[Data do Caixa Previsto]]))</f>
        <v>7</v>
      </c>
      <c r="N112" s="53">
        <f>IF(TbRegistroEntradas[[#This Row],[Data do Caixa Previsto]]="",0,YEAR(TbRegistroEntradas[[#This Row],[Data do Caixa Previsto]]))</f>
        <v>2018</v>
      </c>
      <c r="O112" s="53" t="str">
        <f ca="1">IF(AND(TbRegistroEntradas[[#This Row],[Data do Caixa Previsto]]&lt;TODAY(),TbRegistroEntradas[[#This Row],[Data do Caixa Realizado]]=""),"Vencida","Não Vencida")</f>
        <v>Não Vencida</v>
      </c>
      <c r="P112" s="53" t="str">
        <f>IF(TbRegistroEntradas[[#This Row],[Data da Competência]]=TbRegistroEntradas[[#This Row],[Data do Caixa Previsto]],"Vista","Prazo")</f>
        <v>Prazo</v>
      </c>
      <c r="Q112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37.524648092243297</v>
      </c>
    </row>
    <row r="113" spans="2:17" x14ac:dyDescent="0.3">
      <c r="B113" s="8">
        <v>43328.142631140596</v>
      </c>
      <c r="C113" s="8">
        <v>43272</v>
      </c>
      <c r="D113" s="8">
        <v>43309.393451525575</v>
      </c>
      <c r="E113" t="s">
        <v>27</v>
      </c>
      <c r="F113" t="s">
        <v>37</v>
      </c>
      <c r="G113" t="s">
        <v>170</v>
      </c>
      <c r="H113" s="14">
        <v>460</v>
      </c>
      <c r="I113">
        <f>IF(TbRegistroEntradas[[#This Row],[Data do Caixa Realizado]]="",0,MONTH(TbRegistroEntradas[[#This Row],[Data do Caixa Realizado]]))</f>
        <v>8</v>
      </c>
      <c r="J113">
        <f>IF(TbRegistroEntradas[[#This Row],[Data do Caixa Realizado]]="",0,YEAR(TbRegistroEntradas[[#This Row],[Data do Caixa Realizado]]))</f>
        <v>2018</v>
      </c>
      <c r="K113">
        <f>IF(TbRegistroEntradas[[#This Row],[Data da Competência]]="",0,MONTH(TbRegistroEntradas[[#This Row],[Data da Competência]]))</f>
        <v>6</v>
      </c>
      <c r="L113">
        <f>IF(TbRegistroEntradas[[#This Row],[Data da Competência]]="",0,YEAR(TbRegistroEntradas[[#This Row],[Data da Competência]]))</f>
        <v>2018</v>
      </c>
      <c r="M113" s="53">
        <f>IF(TbRegistroEntradas[[#This Row],[Data do Caixa Previsto]]="",0,MONTH(TbRegistroEntradas[[#This Row],[Data do Caixa Previsto]]))</f>
        <v>7</v>
      </c>
      <c r="N113" s="53">
        <f>IF(TbRegistroEntradas[[#This Row],[Data do Caixa Previsto]]="",0,YEAR(TbRegistroEntradas[[#This Row],[Data do Caixa Previsto]]))</f>
        <v>2018</v>
      </c>
      <c r="O113" s="53" t="str">
        <f ca="1">IF(AND(TbRegistroEntradas[[#This Row],[Data do Caixa Previsto]]&lt;TODAY(),TbRegistroEntradas[[#This Row],[Data do Caixa Realizado]]=""),"Vencida","Não Vencida")</f>
        <v>Não Vencida</v>
      </c>
      <c r="P113" s="53" t="str">
        <f>IF(TbRegistroEntradas[[#This Row],[Data da Competência]]=TbRegistroEntradas[[#This Row],[Data do Caixa Previsto]],"Vista","Prazo")</f>
        <v>Prazo</v>
      </c>
      <c r="Q113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18.749179615020694</v>
      </c>
    </row>
    <row r="114" spans="2:17" x14ac:dyDescent="0.3">
      <c r="B114" s="8" t="s">
        <v>70</v>
      </c>
      <c r="C114" s="8">
        <v>43275</v>
      </c>
      <c r="D114" s="8">
        <v>43313.637699425337</v>
      </c>
      <c r="E114" t="s">
        <v>27</v>
      </c>
      <c r="F114" t="s">
        <v>37</v>
      </c>
      <c r="G114" t="s">
        <v>171</v>
      </c>
      <c r="H114" s="14">
        <v>770</v>
      </c>
      <c r="I114">
        <f>IF(TbRegistroEntradas[[#This Row],[Data do Caixa Realizado]]="",0,MONTH(TbRegistroEntradas[[#This Row],[Data do Caixa Realizado]]))</f>
        <v>0</v>
      </c>
      <c r="J114">
        <f>IF(TbRegistroEntradas[[#This Row],[Data do Caixa Realizado]]="",0,YEAR(TbRegistroEntradas[[#This Row],[Data do Caixa Realizado]]))</f>
        <v>0</v>
      </c>
      <c r="K114">
        <f>IF(TbRegistroEntradas[[#This Row],[Data da Competência]]="",0,MONTH(TbRegistroEntradas[[#This Row],[Data da Competência]]))</f>
        <v>6</v>
      </c>
      <c r="L114">
        <f>IF(TbRegistroEntradas[[#This Row],[Data da Competência]]="",0,YEAR(TbRegistroEntradas[[#This Row],[Data da Competência]]))</f>
        <v>2018</v>
      </c>
      <c r="M114" s="53">
        <f>IF(TbRegistroEntradas[[#This Row],[Data do Caixa Previsto]]="",0,MONTH(TbRegistroEntradas[[#This Row],[Data do Caixa Previsto]]))</f>
        <v>8</v>
      </c>
      <c r="N114" s="53">
        <f>IF(TbRegistroEntradas[[#This Row],[Data do Caixa Previsto]]="",0,YEAR(TbRegistroEntradas[[#This Row],[Data do Caixa Previsto]]))</f>
        <v>2018</v>
      </c>
      <c r="O114" s="53" t="str">
        <f ca="1">IF(AND(TbRegistroEntradas[[#This Row],[Data do Caixa Previsto]]&lt;TODAY(),TbRegistroEntradas[[#This Row],[Data do Caixa Realizado]]=""),"Vencida","Não Vencida")</f>
        <v>Vencida</v>
      </c>
      <c r="P114" s="53" t="str">
        <f>IF(TbRegistroEntradas[[#This Row],[Data da Competência]]=TbRegistroEntradas[[#This Row],[Data do Caixa Previsto]],"Vista","Prazo")</f>
        <v>Prazo</v>
      </c>
      <c r="Q114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2295.3623005746631</v>
      </c>
    </row>
    <row r="115" spans="2:17" x14ac:dyDescent="0.3">
      <c r="B115" s="8">
        <v>43321.066181249873</v>
      </c>
      <c r="C115" s="8">
        <v>43276</v>
      </c>
      <c r="D115" s="8">
        <v>43317.738042183715</v>
      </c>
      <c r="E115" t="s">
        <v>27</v>
      </c>
      <c r="F115" t="s">
        <v>36</v>
      </c>
      <c r="G115" t="s">
        <v>172</v>
      </c>
      <c r="H115" s="14">
        <v>3646</v>
      </c>
      <c r="I115">
        <f>IF(TbRegistroEntradas[[#This Row],[Data do Caixa Realizado]]="",0,MONTH(TbRegistroEntradas[[#This Row],[Data do Caixa Realizado]]))</f>
        <v>8</v>
      </c>
      <c r="J115">
        <f>IF(TbRegistroEntradas[[#This Row],[Data do Caixa Realizado]]="",0,YEAR(TbRegistroEntradas[[#This Row],[Data do Caixa Realizado]]))</f>
        <v>2018</v>
      </c>
      <c r="K115">
        <f>IF(TbRegistroEntradas[[#This Row],[Data da Competência]]="",0,MONTH(TbRegistroEntradas[[#This Row],[Data da Competência]]))</f>
        <v>6</v>
      </c>
      <c r="L115">
        <f>IF(TbRegistroEntradas[[#This Row],[Data da Competência]]="",0,YEAR(TbRegistroEntradas[[#This Row],[Data da Competência]]))</f>
        <v>2018</v>
      </c>
      <c r="M115" s="53">
        <f>IF(TbRegistroEntradas[[#This Row],[Data do Caixa Previsto]]="",0,MONTH(TbRegistroEntradas[[#This Row],[Data do Caixa Previsto]]))</f>
        <v>8</v>
      </c>
      <c r="N115" s="53">
        <f>IF(TbRegistroEntradas[[#This Row],[Data do Caixa Previsto]]="",0,YEAR(TbRegistroEntradas[[#This Row],[Data do Caixa Previsto]]))</f>
        <v>2018</v>
      </c>
      <c r="O115" s="53" t="str">
        <f ca="1">IF(AND(TbRegistroEntradas[[#This Row],[Data do Caixa Previsto]]&lt;TODAY(),TbRegistroEntradas[[#This Row],[Data do Caixa Realizado]]=""),"Vencida","Não Vencida")</f>
        <v>Não Vencida</v>
      </c>
      <c r="P115" s="53" t="str">
        <f>IF(TbRegistroEntradas[[#This Row],[Data da Competência]]=TbRegistroEntradas[[#This Row],[Data do Caixa Previsto]],"Vista","Prazo")</f>
        <v>Prazo</v>
      </c>
      <c r="Q115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3.3281390661577461</v>
      </c>
    </row>
    <row r="116" spans="2:17" x14ac:dyDescent="0.3">
      <c r="B116" s="8">
        <v>43328.896220051167</v>
      </c>
      <c r="C116" s="8">
        <v>43280</v>
      </c>
      <c r="D116" s="8">
        <v>43328.896220051167</v>
      </c>
      <c r="E116" t="s">
        <v>27</v>
      </c>
      <c r="F116" t="s">
        <v>36</v>
      </c>
      <c r="G116" t="s">
        <v>173</v>
      </c>
      <c r="H116" s="14">
        <v>2376</v>
      </c>
      <c r="I116">
        <f>IF(TbRegistroEntradas[[#This Row],[Data do Caixa Realizado]]="",0,MONTH(TbRegistroEntradas[[#This Row],[Data do Caixa Realizado]]))</f>
        <v>8</v>
      </c>
      <c r="J116">
        <f>IF(TbRegistroEntradas[[#This Row],[Data do Caixa Realizado]]="",0,YEAR(TbRegistroEntradas[[#This Row],[Data do Caixa Realizado]]))</f>
        <v>2018</v>
      </c>
      <c r="K116">
        <f>IF(TbRegistroEntradas[[#This Row],[Data da Competência]]="",0,MONTH(TbRegistroEntradas[[#This Row],[Data da Competência]]))</f>
        <v>6</v>
      </c>
      <c r="L116">
        <f>IF(TbRegistroEntradas[[#This Row],[Data da Competência]]="",0,YEAR(TbRegistroEntradas[[#This Row],[Data da Competência]]))</f>
        <v>2018</v>
      </c>
      <c r="M116" s="53">
        <f>IF(TbRegistroEntradas[[#This Row],[Data do Caixa Previsto]]="",0,MONTH(TbRegistroEntradas[[#This Row],[Data do Caixa Previsto]]))</f>
        <v>8</v>
      </c>
      <c r="N116" s="53">
        <f>IF(TbRegistroEntradas[[#This Row],[Data do Caixa Previsto]]="",0,YEAR(TbRegistroEntradas[[#This Row],[Data do Caixa Previsto]]))</f>
        <v>2018</v>
      </c>
      <c r="O116" s="53" t="str">
        <f ca="1">IF(AND(TbRegistroEntradas[[#This Row],[Data do Caixa Previsto]]&lt;TODAY(),TbRegistroEntradas[[#This Row],[Data do Caixa Realizado]]=""),"Vencida","Não Vencida")</f>
        <v>Não Vencida</v>
      </c>
      <c r="P116" s="53" t="str">
        <f>IF(TbRegistroEntradas[[#This Row],[Data da Competência]]=TbRegistroEntradas[[#This Row],[Data do Caixa Previsto]],"Vista","Prazo")</f>
        <v>Prazo</v>
      </c>
      <c r="Q116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17" spans="2:17" x14ac:dyDescent="0.3">
      <c r="B117" s="8">
        <v>43310.362560784597</v>
      </c>
      <c r="C117" s="8">
        <v>43284</v>
      </c>
      <c r="D117" s="8">
        <v>43310.362560784597</v>
      </c>
      <c r="E117" t="s">
        <v>27</v>
      </c>
      <c r="F117" t="s">
        <v>36</v>
      </c>
      <c r="G117" t="s">
        <v>174</v>
      </c>
      <c r="H117" s="14">
        <v>3940</v>
      </c>
      <c r="I117">
        <f>IF(TbRegistroEntradas[[#This Row],[Data do Caixa Realizado]]="",0,MONTH(TbRegistroEntradas[[#This Row],[Data do Caixa Realizado]]))</f>
        <v>7</v>
      </c>
      <c r="J117">
        <f>IF(TbRegistroEntradas[[#This Row],[Data do Caixa Realizado]]="",0,YEAR(TbRegistroEntradas[[#This Row],[Data do Caixa Realizado]]))</f>
        <v>2018</v>
      </c>
      <c r="K117">
        <f>IF(TbRegistroEntradas[[#This Row],[Data da Competência]]="",0,MONTH(TbRegistroEntradas[[#This Row],[Data da Competência]]))</f>
        <v>7</v>
      </c>
      <c r="L117">
        <f>IF(TbRegistroEntradas[[#This Row],[Data da Competência]]="",0,YEAR(TbRegistroEntradas[[#This Row],[Data da Competência]]))</f>
        <v>2018</v>
      </c>
      <c r="M117" s="53">
        <f>IF(TbRegistroEntradas[[#This Row],[Data do Caixa Previsto]]="",0,MONTH(TbRegistroEntradas[[#This Row],[Data do Caixa Previsto]]))</f>
        <v>7</v>
      </c>
      <c r="N117" s="53">
        <f>IF(TbRegistroEntradas[[#This Row],[Data do Caixa Previsto]]="",0,YEAR(TbRegistroEntradas[[#This Row],[Data do Caixa Previsto]]))</f>
        <v>2018</v>
      </c>
      <c r="O117" s="53" t="str">
        <f ca="1">IF(AND(TbRegistroEntradas[[#This Row],[Data do Caixa Previsto]]&lt;TODAY(),TbRegistroEntradas[[#This Row],[Data do Caixa Realizado]]=""),"Vencida","Não Vencida")</f>
        <v>Não Vencida</v>
      </c>
      <c r="P117" s="53" t="str">
        <f>IF(TbRegistroEntradas[[#This Row],[Data da Competência]]=TbRegistroEntradas[[#This Row],[Data do Caixa Previsto]],"Vista","Prazo")</f>
        <v>Prazo</v>
      </c>
      <c r="Q117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18" spans="2:17" x14ac:dyDescent="0.3">
      <c r="B118" s="8">
        <v>43343.848263098727</v>
      </c>
      <c r="C118" s="8">
        <v>43285</v>
      </c>
      <c r="D118" s="8">
        <v>43343.848263098727</v>
      </c>
      <c r="E118" t="s">
        <v>27</v>
      </c>
      <c r="F118" t="s">
        <v>36</v>
      </c>
      <c r="G118" t="s">
        <v>175</v>
      </c>
      <c r="H118" s="14">
        <v>1732</v>
      </c>
      <c r="I118">
        <f>IF(TbRegistroEntradas[[#This Row],[Data do Caixa Realizado]]="",0,MONTH(TbRegistroEntradas[[#This Row],[Data do Caixa Realizado]]))</f>
        <v>8</v>
      </c>
      <c r="J118">
        <f>IF(TbRegistroEntradas[[#This Row],[Data do Caixa Realizado]]="",0,YEAR(TbRegistroEntradas[[#This Row],[Data do Caixa Realizado]]))</f>
        <v>2018</v>
      </c>
      <c r="K118">
        <f>IF(TbRegistroEntradas[[#This Row],[Data da Competência]]="",0,MONTH(TbRegistroEntradas[[#This Row],[Data da Competência]]))</f>
        <v>7</v>
      </c>
      <c r="L118">
        <f>IF(TbRegistroEntradas[[#This Row],[Data da Competência]]="",0,YEAR(TbRegistroEntradas[[#This Row],[Data da Competência]]))</f>
        <v>2018</v>
      </c>
      <c r="M118" s="53">
        <f>IF(TbRegistroEntradas[[#This Row],[Data do Caixa Previsto]]="",0,MONTH(TbRegistroEntradas[[#This Row],[Data do Caixa Previsto]]))</f>
        <v>8</v>
      </c>
      <c r="N118" s="53">
        <f>IF(TbRegistroEntradas[[#This Row],[Data do Caixa Previsto]]="",0,YEAR(TbRegistroEntradas[[#This Row],[Data do Caixa Previsto]]))</f>
        <v>2018</v>
      </c>
      <c r="O118" s="53" t="str">
        <f ca="1">IF(AND(TbRegistroEntradas[[#This Row],[Data do Caixa Previsto]]&lt;TODAY(),TbRegistroEntradas[[#This Row],[Data do Caixa Realizado]]=""),"Vencida","Não Vencida")</f>
        <v>Não Vencida</v>
      </c>
      <c r="P118" s="53" t="str">
        <f>IF(TbRegistroEntradas[[#This Row],[Data da Competência]]=TbRegistroEntradas[[#This Row],[Data do Caixa Previsto]],"Vista","Prazo")</f>
        <v>Prazo</v>
      </c>
      <c r="Q118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19" spans="2:17" x14ac:dyDescent="0.3">
      <c r="B119" s="8">
        <v>43316.086897207155</v>
      </c>
      <c r="C119" s="8">
        <v>43286</v>
      </c>
      <c r="D119" s="8">
        <v>43316.086897207155</v>
      </c>
      <c r="E119" t="s">
        <v>27</v>
      </c>
      <c r="F119" t="s">
        <v>35</v>
      </c>
      <c r="G119" t="s">
        <v>176</v>
      </c>
      <c r="H119" s="14">
        <v>1306</v>
      </c>
      <c r="I119">
        <f>IF(TbRegistroEntradas[[#This Row],[Data do Caixa Realizado]]="",0,MONTH(TbRegistroEntradas[[#This Row],[Data do Caixa Realizado]]))</f>
        <v>8</v>
      </c>
      <c r="J119">
        <f>IF(TbRegistroEntradas[[#This Row],[Data do Caixa Realizado]]="",0,YEAR(TbRegistroEntradas[[#This Row],[Data do Caixa Realizado]]))</f>
        <v>2018</v>
      </c>
      <c r="K119">
        <f>IF(TbRegistroEntradas[[#This Row],[Data da Competência]]="",0,MONTH(TbRegistroEntradas[[#This Row],[Data da Competência]]))</f>
        <v>7</v>
      </c>
      <c r="L119">
        <f>IF(TbRegistroEntradas[[#This Row],[Data da Competência]]="",0,YEAR(TbRegistroEntradas[[#This Row],[Data da Competência]]))</f>
        <v>2018</v>
      </c>
      <c r="M119" s="53">
        <f>IF(TbRegistroEntradas[[#This Row],[Data do Caixa Previsto]]="",0,MONTH(TbRegistroEntradas[[#This Row],[Data do Caixa Previsto]]))</f>
        <v>8</v>
      </c>
      <c r="N119" s="53">
        <f>IF(TbRegistroEntradas[[#This Row],[Data do Caixa Previsto]]="",0,YEAR(TbRegistroEntradas[[#This Row],[Data do Caixa Previsto]]))</f>
        <v>2018</v>
      </c>
      <c r="O119" s="53" t="str">
        <f ca="1">IF(AND(TbRegistroEntradas[[#This Row],[Data do Caixa Previsto]]&lt;TODAY(),TbRegistroEntradas[[#This Row],[Data do Caixa Realizado]]=""),"Vencida","Não Vencida")</f>
        <v>Não Vencida</v>
      </c>
      <c r="P119" s="53" t="str">
        <f>IF(TbRegistroEntradas[[#This Row],[Data da Competência]]=TbRegistroEntradas[[#This Row],[Data do Caixa Previsto]],"Vista","Prazo")</f>
        <v>Prazo</v>
      </c>
      <c r="Q119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20" spans="2:17" x14ac:dyDescent="0.3">
      <c r="B120" s="8">
        <v>43336.184362990563</v>
      </c>
      <c r="C120" s="8">
        <v>43288</v>
      </c>
      <c r="D120" s="8">
        <v>43336.184362990563</v>
      </c>
      <c r="E120" t="s">
        <v>27</v>
      </c>
      <c r="F120" t="s">
        <v>34</v>
      </c>
      <c r="G120" t="s">
        <v>177</v>
      </c>
      <c r="H120" s="14">
        <v>3954</v>
      </c>
      <c r="I120">
        <f>IF(TbRegistroEntradas[[#This Row],[Data do Caixa Realizado]]="",0,MONTH(TbRegistroEntradas[[#This Row],[Data do Caixa Realizado]]))</f>
        <v>8</v>
      </c>
      <c r="J120">
        <f>IF(TbRegistroEntradas[[#This Row],[Data do Caixa Realizado]]="",0,YEAR(TbRegistroEntradas[[#This Row],[Data do Caixa Realizado]]))</f>
        <v>2018</v>
      </c>
      <c r="K120">
        <f>IF(TbRegistroEntradas[[#This Row],[Data da Competência]]="",0,MONTH(TbRegistroEntradas[[#This Row],[Data da Competência]]))</f>
        <v>7</v>
      </c>
      <c r="L120">
        <f>IF(TbRegistroEntradas[[#This Row],[Data da Competência]]="",0,YEAR(TbRegistroEntradas[[#This Row],[Data da Competência]]))</f>
        <v>2018</v>
      </c>
      <c r="M120" s="53">
        <f>IF(TbRegistroEntradas[[#This Row],[Data do Caixa Previsto]]="",0,MONTH(TbRegistroEntradas[[#This Row],[Data do Caixa Previsto]]))</f>
        <v>8</v>
      </c>
      <c r="N120" s="53">
        <f>IF(TbRegistroEntradas[[#This Row],[Data do Caixa Previsto]]="",0,YEAR(TbRegistroEntradas[[#This Row],[Data do Caixa Previsto]]))</f>
        <v>2018</v>
      </c>
      <c r="O120" s="53" t="str">
        <f ca="1">IF(AND(TbRegistroEntradas[[#This Row],[Data do Caixa Previsto]]&lt;TODAY(),TbRegistroEntradas[[#This Row],[Data do Caixa Realizado]]=""),"Vencida","Não Vencida")</f>
        <v>Não Vencida</v>
      </c>
      <c r="P120" s="53" t="str">
        <f>IF(TbRegistroEntradas[[#This Row],[Data da Competência]]=TbRegistroEntradas[[#This Row],[Data do Caixa Previsto]],"Vista","Prazo")</f>
        <v>Prazo</v>
      </c>
      <c r="Q120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21" spans="2:17" x14ac:dyDescent="0.3">
      <c r="B121" s="8">
        <v>43367.055849144577</v>
      </c>
      <c r="C121" s="8">
        <v>43292</v>
      </c>
      <c r="D121" s="8">
        <v>43323.658986192779</v>
      </c>
      <c r="E121" t="s">
        <v>27</v>
      </c>
      <c r="F121" t="s">
        <v>37</v>
      </c>
      <c r="G121" t="s">
        <v>178</v>
      </c>
      <c r="H121" s="14">
        <v>4090</v>
      </c>
      <c r="I121">
        <f>IF(TbRegistroEntradas[[#This Row],[Data do Caixa Realizado]]="",0,MONTH(TbRegistroEntradas[[#This Row],[Data do Caixa Realizado]]))</f>
        <v>9</v>
      </c>
      <c r="J121">
        <f>IF(TbRegistroEntradas[[#This Row],[Data do Caixa Realizado]]="",0,YEAR(TbRegistroEntradas[[#This Row],[Data do Caixa Realizado]]))</f>
        <v>2018</v>
      </c>
      <c r="K121">
        <f>IF(TbRegistroEntradas[[#This Row],[Data da Competência]]="",0,MONTH(TbRegistroEntradas[[#This Row],[Data da Competência]]))</f>
        <v>7</v>
      </c>
      <c r="L121">
        <f>IF(TbRegistroEntradas[[#This Row],[Data da Competência]]="",0,YEAR(TbRegistroEntradas[[#This Row],[Data da Competência]]))</f>
        <v>2018</v>
      </c>
      <c r="M121" s="53">
        <f>IF(TbRegistroEntradas[[#This Row],[Data do Caixa Previsto]]="",0,MONTH(TbRegistroEntradas[[#This Row],[Data do Caixa Previsto]]))</f>
        <v>8</v>
      </c>
      <c r="N121" s="53">
        <f>IF(TbRegistroEntradas[[#This Row],[Data do Caixa Previsto]]="",0,YEAR(TbRegistroEntradas[[#This Row],[Data do Caixa Previsto]]))</f>
        <v>2018</v>
      </c>
      <c r="O121" s="53" t="str">
        <f ca="1">IF(AND(TbRegistroEntradas[[#This Row],[Data do Caixa Previsto]]&lt;TODAY(),TbRegistroEntradas[[#This Row],[Data do Caixa Realizado]]=""),"Vencida","Não Vencida")</f>
        <v>Não Vencida</v>
      </c>
      <c r="P121" s="53" t="str">
        <f>IF(TbRegistroEntradas[[#This Row],[Data da Competência]]=TbRegistroEntradas[[#This Row],[Data do Caixa Previsto]],"Vista","Prazo")</f>
        <v>Prazo</v>
      </c>
      <c r="Q121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43.396862951798539</v>
      </c>
    </row>
    <row r="122" spans="2:17" x14ac:dyDescent="0.3">
      <c r="B122" s="8">
        <v>43311.051743268465</v>
      </c>
      <c r="C122" s="8">
        <v>43293</v>
      </c>
      <c r="D122" s="8">
        <v>43311.051743268465</v>
      </c>
      <c r="E122" t="s">
        <v>27</v>
      </c>
      <c r="F122" t="s">
        <v>33</v>
      </c>
      <c r="G122" t="s">
        <v>179</v>
      </c>
      <c r="H122" s="14">
        <v>2713</v>
      </c>
      <c r="I122">
        <f>IF(TbRegistroEntradas[[#This Row],[Data do Caixa Realizado]]="",0,MONTH(TbRegistroEntradas[[#This Row],[Data do Caixa Realizado]]))</f>
        <v>7</v>
      </c>
      <c r="J122">
        <f>IF(TbRegistroEntradas[[#This Row],[Data do Caixa Realizado]]="",0,YEAR(TbRegistroEntradas[[#This Row],[Data do Caixa Realizado]]))</f>
        <v>2018</v>
      </c>
      <c r="K122">
        <f>IF(TbRegistroEntradas[[#This Row],[Data da Competência]]="",0,MONTH(TbRegistroEntradas[[#This Row],[Data da Competência]]))</f>
        <v>7</v>
      </c>
      <c r="L122">
        <f>IF(TbRegistroEntradas[[#This Row],[Data da Competência]]="",0,YEAR(TbRegistroEntradas[[#This Row],[Data da Competência]]))</f>
        <v>2018</v>
      </c>
      <c r="M122" s="53">
        <f>IF(TbRegistroEntradas[[#This Row],[Data do Caixa Previsto]]="",0,MONTH(TbRegistroEntradas[[#This Row],[Data do Caixa Previsto]]))</f>
        <v>7</v>
      </c>
      <c r="N122" s="53">
        <f>IF(TbRegistroEntradas[[#This Row],[Data do Caixa Previsto]]="",0,YEAR(TbRegistroEntradas[[#This Row],[Data do Caixa Previsto]]))</f>
        <v>2018</v>
      </c>
      <c r="O122" s="53" t="str">
        <f ca="1">IF(AND(TbRegistroEntradas[[#This Row],[Data do Caixa Previsto]]&lt;TODAY(),TbRegistroEntradas[[#This Row],[Data do Caixa Realizado]]=""),"Vencida","Não Vencida")</f>
        <v>Não Vencida</v>
      </c>
      <c r="P122" s="53" t="str">
        <f>IF(TbRegistroEntradas[[#This Row],[Data da Competência]]=TbRegistroEntradas[[#This Row],[Data do Caixa Previsto]],"Vista","Prazo")</f>
        <v>Prazo</v>
      </c>
      <c r="Q122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23" spans="2:17" x14ac:dyDescent="0.3">
      <c r="B123" s="8">
        <v>43302.671415134202</v>
      </c>
      <c r="C123" s="8">
        <v>43297</v>
      </c>
      <c r="D123" s="8">
        <v>43302.671415134202</v>
      </c>
      <c r="E123" t="s">
        <v>27</v>
      </c>
      <c r="F123" t="s">
        <v>36</v>
      </c>
      <c r="G123" t="s">
        <v>180</v>
      </c>
      <c r="H123" s="14">
        <v>3482</v>
      </c>
      <c r="I123">
        <f>IF(TbRegistroEntradas[[#This Row],[Data do Caixa Realizado]]="",0,MONTH(TbRegistroEntradas[[#This Row],[Data do Caixa Realizado]]))</f>
        <v>7</v>
      </c>
      <c r="J123">
        <f>IF(TbRegistroEntradas[[#This Row],[Data do Caixa Realizado]]="",0,YEAR(TbRegistroEntradas[[#This Row],[Data do Caixa Realizado]]))</f>
        <v>2018</v>
      </c>
      <c r="K123">
        <f>IF(TbRegistroEntradas[[#This Row],[Data da Competência]]="",0,MONTH(TbRegistroEntradas[[#This Row],[Data da Competência]]))</f>
        <v>7</v>
      </c>
      <c r="L123">
        <f>IF(TbRegistroEntradas[[#This Row],[Data da Competência]]="",0,YEAR(TbRegistroEntradas[[#This Row],[Data da Competência]]))</f>
        <v>2018</v>
      </c>
      <c r="M123" s="53">
        <f>IF(TbRegistroEntradas[[#This Row],[Data do Caixa Previsto]]="",0,MONTH(TbRegistroEntradas[[#This Row],[Data do Caixa Previsto]]))</f>
        <v>7</v>
      </c>
      <c r="N123" s="53">
        <f>IF(TbRegistroEntradas[[#This Row],[Data do Caixa Previsto]]="",0,YEAR(TbRegistroEntradas[[#This Row],[Data do Caixa Previsto]]))</f>
        <v>2018</v>
      </c>
      <c r="O123" s="53" t="str">
        <f ca="1">IF(AND(TbRegistroEntradas[[#This Row],[Data do Caixa Previsto]]&lt;TODAY(),TbRegistroEntradas[[#This Row],[Data do Caixa Realizado]]=""),"Vencida","Não Vencida")</f>
        <v>Não Vencida</v>
      </c>
      <c r="P123" s="53" t="str">
        <f>IF(TbRegistroEntradas[[#This Row],[Data da Competência]]=TbRegistroEntradas[[#This Row],[Data do Caixa Previsto]],"Vista","Prazo")</f>
        <v>Prazo</v>
      </c>
      <c r="Q123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24" spans="2:17" x14ac:dyDescent="0.3">
      <c r="B124" s="8">
        <v>43346.313143570049</v>
      </c>
      <c r="C124" s="8">
        <v>43299</v>
      </c>
      <c r="D124" s="8">
        <v>43346.313143570049</v>
      </c>
      <c r="E124" t="s">
        <v>27</v>
      </c>
      <c r="F124" t="s">
        <v>36</v>
      </c>
      <c r="G124" t="s">
        <v>181</v>
      </c>
      <c r="H124" s="14">
        <v>2071</v>
      </c>
      <c r="I124">
        <f>IF(TbRegistroEntradas[[#This Row],[Data do Caixa Realizado]]="",0,MONTH(TbRegistroEntradas[[#This Row],[Data do Caixa Realizado]]))</f>
        <v>9</v>
      </c>
      <c r="J124">
        <f>IF(TbRegistroEntradas[[#This Row],[Data do Caixa Realizado]]="",0,YEAR(TbRegistroEntradas[[#This Row],[Data do Caixa Realizado]]))</f>
        <v>2018</v>
      </c>
      <c r="K124">
        <f>IF(TbRegistroEntradas[[#This Row],[Data da Competência]]="",0,MONTH(TbRegistroEntradas[[#This Row],[Data da Competência]]))</f>
        <v>7</v>
      </c>
      <c r="L124">
        <f>IF(TbRegistroEntradas[[#This Row],[Data da Competência]]="",0,YEAR(TbRegistroEntradas[[#This Row],[Data da Competência]]))</f>
        <v>2018</v>
      </c>
      <c r="M124" s="53">
        <f>IF(TbRegistroEntradas[[#This Row],[Data do Caixa Previsto]]="",0,MONTH(TbRegistroEntradas[[#This Row],[Data do Caixa Previsto]]))</f>
        <v>9</v>
      </c>
      <c r="N124" s="53">
        <f>IF(TbRegistroEntradas[[#This Row],[Data do Caixa Previsto]]="",0,YEAR(TbRegistroEntradas[[#This Row],[Data do Caixa Previsto]]))</f>
        <v>2018</v>
      </c>
      <c r="O124" s="53" t="str">
        <f ca="1">IF(AND(TbRegistroEntradas[[#This Row],[Data do Caixa Previsto]]&lt;TODAY(),TbRegistroEntradas[[#This Row],[Data do Caixa Realizado]]=""),"Vencida","Não Vencida")</f>
        <v>Não Vencida</v>
      </c>
      <c r="P124" s="53" t="str">
        <f>IF(TbRegistroEntradas[[#This Row],[Data da Competência]]=TbRegistroEntradas[[#This Row],[Data do Caixa Previsto]],"Vista","Prazo")</f>
        <v>Prazo</v>
      </c>
      <c r="Q124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25" spans="2:17" x14ac:dyDescent="0.3">
      <c r="B125" s="8">
        <v>43333.777244922574</v>
      </c>
      <c r="C125" s="8">
        <v>43304</v>
      </c>
      <c r="D125" s="8">
        <v>43333.777244922574</v>
      </c>
      <c r="E125" t="s">
        <v>27</v>
      </c>
      <c r="F125" t="s">
        <v>37</v>
      </c>
      <c r="G125" t="s">
        <v>182</v>
      </c>
      <c r="H125" s="14">
        <v>4258</v>
      </c>
      <c r="I125">
        <f>IF(TbRegistroEntradas[[#This Row],[Data do Caixa Realizado]]="",0,MONTH(TbRegistroEntradas[[#This Row],[Data do Caixa Realizado]]))</f>
        <v>8</v>
      </c>
      <c r="J125">
        <f>IF(TbRegistroEntradas[[#This Row],[Data do Caixa Realizado]]="",0,YEAR(TbRegistroEntradas[[#This Row],[Data do Caixa Realizado]]))</f>
        <v>2018</v>
      </c>
      <c r="K125">
        <f>IF(TbRegistroEntradas[[#This Row],[Data da Competência]]="",0,MONTH(TbRegistroEntradas[[#This Row],[Data da Competência]]))</f>
        <v>7</v>
      </c>
      <c r="L125">
        <f>IF(TbRegistroEntradas[[#This Row],[Data da Competência]]="",0,YEAR(TbRegistroEntradas[[#This Row],[Data da Competência]]))</f>
        <v>2018</v>
      </c>
      <c r="M125" s="53">
        <f>IF(TbRegistroEntradas[[#This Row],[Data do Caixa Previsto]]="",0,MONTH(TbRegistroEntradas[[#This Row],[Data do Caixa Previsto]]))</f>
        <v>8</v>
      </c>
      <c r="N125" s="53">
        <f>IF(TbRegistroEntradas[[#This Row],[Data do Caixa Previsto]]="",0,YEAR(TbRegistroEntradas[[#This Row],[Data do Caixa Previsto]]))</f>
        <v>2018</v>
      </c>
      <c r="O125" s="53" t="str">
        <f ca="1">IF(AND(TbRegistroEntradas[[#This Row],[Data do Caixa Previsto]]&lt;TODAY(),TbRegistroEntradas[[#This Row],[Data do Caixa Realizado]]=""),"Vencida","Não Vencida")</f>
        <v>Não Vencida</v>
      </c>
      <c r="P125" s="53" t="str">
        <f>IF(TbRegistroEntradas[[#This Row],[Data da Competência]]=TbRegistroEntradas[[#This Row],[Data do Caixa Previsto]],"Vista","Prazo")</f>
        <v>Prazo</v>
      </c>
      <c r="Q125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26" spans="2:17" x14ac:dyDescent="0.3">
      <c r="B126" s="8">
        <v>43428.73128891184</v>
      </c>
      <c r="C126" s="8">
        <v>43306</v>
      </c>
      <c r="D126" s="8">
        <v>43350.178253053913</v>
      </c>
      <c r="E126" t="s">
        <v>27</v>
      </c>
      <c r="F126" t="s">
        <v>34</v>
      </c>
      <c r="G126" t="s">
        <v>183</v>
      </c>
      <c r="H126" s="14">
        <v>4383</v>
      </c>
      <c r="I126">
        <f>IF(TbRegistroEntradas[[#This Row],[Data do Caixa Realizado]]="",0,MONTH(TbRegistroEntradas[[#This Row],[Data do Caixa Realizado]]))</f>
        <v>11</v>
      </c>
      <c r="J126">
        <f>IF(TbRegistroEntradas[[#This Row],[Data do Caixa Realizado]]="",0,YEAR(TbRegistroEntradas[[#This Row],[Data do Caixa Realizado]]))</f>
        <v>2018</v>
      </c>
      <c r="K126">
        <f>IF(TbRegistroEntradas[[#This Row],[Data da Competência]]="",0,MONTH(TbRegistroEntradas[[#This Row],[Data da Competência]]))</f>
        <v>7</v>
      </c>
      <c r="L126">
        <f>IF(TbRegistroEntradas[[#This Row],[Data da Competência]]="",0,YEAR(TbRegistroEntradas[[#This Row],[Data da Competência]]))</f>
        <v>2018</v>
      </c>
      <c r="M126" s="53">
        <f>IF(TbRegistroEntradas[[#This Row],[Data do Caixa Previsto]]="",0,MONTH(TbRegistroEntradas[[#This Row],[Data do Caixa Previsto]]))</f>
        <v>9</v>
      </c>
      <c r="N126" s="53">
        <f>IF(TbRegistroEntradas[[#This Row],[Data do Caixa Previsto]]="",0,YEAR(TbRegistroEntradas[[#This Row],[Data do Caixa Previsto]]))</f>
        <v>2018</v>
      </c>
      <c r="O126" s="53" t="str">
        <f ca="1">IF(AND(TbRegistroEntradas[[#This Row],[Data do Caixa Previsto]]&lt;TODAY(),TbRegistroEntradas[[#This Row],[Data do Caixa Realizado]]=""),"Vencida","Não Vencida")</f>
        <v>Não Vencida</v>
      </c>
      <c r="P126" s="53" t="str">
        <f>IF(TbRegistroEntradas[[#This Row],[Data da Competência]]=TbRegistroEntradas[[#This Row],[Data do Caixa Previsto]],"Vista","Prazo")</f>
        <v>Prazo</v>
      </c>
      <c r="Q126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78.553035857927171</v>
      </c>
    </row>
    <row r="127" spans="2:17" x14ac:dyDescent="0.3">
      <c r="B127" s="8">
        <v>43352.69621488743</v>
      </c>
      <c r="C127" s="8">
        <v>43310</v>
      </c>
      <c r="D127" s="8">
        <v>43352.69621488743</v>
      </c>
      <c r="E127" t="s">
        <v>27</v>
      </c>
      <c r="F127" t="s">
        <v>36</v>
      </c>
      <c r="G127" t="s">
        <v>184</v>
      </c>
      <c r="H127" s="14">
        <v>1369</v>
      </c>
      <c r="I127">
        <f>IF(TbRegistroEntradas[[#This Row],[Data do Caixa Realizado]]="",0,MONTH(TbRegistroEntradas[[#This Row],[Data do Caixa Realizado]]))</f>
        <v>9</v>
      </c>
      <c r="J127">
        <f>IF(TbRegistroEntradas[[#This Row],[Data do Caixa Realizado]]="",0,YEAR(TbRegistroEntradas[[#This Row],[Data do Caixa Realizado]]))</f>
        <v>2018</v>
      </c>
      <c r="K127">
        <f>IF(TbRegistroEntradas[[#This Row],[Data da Competência]]="",0,MONTH(TbRegistroEntradas[[#This Row],[Data da Competência]]))</f>
        <v>7</v>
      </c>
      <c r="L127">
        <f>IF(TbRegistroEntradas[[#This Row],[Data da Competência]]="",0,YEAR(TbRegistroEntradas[[#This Row],[Data da Competência]]))</f>
        <v>2018</v>
      </c>
      <c r="M127" s="53">
        <f>IF(TbRegistroEntradas[[#This Row],[Data do Caixa Previsto]]="",0,MONTH(TbRegistroEntradas[[#This Row],[Data do Caixa Previsto]]))</f>
        <v>9</v>
      </c>
      <c r="N127" s="53">
        <f>IF(TbRegistroEntradas[[#This Row],[Data do Caixa Previsto]]="",0,YEAR(TbRegistroEntradas[[#This Row],[Data do Caixa Previsto]]))</f>
        <v>2018</v>
      </c>
      <c r="O127" s="53" t="str">
        <f ca="1">IF(AND(TbRegistroEntradas[[#This Row],[Data do Caixa Previsto]]&lt;TODAY(),TbRegistroEntradas[[#This Row],[Data do Caixa Realizado]]=""),"Vencida","Não Vencida")</f>
        <v>Não Vencida</v>
      </c>
      <c r="P127" s="53" t="str">
        <f>IF(TbRegistroEntradas[[#This Row],[Data da Competência]]=TbRegistroEntradas[[#This Row],[Data do Caixa Previsto]],"Vista","Prazo")</f>
        <v>Prazo</v>
      </c>
      <c r="Q127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28" spans="2:17" x14ac:dyDescent="0.3">
      <c r="B128" s="8">
        <v>43357.5698549507</v>
      </c>
      <c r="C128" s="8">
        <v>43315</v>
      </c>
      <c r="D128" s="8">
        <v>43357.5698549507</v>
      </c>
      <c r="E128" t="s">
        <v>27</v>
      </c>
      <c r="F128" t="s">
        <v>36</v>
      </c>
      <c r="G128" t="s">
        <v>185</v>
      </c>
      <c r="H128" s="14">
        <v>331</v>
      </c>
      <c r="I128">
        <f>IF(TbRegistroEntradas[[#This Row],[Data do Caixa Realizado]]="",0,MONTH(TbRegistroEntradas[[#This Row],[Data do Caixa Realizado]]))</f>
        <v>9</v>
      </c>
      <c r="J128">
        <f>IF(TbRegistroEntradas[[#This Row],[Data do Caixa Realizado]]="",0,YEAR(TbRegistroEntradas[[#This Row],[Data do Caixa Realizado]]))</f>
        <v>2018</v>
      </c>
      <c r="K128">
        <f>IF(TbRegistroEntradas[[#This Row],[Data da Competência]]="",0,MONTH(TbRegistroEntradas[[#This Row],[Data da Competência]]))</f>
        <v>8</v>
      </c>
      <c r="L128">
        <f>IF(TbRegistroEntradas[[#This Row],[Data da Competência]]="",0,YEAR(TbRegistroEntradas[[#This Row],[Data da Competência]]))</f>
        <v>2018</v>
      </c>
      <c r="M128" s="53">
        <f>IF(TbRegistroEntradas[[#This Row],[Data do Caixa Previsto]]="",0,MONTH(TbRegistroEntradas[[#This Row],[Data do Caixa Previsto]]))</f>
        <v>9</v>
      </c>
      <c r="N128" s="53">
        <f>IF(TbRegistroEntradas[[#This Row],[Data do Caixa Previsto]]="",0,YEAR(TbRegistroEntradas[[#This Row],[Data do Caixa Previsto]]))</f>
        <v>2018</v>
      </c>
      <c r="O128" s="53" t="str">
        <f ca="1">IF(AND(TbRegistroEntradas[[#This Row],[Data do Caixa Previsto]]&lt;TODAY(),TbRegistroEntradas[[#This Row],[Data do Caixa Realizado]]=""),"Vencida","Não Vencida")</f>
        <v>Não Vencida</v>
      </c>
      <c r="P128" s="53" t="str">
        <f>IF(TbRegistroEntradas[[#This Row],[Data da Competência]]=TbRegistroEntradas[[#This Row],[Data do Caixa Previsto]],"Vista","Prazo")</f>
        <v>Prazo</v>
      </c>
      <c r="Q128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29" spans="2:17" x14ac:dyDescent="0.3">
      <c r="B129" s="8">
        <v>43321.343775306508</v>
      </c>
      <c r="C129" s="8">
        <v>43318</v>
      </c>
      <c r="D129" s="8">
        <v>43321.343775306508</v>
      </c>
      <c r="E129" t="s">
        <v>27</v>
      </c>
      <c r="F129" t="s">
        <v>36</v>
      </c>
      <c r="G129" t="s">
        <v>186</v>
      </c>
      <c r="H129" s="14">
        <v>3031</v>
      </c>
      <c r="I129">
        <f>IF(TbRegistroEntradas[[#This Row],[Data do Caixa Realizado]]="",0,MONTH(TbRegistroEntradas[[#This Row],[Data do Caixa Realizado]]))</f>
        <v>8</v>
      </c>
      <c r="J129">
        <f>IF(TbRegistroEntradas[[#This Row],[Data do Caixa Realizado]]="",0,YEAR(TbRegistroEntradas[[#This Row],[Data do Caixa Realizado]]))</f>
        <v>2018</v>
      </c>
      <c r="K129">
        <f>IF(TbRegistroEntradas[[#This Row],[Data da Competência]]="",0,MONTH(TbRegistroEntradas[[#This Row],[Data da Competência]]))</f>
        <v>8</v>
      </c>
      <c r="L129">
        <f>IF(TbRegistroEntradas[[#This Row],[Data da Competência]]="",0,YEAR(TbRegistroEntradas[[#This Row],[Data da Competência]]))</f>
        <v>2018</v>
      </c>
      <c r="M129" s="53">
        <f>IF(TbRegistroEntradas[[#This Row],[Data do Caixa Previsto]]="",0,MONTH(TbRegistroEntradas[[#This Row],[Data do Caixa Previsto]]))</f>
        <v>8</v>
      </c>
      <c r="N129" s="53">
        <f>IF(TbRegistroEntradas[[#This Row],[Data do Caixa Previsto]]="",0,YEAR(TbRegistroEntradas[[#This Row],[Data do Caixa Previsto]]))</f>
        <v>2018</v>
      </c>
      <c r="O129" s="53" t="str">
        <f ca="1">IF(AND(TbRegistroEntradas[[#This Row],[Data do Caixa Previsto]]&lt;TODAY(),TbRegistroEntradas[[#This Row],[Data do Caixa Realizado]]=""),"Vencida","Não Vencida")</f>
        <v>Não Vencida</v>
      </c>
      <c r="P129" s="53" t="str">
        <f>IF(TbRegistroEntradas[[#This Row],[Data da Competência]]=TbRegistroEntradas[[#This Row],[Data do Caixa Previsto]],"Vista","Prazo")</f>
        <v>Prazo</v>
      </c>
      <c r="Q129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30" spans="2:17" x14ac:dyDescent="0.3">
      <c r="B130" s="8">
        <v>43341.446775987133</v>
      </c>
      <c r="C130" s="8">
        <v>43321</v>
      </c>
      <c r="D130" s="8">
        <v>43341.446775987133</v>
      </c>
      <c r="E130" t="s">
        <v>27</v>
      </c>
      <c r="F130" t="s">
        <v>34</v>
      </c>
      <c r="G130" t="s">
        <v>187</v>
      </c>
      <c r="H130" s="14">
        <v>1200</v>
      </c>
      <c r="I130">
        <f>IF(TbRegistroEntradas[[#This Row],[Data do Caixa Realizado]]="",0,MONTH(TbRegistroEntradas[[#This Row],[Data do Caixa Realizado]]))</f>
        <v>8</v>
      </c>
      <c r="J130">
        <f>IF(TbRegistroEntradas[[#This Row],[Data do Caixa Realizado]]="",0,YEAR(TbRegistroEntradas[[#This Row],[Data do Caixa Realizado]]))</f>
        <v>2018</v>
      </c>
      <c r="K130">
        <f>IF(TbRegistroEntradas[[#This Row],[Data da Competência]]="",0,MONTH(TbRegistroEntradas[[#This Row],[Data da Competência]]))</f>
        <v>8</v>
      </c>
      <c r="L130">
        <f>IF(TbRegistroEntradas[[#This Row],[Data da Competência]]="",0,YEAR(TbRegistroEntradas[[#This Row],[Data da Competência]]))</f>
        <v>2018</v>
      </c>
      <c r="M130" s="53">
        <f>IF(TbRegistroEntradas[[#This Row],[Data do Caixa Previsto]]="",0,MONTH(TbRegistroEntradas[[#This Row],[Data do Caixa Previsto]]))</f>
        <v>8</v>
      </c>
      <c r="N130" s="53">
        <f>IF(TbRegistroEntradas[[#This Row],[Data do Caixa Previsto]]="",0,YEAR(TbRegistroEntradas[[#This Row],[Data do Caixa Previsto]]))</f>
        <v>2018</v>
      </c>
      <c r="O130" s="53" t="str">
        <f ca="1">IF(AND(TbRegistroEntradas[[#This Row],[Data do Caixa Previsto]]&lt;TODAY(),TbRegistroEntradas[[#This Row],[Data do Caixa Realizado]]=""),"Vencida","Não Vencida")</f>
        <v>Não Vencida</v>
      </c>
      <c r="P130" s="53" t="str">
        <f>IF(TbRegistroEntradas[[#This Row],[Data da Competência]]=TbRegistroEntradas[[#This Row],[Data do Caixa Previsto]],"Vista","Prazo")</f>
        <v>Prazo</v>
      </c>
      <c r="Q130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31" spans="2:17" x14ac:dyDescent="0.3">
      <c r="B131" s="8">
        <v>43343.77071694022</v>
      </c>
      <c r="C131" s="8">
        <v>43323</v>
      </c>
      <c r="D131" s="8">
        <v>43343.77071694022</v>
      </c>
      <c r="E131" t="s">
        <v>27</v>
      </c>
      <c r="F131" t="s">
        <v>34</v>
      </c>
      <c r="G131" t="s">
        <v>188</v>
      </c>
      <c r="H131" s="14">
        <v>405</v>
      </c>
      <c r="I131">
        <f>IF(TbRegistroEntradas[[#This Row],[Data do Caixa Realizado]]="",0,MONTH(TbRegistroEntradas[[#This Row],[Data do Caixa Realizado]]))</f>
        <v>8</v>
      </c>
      <c r="J131">
        <f>IF(TbRegistroEntradas[[#This Row],[Data do Caixa Realizado]]="",0,YEAR(TbRegistroEntradas[[#This Row],[Data do Caixa Realizado]]))</f>
        <v>2018</v>
      </c>
      <c r="K131">
        <f>IF(TbRegistroEntradas[[#This Row],[Data da Competência]]="",0,MONTH(TbRegistroEntradas[[#This Row],[Data da Competência]]))</f>
        <v>8</v>
      </c>
      <c r="L131">
        <f>IF(TbRegistroEntradas[[#This Row],[Data da Competência]]="",0,YEAR(TbRegistroEntradas[[#This Row],[Data da Competência]]))</f>
        <v>2018</v>
      </c>
      <c r="M131" s="53">
        <f>IF(TbRegistroEntradas[[#This Row],[Data do Caixa Previsto]]="",0,MONTH(TbRegistroEntradas[[#This Row],[Data do Caixa Previsto]]))</f>
        <v>8</v>
      </c>
      <c r="N131" s="53">
        <f>IF(TbRegistroEntradas[[#This Row],[Data do Caixa Previsto]]="",0,YEAR(TbRegistroEntradas[[#This Row],[Data do Caixa Previsto]]))</f>
        <v>2018</v>
      </c>
      <c r="O131" s="53" t="str">
        <f ca="1">IF(AND(TbRegistroEntradas[[#This Row],[Data do Caixa Previsto]]&lt;TODAY(),TbRegistroEntradas[[#This Row],[Data do Caixa Realizado]]=""),"Vencida","Não Vencida")</f>
        <v>Não Vencida</v>
      </c>
      <c r="P131" s="53" t="str">
        <f>IF(TbRegistroEntradas[[#This Row],[Data da Competência]]=TbRegistroEntradas[[#This Row],[Data do Caixa Previsto]],"Vista","Prazo")</f>
        <v>Prazo</v>
      </c>
      <c r="Q131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32" spans="2:17" x14ac:dyDescent="0.3">
      <c r="B132" s="8">
        <v>43360.32999077069</v>
      </c>
      <c r="C132" s="8">
        <v>43326</v>
      </c>
      <c r="D132" s="8">
        <v>43360.32999077069</v>
      </c>
      <c r="E132" t="s">
        <v>27</v>
      </c>
      <c r="F132" t="s">
        <v>33</v>
      </c>
      <c r="G132" t="s">
        <v>154</v>
      </c>
      <c r="H132" s="14">
        <v>3080</v>
      </c>
      <c r="I132">
        <f>IF(TbRegistroEntradas[[#This Row],[Data do Caixa Realizado]]="",0,MONTH(TbRegistroEntradas[[#This Row],[Data do Caixa Realizado]]))</f>
        <v>9</v>
      </c>
      <c r="J132">
        <f>IF(TbRegistroEntradas[[#This Row],[Data do Caixa Realizado]]="",0,YEAR(TbRegistroEntradas[[#This Row],[Data do Caixa Realizado]]))</f>
        <v>2018</v>
      </c>
      <c r="K132">
        <f>IF(TbRegistroEntradas[[#This Row],[Data da Competência]]="",0,MONTH(TbRegistroEntradas[[#This Row],[Data da Competência]]))</f>
        <v>8</v>
      </c>
      <c r="L132">
        <f>IF(TbRegistroEntradas[[#This Row],[Data da Competência]]="",0,YEAR(TbRegistroEntradas[[#This Row],[Data da Competência]]))</f>
        <v>2018</v>
      </c>
      <c r="M132" s="53">
        <f>IF(TbRegistroEntradas[[#This Row],[Data do Caixa Previsto]]="",0,MONTH(TbRegistroEntradas[[#This Row],[Data do Caixa Previsto]]))</f>
        <v>9</v>
      </c>
      <c r="N132" s="53">
        <f>IF(TbRegistroEntradas[[#This Row],[Data do Caixa Previsto]]="",0,YEAR(TbRegistroEntradas[[#This Row],[Data do Caixa Previsto]]))</f>
        <v>2018</v>
      </c>
      <c r="O132" s="53" t="str">
        <f ca="1">IF(AND(TbRegistroEntradas[[#This Row],[Data do Caixa Previsto]]&lt;TODAY(),TbRegistroEntradas[[#This Row],[Data do Caixa Realizado]]=""),"Vencida","Não Vencida")</f>
        <v>Não Vencida</v>
      </c>
      <c r="P132" s="53" t="str">
        <f>IF(TbRegistroEntradas[[#This Row],[Data da Competência]]=TbRegistroEntradas[[#This Row],[Data do Caixa Previsto]],"Vista","Prazo")</f>
        <v>Prazo</v>
      </c>
      <c r="Q132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33" spans="2:17" x14ac:dyDescent="0.3">
      <c r="B133" s="8">
        <v>43329.315214521994</v>
      </c>
      <c r="C133" s="8">
        <v>43329</v>
      </c>
      <c r="D133" s="8">
        <v>43329.315214521994</v>
      </c>
      <c r="E133" t="s">
        <v>27</v>
      </c>
      <c r="F133" t="s">
        <v>36</v>
      </c>
      <c r="G133" t="s">
        <v>189</v>
      </c>
      <c r="H133" s="14">
        <v>2137</v>
      </c>
      <c r="I133">
        <f>IF(TbRegistroEntradas[[#This Row],[Data do Caixa Realizado]]="",0,MONTH(TbRegistroEntradas[[#This Row],[Data do Caixa Realizado]]))</f>
        <v>8</v>
      </c>
      <c r="J133">
        <f>IF(TbRegistroEntradas[[#This Row],[Data do Caixa Realizado]]="",0,YEAR(TbRegistroEntradas[[#This Row],[Data do Caixa Realizado]]))</f>
        <v>2018</v>
      </c>
      <c r="K133">
        <f>IF(TbRegistroEntradas[[#This Row],[Data da Competência]]="",0,MONTH(TbRegistroEntradas[[#This Row],[Data da Competência]]))</f>
        <v>8</v>
      </c>
      <c r="L133">
        <f>IF(TbRegistroEntradas[[#This Row],[Data da Competência]]="",0,YEAR(TbRegistroEntradas[[#This Row],[Data da Competência]]))</f>
        <v>2018</v>
      </c>
      <c r="M133" s="53">
        <f>IF(TbRegistroEntradas[[#This Row],[Data do Caixa Previsto]]="",0,MONTH(TbRegistroEntradas[[#This Row],[Data do Caixa Previsto]]))</f>
        <v>8</v>
      </c>
      <c r="N133" s="53">
        <f>IF(TbRegistroEntradas[[#This Row],[Data do Caixa Previsto]]="",0,YEAR(TbRegistroEntradas[[#This Row],[Data do Caixa Previsto]]))</f>
        <v>2018</v>
      </c>
      <c r="O133" s="53" t="str">
        <f ca="1">IF(AND(TbRegistroEntradas[[#This Row],[Data do Caixa Previsto]]&lt;TODAY(),TbRegistroEntradas[[#This Row],[Data do Caixa Realizado]]=""),"Vencida","Não Vencida")</f>
        <v>Não Vencida</v>
      </c>
      <c r="P133" s="53" t="str">
        <f>IF(TbRegistroEntradas[[#This Row],[Data da Competência]]=TbRegistroEntradas[[#This Row],[Data do Caixa Previsto]],"Vista","Prazo")</f>
        <v>Prazo</v>
      </c>
      <c r="Q133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34" spans="2:17" x14ac:dyDescent="0.3">
      <c r="B134" s="8">
        <v>43388.49957155843</v>
      </c>
      <c r="C134" s="8">
        <v>43336</v>
      </c>
      <c r="D134" s="8">
        <v>43388.49957155843</v>
      </c>
      <c r="E134" t="s">
        <v>27</v>
      </c>
      <c r="F134" t="s">
        <v>37</v>
      </c>
      <c r="G134" t="s">
        <v>190</v>
      </c>
      <c r="H134" s="14">
        <v>4287</v>
      </c>
      <c r="I134">
        <f>IF(TbRegistroEntradas[[#This Row],[Data do Caixa Realizado]]="",0,MONTH(TbRegistroEntradas[[#This Row],[Data do Caixa Realizado]]))</f>
        <v>10</v>
      </c>
      <c r="J134">
        <f>IF(TbRegistroEntradas[[#This Row],[Data do Caixa Realizado]]="",0,YEAR(TbRegistroEntradas[[#This Row],[Data do Caixa Realizado]]))</f>
        <v>2018</v>
      </c>
      <c r="K134">
        <f>IF(TbRegistroEntradas[[#This Row],[Data da Competência]]="",0,MONTH(TbRegistroEntradas[[#This Row],[Data da Competência]]))</f>
        <v>8</v>
      </c>
      <c r="L134">
        <f>IF(TbRegistroEntradas[[#This Row],[Data da Competência]]="",0,YEAR(TbRegistroEntradas[[#This Row],[Data da Competência]]))</f>
        <v>2018</v>
      </c>
      <c r="M134" s="53">
        <f>IF(TbRegistroEntradas[[#This Row],[Data do Caixa Previsto]]="",0,MONTH(TbRegistroEntradas[[#This Row],[Data do Caixa Previsto]]))</f>
        <v>10</v>
      </c>
      <c r="N134" s="53">
        <f>IF(TbRegistroEntradas[[#This Row],[Data do Caixa Previsto]]="",0,YEAR(TbRegistroEntradas[[#This Row],[Data do Caixa Previsto]]))</f>
        <v>2018</v>
      </c>
      <c r="O134" s="53" t="str">
        <f ca="1">IF(AND(TbRegistroEntradas[[#This Row],[Data do Caixa Previsto]]&lt;TODAY(),TbRegistroEntradas[[#This Row],[Data do Caixa Realizado]]=""),"Vencida","Não Vencida")</f>
        <v>Não Vencida</v>
      </c>
      <c r="P134" s="53" t="str">
        <f>IF(TbRegistroEntradas[[#This Row],[Data da Competência]]=TbRegistroEntradas[[#This Row],[Data do Caixa Previsto]],"Vista","Prazo")</f>
        <v>Prazo</v>
      </c>
      <c r="Q134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35" spans="2:17" x14ac:dyDescent="0.3">
      <c r="B135" s="8">
        <v>43395.898810917068</v>
      </c>
      <c r="C135" s="8">
        <v>43338</v>
      </c>
      <c r="D135" s="8">
        <v>43395.898810917068</v>
      </c>
      <c r="E135" t="s">
        <v>27</v>
      </c>
      <c r="F135" t="s">
        <v>37</v>
      </c>
      <c r="G135" t="s">
        <v>191</v>
      </c>
      <c r="H135" s="14">
        <v>4857</v>
      </c>
      <c r="I135">
        <f>IF(TbRegistroEntradas[[#This Row],[Data do Caixa Realizado]]="",0,MONTH(TbRegistroEntradas[[#This Row],[Data do Caixa Realizado]]))</f>
        <v>10</v>
      </c>
      <c r="J135">
        <f>IF(TbRegistroEntradas[[#This Row],[Data do Caixa Realizado]]="",0,YEAR(TbRegistroEntradas[[#This Row],[Data do Caixa Realizado]]))</f>
        <v>2018</v>
      </c>
      <c r="K135">
        <f>IF(TbRegistroEntradas[[#This Row],[Data da Competência]]="",0,MONTH(TbRegistroEntradas[[#This Row],[Data da Competência]]))</f>
        <v>8</v>
      </c>
      <c r="L135">
        <f>IF(TbRegistroEntradas[[#This Row],[Data da Competência]]="",0,YEAR(TbRegistroEntradas[[#This Row],[Data da Competência]]))</f>
        <v>2018</v>
      </c>
      <c r="M135" s="53">
        <f>IF(TbRegistroEntradas[[#This Row],[Data do Caixa Previsto]]="",0,MONTH(TbRegistroEntradas[[#This Row],[Data do Caixa Previsto]]))</f>
        <v>10</v>
      </c>
      <c r="N135" s="53">
        <f>IF(TbRegistroEntradas[[#This Row],[Data do Caixa Previsto]]="",0,YEAR(TbRegistroEntradas[[#This Row],[Data do Caixa Previsto]]))</f>
        <v>2018</v>
      </c>
      <c r="O135" s="53" t="str">
        <f ca="1">IF(AND(TbRegistroEntradas[[#This Row],[Data do Caixa Previsto]]&lt;TODAY(),TbRegistroEntradas[[#This Row],[Data do Caixa Realizado]]=""),"Vencida","Não Vencida")</f>
        <v>Não Vencida</v>
      </c>
      <c r="P135" s="53" t="str">
        <f>IF(TbRegistroEntradas[[#This Row],[Data da Competência]]=TbRegistroEntradas[[#This Row],[Data do Caixa Previsto]],"Vista","Prazo")</f>
        <v>Prazo</v>
      </c>
      <c r="Q135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36" spans="2:17" x14ac:dyDescent="0.3">
      <c r="B136" s="8">
        <v>43393.910050358987</v>
      </c>
      <c r="C136" s="8">
        <v>43342</v>
      </c>
      <c r="D136" s="8">
        <v>43393.910050358987</v>
      </c>
      <c r="E136" t="s">
        <v>27</v>
      </c>
      <c r="F136" t="s">
        <v>36</v>
      </c>
      <c r="G136" t="s">
        <v>192</v>
      </c>
      <c r="H136" s="14">
        <v>507</v>
      </c>
      <c r="I136">
        <f>IF(TbRegistroEntradas[[#This Row],[Data do Caixa Realizado]]="",0,MONTH(TbRegistroEntradas[[#This Row],[Data do Caixa Realizado]]))</f>
        <v>10</v>
      </c>
      <c r="J136">
        <f>IF(TbRegistroEntradas[[#This Row],[Data do Caixa Realizado]]="",0,YEAR(TbRegistroEntradas[[#This Row],[Data do Caixa Realizado]]))</f>
        <v>2018</v>
      </c>
      <c r="K136">
        <f>IF(TbRegistroEntradas[[#This Row],[Data da Competência]]="",0,MONTH(TbRegistroEntradas[[#This Row],[Data da Competência]]))</f>
        <v>8</v>
      </c>
      <c r="L136">
        <f>IF(TbRegistroEntradas[[#This Row],[Data da Competência]]="",0,YEAR(TbRegistroEntradas[[#This Row],[Data da Competência]]))</f>
        <v>2018</v>
      </c>
      <c r="M136" s="53">
        <f>IF(TbRegistroEntradas[[#This Row],[Data do Caixa Previsto]]="",0,MONTH(TbRegistroEntradas[[#This Row],[Data do Caixa Previsto]]))</f>
        <v>10</v>
      </c>
      <c r="N136" s="53">
        <f>IF(TbRegistroEntradas[[#This Row],[Data do Caixa Previsto]]="",0,YEAR(TbRegistroEntradas[[#This Row],[Data do Caixa Previsto]]))</f>
        <v>2018</v>
      </c>
      <c r="O136" s="53" t="str">
        <f ca="1">IF(AND(TbRegistroEntradas[[#This Row],[Data do Caixa Previsto]]&lt;TODAY(),TbRegistroEntradas[[#This Row],[Data do Caixa Realizado]]=""),"Vencida","Não Vencida")</f>
        <v>Não Vencida</v>
      </c>
      <c r="P136" s="53" t="str">
        <f>IF(TbRegistroEntradas[[#This Row],[Data da Competência]]=TbRegistroEntradas[[#This Row],[Data do Caixa Previsto]],"Vista","Prazo")</f>
        <v>Prazo</v>
      </c>
      <c r="Q136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37" spans="2:17" x14ac:dyDescent="0.3">
      <c r="B137" s="8">
        <v>43354.387651420941</v>
      </c>
      <c r="C137" s="8">
        <v>43343</v>
      </c>
      <c r="D137" s="8">
        <v>43354.387651420941</v>
      </c>
      <c r="E137" t="s">
        <v>27</v>
      </c>
      <c r="F137" t="s">
        <v>34</v>
      </c>
      <c r="G137" t="s">
        <v>193</v>
      </c>
      <c r="H137" s="14">
        <v>2467</v>
      </c>
      <c r="I137">
        <f>IF(TbRegistroEntradas[[#This Row],[Data do Caixa Realizado]]="",0,MONTH(TbRegistroEntradas[[#This Row],[Data do Caixa Realizado]]))</f>
        <v>9</v>
      </c>
      <c r="J137">
        <f>IF(TbRegistroEntradas[[#This Row],[Data do Caixa Realizado]]="",0,YEAR(TbRegistroEntradas[[#This Row],[Data do Caixa Realizado]]))</f>
        <v>2018</v>
      </c>
      <c r="K137">
        <f>IF(TbRegistroEntradas[[#This Row],[Data da Competência]]="",0,MONTH(TbRegistroEntradas[[#This Row],[Data da Competência]]))</f>
        <v>8</v>
      </c>
      <c r="L137">
        <f>IF(TbRegistroEntradas[[#This Row],[Data da Competência]]="",0,YEAR(TbRegistroEntradas[[#This Row],[Data da Competência]]))</f>
        <v>2018</v>
      </c>
      <c r="M137" s="53">
        <f>IF(TbRegistroEntradas[[#This Row],[Data do Caixa Previsto]]="",0,MONTH(TbRegistroEntradas[[#This Row],[Data do Caixa Previsto]]))</f>
        <v>9</v>
      </c>
      <c r="N137" s="53">
        <f>IF(TbRegistroEntradas[[#This Row],[Data do Caixa Previsto]]="",0,YEAR(TbRegistroEntradas[[#This Row],[Data do Caixa Previsto]]))</f>
        <v>2018</v>
      </c>
      <c r="O137" s="53" t="str">
        <f ca="1">IF(AND(TbRegistroEntradas[[#This Row],[Data do Caixa Previsto]]&lt;TODAY(),TbRegistroEntradas[[#This Row],[Data do Caixa Realizado]]=""),"Vencida","Não Vencida")</f>
        <v>Não Vencida</v>
      </c>
      <c r="P137" s="53" t="str">
        <f>IF(TbRegistroEntradas[[#This Row],[Data da Competência]]=TbRegistroEntradas[[#This Row],[Data do Caixa Previsto]],"Vista","Prazo")</f>
        <v>Prazo</v>
      </c>
      <c r="Q137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38" spans="2:17" x14ac:dyDescent="0.3">
      <c r="B138" s="8" t="s">
        <v>70</v>
      </c>
      <c r="C138" s="8">
        <v>43344</v>
      </c>
      <c r="D138" s="8">
        <v>43370.663792328756</v>
      </c>
      <c r="E138" t="s">
        <v>27</v>
      </c>
      <c r="F138" t="s">
        <v>36</v>
      </c>
      <c r="G138" t="s">
        <v>194</v>
      </c>
      <c r="H138" s="14">
        <v>4253</v>
      </c>
      <c r="I138">
        <f>IF(TbRegistroEntradas[[#This Row],[Data do Caixa Realizado]]="",0,MONTH(TbRegistroEntradas[[#This Row],[Data do Caixa Realizado]]))</f>
        <v>0</v>
      </c>
      <c r="J138">
        <f>IF(TbRegistroEntradas[[#This Row],[Data do Caixa Realizado]]="",0,YEAR(TbRegistroEntradas[[#This Row],[Data do Caixa Realizado]]))</f>
        <v>0</v>
      </c>
      <c r="K138">
        <f>IF(TbRegistroEntradas[[#This Row],[Data da Competência]]="",0,MONTH(TbRegistroEntradas[[#This Row],[Data da Competência]]))</f>
        <v>9</v>
      </c>
      <c r="L138">
        <f>IF(TbRegistroEntradas[[#This Row],[Data da Competência]]="",0,YEAR(TbRegistroEntradas[[#This Row],[Data da Competência]]))</f>
        <v>2018</v>
      </c>
      <c r="M138" s="53">
        <f>IF(TbRegistroEntradas[[#This Row],[Data do Caixa Previsto]]="",0,MONTH(TbRegistroEntradas[[#This Row],[Data do Caixa Previsto]]))</f>
        <v>9</v>
      </c>
      <c r="N138" s="53">
        <f>IF(TbRegistroEntradas[[#This Row],[Data do Caixa Previsto]]="",0,YEAR(TbRegistroEntradas[[#This Row],[Data do Caixa Previsto]]))</f>
        <v>2018</v>
      </c>
      <c r="O138" s="53" t="str">
        <f ca="1">IF(AND(TbRegistroEntradas[[#This Row],[Data do Caixa Previsto]]&lt;TODAY(),TbRegistroEntradas[[#This Row],[Data do Caixa Realizado]]=""),"Vencida","Não Vencida")</f>
        <v>Vencida</v>
      </c>
      <c r="P138" s="53" t="str">
        <f>IF(TbRegistroEntradas[[#This Row],[Data da Competência]]=TbRegistroEntradas[[#This Row],[Data do Caixa Previsto]],"Vista","Prazo")</f>
        <v>Prazo</v>
      </c>
      <c r="Q138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2238.3362076712438</v>
      </c>
    </row>
    <row r="139" spans="2:17" x14ac:dyDescent="0.3">
      <c r="B139" s="8">
        <v>43357.782262904322</v>
      </c>
      <c r="C139" s="8">
        <v>43350</v>
      </c>
      <c r="D139" s="8">
        <v>43357.782262904322</v>
      </c>
      <c r="E139" t="s">
        <v>27</v>
      </c>
      <c r="F139" t="s">
        <v>37</v>
      </c>
      <c r="G139" t="s">
        <v>195</v>
      </c>
      <c r="H139" s="14">
        <v>2391</v>
      </c>
      <c r="I139">
        <f>IF(TbRegistroEntradas[[#This Row],[Data do Caixa Realizado]]="",0,MONTH(TbRegistroEntradas[[#This Row],[Data do Caixa Realizado]]))</f>
        <v>9</v>
      </c>
      <c r="J139">
        <f>IF(TbRegistroEntradas[[#This Row],[Data do Caixa Realizado]]="",0,YEAR(TbRegistroEntradas[[#This Row],[Data do Caixa Realizado]]))</f>
        <v>2018</v>
      </c>
      <c r="K139">
        <f>IF(TbRegistroEntradas[[#This Row],[Data da Competência]]="",0,MONTH(TbRegistroEntradas[[#This Row],[Data da Competência]]))</f>
        <v>9</v>
      </c>
      <c r="L139">
        <f>IF(TbRegistroEntradas[[#This Row],[Data da Competência]]="",0,YEAR(TbRegistroEntradas[[#This Row],[Data da Competência]]))</f>
        <v>2018</v>
      </c>
      <c r="M139" s="53">
        <f>IF(TbRegistroEntradas[[#This Row],[Data do Caixa Previsto]]="",0,MONTH(TbRegistroEntradas[[#This Row],[Data do Caixa Previsto]]))</f>
        <v>9</v>
      </c>
      <c r="N139" s="53">
        <f>IF(TbRegistroEntradas[[#This Row],[Data do Caixa Previsto]]="",0,YEAR(TbRegistroEntradas[[#This Row],[Data do Caixa Previsto]]))</f>
        <v>2018</v>
      </c>
      <c r="O139" s="53" t="str">
        <f ca="1">IF(AND(TbRegistroEntradas[[#This Row],[Data do Caixa Previsto]]&lt;TODAY(),TbRegistroEntradas[[#This Row],[Data do Caixa Realizado]]=""),"Vencida","Não Vencida")</f>
        <v>Não Vencida</v>
      </c>
      <c r="P139" s="53" t="str">
        <f>IF(TbRegistroEntradas[[#This Row],[Data da Competência]]=TbRegistroEntradas[[#This Row],[Data do Caixa Previsto]],"Vista","Prazo")</f>
        <v>Prazo</v>
      </c>
      <c r="Q139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40" spans="2:17" x14ac:dyDescent="0.3">
      <c r="B140" s="8">
        <v>43370.746792358121</v>
      </c>
      <c r="C140" s="8">
        <v>43352</v>
      </c>
      <c r="D140" s="8">
        <v>43365.799147030826</v>
      </c>
      <c r="E140" t="s">
        <v>27</v>
      </c>
      <c r="F140" t="s">
        <v>36</v>
      </c>
      <c r="G140" t="s">
        <v>196</v>
      </c>
      <c r="H140" s="14">
        <v>3669</v>
      </c>
      <c r="I140">
        <f>IF(TbRegistroEntradas[[#This Row],[Data do Caixa Realizado]]="",0,MONTH(TbRegistroEntradas[[#This Row],[Data do Caixa Realizado]]))</f>
        <v>9</v>
      </c>
      <c r="J140">
        <f>IF(TbRegistroEntradas[[#This Row],[Data do Caixa Realizado]]="",0,YEAR(TbRegistroEntradas[[#This Row],[Data do Caixa Realizado]]))</f>
        <v>2018</v>
      </c>
      <c r="K140">
        <f>IF(TbRegistroEntradas[[#This Row],[Data da Competência]]="",0,MONTH(TbRegistroEntradas[[#This Row],[Data da Competência]]))</f>
        <v>9</v>
      </c>
      <c r="L140">
        <f>IF(TbRegistroEntradas[[#This Row],[Data da Competência]]="",0,YEAR(TbRegistroEntradas[[#This Row],[Data da Competência]]))</f>
        <v>2018</v>
      </c>
      <c r="M140" s="53">
        <f>IF(TbRegistroEntradas[[#This Row],[Data do Caixa Previsto]]="",0,MONTH(TbRegistroEntradas[[#This Row],[Data do Caixa Previsto]]))</f>
        <v>9</v>
      </c>
      <c r="N140" s="53">
        <f>IF(TbRegistroEntradas[[#This Row],[Data do Caixa Previsto]]="",0,YEAR(TbRegistroEntradas[[#This Row],[Data do Caixa Previsto]]))</f>
        <v>2018</v>
      </c>
      <c r="O140" s="53" t="str">
        <f ca="1">IF(AND(TbRegistroEntradas[[#This Row],[Data do Caixa Previsto]]&lt;TODAY(),TbRegistroEntradas[[#This Row],[Data do Caixa Realizado]]=""),"Vencida","Não Vencida")</f>
        <v>Não Vencida</v>
      </c>
      <c r="P140" s="53" t="str">
        <f>IF(TbRegistroEntradas[[#This Row],[Data da Competência]]=TbRegistroEntradas[[#This Row],[Data do Caixa Previsto]],"Vista","Prazo")</f>
        <v>Prazo</v>
      </c>
      <c r="Q140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4.9476453272945946</v>
      </c>
    </row>
    <row r="141" spans="2:17" x14ac:dyDescent="0.3">
      <c r="B141" s="8">
        <v>43452.502445224149</v>
      </c>
      <c r="C141" s="8">
        <v>43355</v>
      </c>
      <c r="D141" s="8">
        <v>43383.231108677093</v>
      </c>
      <c r="E141" t="s">
        <v>27</v>
      </c>
      <c r="F141" t="s">
        <v>36</v>
      </c>
      <c r="G141" t="s">
        <v>197</v>
      </c>
      <c r="H141" s="14">
        <v>1207</v>
      </c>
      <c r="I141">
        <f>IF(TbRegistroEntradas[[#This Row],[Data do Caixa Realizado]]="",0,MONTH(TbRegistroEntradas[[#This Row],[Data do Caixa Realizado]]))</f>
        <v>12</v>
      </c>
      <c r="J141">
        <f>IF(TbRegistroEntradas[[#This Row],[Data do Caixa Realizado]]="",0,YEAR(TbRegistroEntradas[[#This Row],[Data do Caixa Realizado]]))</f>
        <v>2018</v>
      </c>
      <c r="K141">
        <f>IF(TbRegistroEntradas[[#This Row],[Data da Competência]]="",0,MONTH(TbRegistroEntradas[[#This Row],[Data da Competência]]))</f>
        <v>9</v>
      </c>
      <c r="L141">
        <f>IF(TbRegistroEntradas[[#This Row],[Data da Competência]]="",0,YEAR(TbRegistroEntradas[[#This Row],[Data da Competência]]))</f>
        <v>2018</v>
      </c>
      <c r="M141" s="53">
        <f>IF(TbRegistroEntradas[[#This Row],[Data do Caixa Previsto]]="",0,MONTH(TbRegistroEntradas[[#This Row],[Data do Caixa Previsto]]))</f>
        <v>10</v>
      </c>
      <c r="N141" s="53">
        <f>IF(TbRegistroEntradas[[#This Row],[Data do Caixa Previsto]]="",0,YEAR(TbRegistroEntradas[[#This Row],[Data do Caixa Previsto]]))</f>
        <v>2018</v>
      </c>
      <c r="O141" s="53" t="str">
        <f ca="1">IF(AND(TbRegistroEntradas[[#This Row],[Data do Caixa Previsto]]&lt;TODAY(),TbRegistroEntradas[[#This Row],[Data do Caixa Realizado]]=""),"Vencida","Não Vencida")</f>
        <v>Não Vencida</v>
      </c>
      <c r="P141" s="53" t="str">
        <f>IF(TbRegistroEntradas[[#This Row],[Data da Competência]]=TbRegistroEntradas[[#This Row],[Data do Caixa Previsto]],"Vista","Prazo")</f>
        <v>Prazo</v>
      </c>
      <c r="Q141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69.271336547055398</v>
      </c>
    </row>
    <row r="142" spans="2:17" x14ac:dyDescent="0.3">
      <c r="B142" s="8">
        <v>43412.045933493078</v>
      </c>
      <c r="C142" s="8">
        <v>43361</v>
      </c>
      <c r="D142" s="8">
        <v>43412.045933493078</v>
      </c>
      <c r="E142" t="s">
        <v>27</v>
      </c>
      <c r="F142" t="s">
        <v>34</v>
      </c>
      <c r="G142" t="s">
        <v>198</v>
      </c>
      <c r="H142" s="14">
        <v>2539</v>
      </c>
      <c r="I142">
        <f>IF(TbRegistroEntradas[[#This Row],[Data do Caixa Realizado]]="",0,MONTH(TbRegistroEntradas[[#This Row],[Data do Caixa Realizado]]))</f>
        <v>11</v>
      </c>
      <c r="J142">
        <f>IF(TbRegistroEntradas[[#This Row],[Data do Caixa Realizado]]="",0,YEAR(TbRegistroEntradas[[#This Row],[Data do Caixa Realizado]]))</f>
        <v>2018</v>
      </c>
      <c r="K142">
        <f>IF(TbRegistroEntradas[[#This Row],[Data da Competência]]="",0,MONTH(TbRegistroEntradas[[#This Row],[Data da Competência]]))</f>
        <v>9</v>
      </c>
      <c r="L142">
        <f>IF(TbRegistroEntradas[[#This Row],[Data da Competência]]="",0,YEAR(TbRegistroEntradas[[#This Row],[Data da Competência]]))</f>
        <v>2018</v>
      </c>
      <c r="M142" s="53">
        <f>IF(TbRegistroEntradas[[#This Row],[Data do Caixa Previsto]]="",0,MONTH(TbRegistroEntradas[[#This Row],[Data do Caixa Previsto]]))</f>
        <v>11</v>
      </c>
      <c r="N142" s="53">
        <f>IF(TbRegistroEntradas[[#This Row],[Data do Caixa Previsto]]="",0,YEAR(TbRegistroEntradas[[#This Row],[Data do Caixa Previsto]]))</f>
        <v>2018</v>
      </c>
      <c r="O142" s="53" t="str">
        <f ca="1">IF(AND(TbRegistroEntradas[[#This Row],[Data do Caixa Previsto]]&lt;TODAY(),TbRegistroEntradas[[#This Row],[Data do Caixa Realizado]]=""),"Vencida","Não Vencida")</f>
        <v>Não Vencida</v>
      </c>
      <c r="P142" s="53" t="str">
        <f>IF(TbRegistroEntradas[[#This Row],[Data da Competência]]=TbRegistroEntradas[[#This Row],[Data do Caixa Previsto]],"Vista","Prazo")</f>
        <v>Prazo</v>
      </c>
      <c r="Q142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43" spans="2:17" x14ac:dyDescent="0.3">
      <c r="B143" s="8">
        <v>43374.505096957248</v>
      </c>
      <c r="C143" s="8">
        <v>43363</v>
      </c>
      <c r="D143" s="8">
        <v>43374.505096957248</v>
      </c>
      <c r="E143" t="s">
        <v>27</v>
      </c>
      <c r="F143" t="s">
        <v>35</v>
      </c>
      <c r="G143" t="s">
        <v>199</v>
      </c>
      <c r="H143" s="14">
        <v>2895</v>
      </c>
      <c r="I143">
        <f>IF(TbRegistroEntradas[[#This Row],[Data do Caixa Realizado]]="",0,MONTH(TbRegistroEntradas[[#This Row],[Data do Caixa Realizado]]))</f>
        <v>10</v>
      </c>
      <c r="J143">
        <f>IF(TbRegistroEntradas[[#This Row],[Data do Caixa Realizado]]="",0,YEAR(TbRegistroEntradas[[#This Row],[Data do Caixa Realizado]]))</f>
        <v>2018</v>
      </c>
      <c r="K143">
        <f>IF(TbRegistroEntradas[[#This Row],[Data da Competência]]="",0,MONTH(TbRegistroEntradas[[#This Row],[Data da Competência]]))</f>
        <v>9</v>
      </c>
      <c r="L143">
        <f>IF(TbRegistroEntradas[[#This Row],[Data da Competência]]="",0,YEAR(TbRegistroEntradas[[#This Row],[Data da Competência]]))</f>
        <v>2018</v>
      </c>
      <c r="M143" s="53">
        <f>IF(TbRegistroEntradas[[#This Row],[Data do Caixa Previsto]]="",0,MONTH(TbRegistroEntradas[[#This Row],[Data do Caixa Previsto]]))</f>
        <v>10</v>
      </c>
      <c r="N143" s="53">
        <f>IF(TbRegistroEntradas[[#This Row],[Data do Caixa Previsto]]="",0,YEAR(TbRegistroEntradas[[#This Row],[Data do Caixa Previsto]]))</f>
        <v>2018</v>
      </c>
      <c r="O143" s="53" t="str">
        <f ca="1">IF(AND(TbRegistroEntradas[[#This Row],[Data do Caixa Previsto]]&lt;TODAY(),TbRegistroEntradas[[#This Row],[Data do Caixa Realizado]]=""),"Vencida","Não Vencida")</f>
        <v>Não Vencida</v>
      </c>
      <c r="P143" s="53" t="str">
        <f>IF(TbRegistroEntradas[[#This Row],[Data da Competência]]=TbRegistroEntradas[[#This Row],[Data do Caixa Previsto]],"Vista","Prazo")</f>
        <v>Prazo</v>
      </c>
      <c r="Q143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44" spans="2:17" x14ac:dyDescent="0.3">
      <c r="B144" s="8">
        <v>43388.790596442639</v>
      </c>
      <c r="C144" s="8">
        <v>43364</v>
      </c>
      <c r="D144" s="8">
        <v>43377.195562585111</v>
      </c>
      <c r="E144" t="s">
        <v>27</v>
      </c>
      <c r="F144" t="s">
        <v>36</v>
      </c>
      <c r="G144" t="s">
        <v>200</v>
      </c>
      <c r="H144" s="14">
        <v>2106</v>
      </c>
      <c r="I144">
        <f>IF(TbRegistroEntradas[[#This Row],[Data do Caixa Realizado]]="",0,MONTH(TbRegistroEntradas[[#This Row],[Data do Caixa Realizado]]))</f>
        <v>10</v>
      </c>
      <c r="J144">
        <f>IF(TbRegistroEntradas[[#This Row],[Data do Caixa Realizado]]="",0,YEAR(TbRegistroEntradas[[#This Row],[Data do Caixa Realizado]]))</f>
        <v>2018</v>
      </c>
      <c r="K144">
        <f>IF(TbRegistroEntradas[[#This Row],[Data da Competência]]="",0,MONTH(TbRegistroEntradas[[#This Row],[Data da Competência]]))</f>
        <v>9</v>
      </c>
      <c r="L144">
        <f>IF(TbRegistroEntradas[[#This Row],[Data da Competência]]="",0,YEAR(TbRegistroEntradas[[#This Row],[Data da Competência]]))</f>
        <v>2018</v>
      </c>
      <c r="M144" s="53">
        <f>IF(TbRegistroEntradas[[#This Row],[Data do Caixa Previsto]]="",0,MONTH(TbRegistroEntradas[[#This Row],[Data do Caixa Previsto]]))</f>
        <v>10</v>
      </c>
      <c r="N144" s="53">
        <f>IF(TbRegistroEntradas[[#This Row],[Data do Caixa Previsto]]="",0,YEAR(TbRegistroEntradas[[#This Row],[Data do Caixa Previsto]]))</f>
        <v>2018</v>
      </c>
      <c r="O144" s="53" t="str">
        <f ca="1">IF(AND(TbRegistroEntradas[[#This Row],[Data do Caixa Previsto]]&lt;TODAY(),TbRegistroEntradas[[#This Row],[Data do Caixa Realizado]]=""),"Vencida","Não Vencida")</f>
        <v>Não Vencida</v>
      </c>
      <c r="P144" s="53" t="str">
        <f>IF(TbRegistroEntradas[[#This Row],[Data da Competência]]=TbRegistroEntradas[[#This Row],[Data do Caixa Previsto]],"Vista","Prazo")</f>
        <v>Prazo</v>
      </c>
      <c r="Q144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11.595033857527596</v>
      </c>
    </row>
    <row r="145" spans="2:17" x14ac:dyDescent="0.3">
      <c r="B145" s="8">
        <v>43405.698265794999</v>
      </c>
      <c r="C145" s="8">
        <v>43366</v>
      </c>
      <c r="D145" s="8">
        <v>43405.698265794999</v>
      </c>
      <c r="E145" t="s">
        <v>27</v>
      </c>
      <c r="F145" t="s">
        <v>35</v>
      </c>
      <c r="G145" t="s">
        <v>201</v>
      </c>
      <c r="H145" s="14">
        <v>3742</v>
      </c>
      <c r="I145">
        <f>IF(TbRegistroEntradas[[#This Row],[Data do Caixa Realizado]]="",0,MONTH(TbRegistroEntradas[[#This Row],[Data do Caixa Realizado]]))</f>
        <v>11</v>
      </c>
      <c r="J145">
        <f>IF(TbRegistroEntradas[[#This Row],[Data do Caixa Realizado]]="",0,YEAR(TbRegistroEntradas[[#This Row],[Data do Caixa Realizado]]))</f>
        <v>2018</v>
      </c>
      <c r="K145">
        <f>IF(TbRegistroEntradas[[#This Row],[Data da Competência]]="",0,MONTH(TbRegistroEntradas[[#This Row],[Data da Competência]]))</f>
        <v>9</v>
      </c>
      <c r="L145">
        <f>IF(TbRegistroEntradas[[#This Row],[Data da Competência]]="",0,YEAR(TbRegistroEntradas[[#This Row],[Data da Competência]]))</f>
        <v>2018</v>
      </c>
      <c r="M145" s="53">
        <f>IF(TbRegistroEntradas[[#This Row],[Data do Caixa Previsto]]="",0,MONTH(TbRegistroEntradas[[#This Row],[Data do Caixa Previsto]]))</f>
        <v>11</v>
      </c>
      <c r="N145" s="53">
        <f>IF(TbRegistroEntradas[[#This Row],[Data do Caixa Previsto]]="",0,YEAR(TbRegistroEntradas[[#This Row],[Data do Caixa Previsto]]))</f>
        <v>2018</v>
      </c>
      <c r="O145" s="53" t="str">
        <f ca="1">IF(AND(TbRegistroEntradas[[#This Row],[Data do Caixa Previsto]]&lt;TODAY(),TbRegistroEntradas[[#This Row],[Data do Caixa Realizado]]=""),"Vencida","Não Vencida")</f>
        <v>Não Vencida</v>
      </c>
      <c r="P145" s="53" t="str">
        <f>IF(TbRegistroEntradas[[#This Row],[Data da Competência]]=TbRegistroEntradas[[#This Row],[Data do Caixa Previsto]],"Vista","Prazo")</f>
        <v>Prazo</v>
      </c>
      <c r="Q145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46" spans="2:17" x14ac:dyDescent="0.3">
      <c r="B146" s="8">
        <v>43395.635115246572</v>
      </c>
      <c r="C146" s="8">
        <v>43369</v>
      </c>
      <c r="D146" s="8">
        <v>43395.635115246572</v>
      </c>
      <c r="E146" t="s">
        <v>27</v>
      </c>
      <c r="F146" t="s">
        <v>34</v>
      </c>
      <c r="G146" t="s">
        <v>202</v>
      </c>
      <c r="H146" s="14">
        <v>3222</v>
      </c>
      <c r="I146">
        <f>IF(TbRegistroEntradas[[#This Row],[Data do Caixa Realizado]]="",0,MONTH(TbRegistroEntradas[[#This Row],[Data do Caixa Realizado]]))</f>
        <v>10</v>
      </c>
      <c r="J146">
        <f>IF(TbRegistroEntradas[[#This Row],[Data do Caixa Realizado]]="",0,YEAR(TbRegistroEntradas[[#This Row],[Data do Caixa Realizado]]))</f>
        <v>2018</v>
      </c>
      <c r="K146">
        <f>IF(TbRegistroEntradas[[#This Row],[Data da Competência]]="",0,MONTH(TbRegistroEntradas[[#This Row],[Data da Competência]]))</f>
        <v>9</v>
      </c>
      <c r="L146">
        <f>IF(TbRegistroEntradas[[#This Row],[Data da Competência]]="",0,YEAR(TbRegistroEntradas[[#This Row],[Data da Competência]]))</f>
        <v>2018</v>
      </c>
      <c r="M146" s="53">
        <f>IF(TbRegistroEntradas[[#This Row],[Data do Caixa Previsto]]="",0,MONTH(TbRegistroEntradas[[#This Row],[Data do Caixa Previsto]]))</f>
        <v>10</v>
      </c>
      <c r="N146" s="53">
        <f>IF(TbRegistroEntradas[[#This Row],[Data do Caixa Previsto]]="",0,YEAR(TbRegistroEntradas[[#This Row],[Data do Caixa Previsto]]))</f>
        <v>2018</v>
      </c>
      <c r="O146" s="53" t="str">
        <f ca="1">IF(AND(TbRegistroEntradas[[#This Row],[Data do Caixa Previsto]]&lt;TODAY(),TbRegistroEntradas[[#This Row],[Data do Caixa Realizado]]=""),"Vencida","Não Vencida")</f>
        <v>Não Vencida</v>
      </c>
      <c r="P146" s="53" t="str">
        <f>IF(TbRegistroEntradas[[#This Row],[Data da Competência]]=TbRegistroEntradas[[#This Row],[Data do Caixa Previsto]],"Vista","Prazo")</f>
        <v>Prazo</v>
      </c>
      <c r="Q146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47" spans="2:17" x14ac:dyDescent="0.3">
      <c r="B147" s="8">
        <v>43392.294011107704</v>
      </c>
      <c r="C147" s="8">
        <v>43374</v>
      </c>
      <c r="D147" s="8">
        <v>43392.294011107704</v>
      </c>
      <c r="E147" t="s">
        <v>27</v>
      </c>
      <c r="F147" t="s">
        <v>36</v>
      </c>
      <c r="G147" t="s">
        <v>203</v>
      </c>
      <c r="H147" s="14">
        <v>673</v>
      </c>
      <c r="I147">
        <f>IF(TbRegistroEntradas[[#This Row],[Data do Caixa Realizado]]="",0,MONTH(TbRegistroEntradas[[#This Row],[Data do Caixa Realizado]]))</f>
        <v>10</v>
      </c>
      <c r="J147">
        <f>IF(TbRegistroEntradas[[#This Row],[Data do Caixa Realizado]]="",0,YEAR(TbRegistroEntradas[[#This Row],[Data do Caixa Realizado]]))</f>
        <v>2018</v>
      </c>
      <c r="K147">
        <f>IF(TbRegistroEntradas[[#This Row],[Data da Competência]]="",0,MONTH(TbRegistroEntradas[[#This Row],[Data da Competência]]))</f>
        <v>10</v>
      </c>
      <c r="L147">
        <f>IF(TbRegistroEntradas[[#This Row],[Data da Competência]]="",0,YEAR(TbRegistroEntradas[[#This Row],[Data da Competência]]))</f>
        <v>2018</v>
      </c>
      <c r="M147" s="53">
        <f>IF(TbRegistroEntradas[[#This Row],[Data do Caixa Previsto]]="",0,MONTH(TbRegistroEntradas[[#This Row],[Data do Caixa Previsto]]))</f>
        <v>10</v>
      </c>
      <c r="N147" s="53">
        <f>IF(TbRegistroEntradas[[#This Row],[Data do Caixa Previsto]]="",0,YEAR(TbRegistroEntradas[[#This Row],[Data do Caixa Previsto]]))</f>
        <v>2018</v>
      </c>
      <c r="O147" s="53" t="str">
        <f ca="1">IF(AND(TbRegistroEntradas[[#This Row],[Data do Caixa Previsto]]&lt;TODAY(),TbRegistroEntradas[[#This Row],[Data do Caixa Realizado]]=""),"Vencida","Não Vencida")</f>
        <v>Não Vencida</v>
      </c>
      <c r="P147" s="53" t="str">
        <f>IF(TbRegistroEntradas[[#This Row],[Data da Competência]]=TbRegistroEntradas[[#This Row],[Data do Caixa Previsto]],"Vista","Prazo")</f>
        <v>Prazo</v>
      </c>
      <c r="Q147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48" spans="2:17" x14ac:dyDescent="0.3">
      <c r="B148" s="8" t="s">
        <v>70</v>
      </c>
      <c r="C148" s="8">
        <v>43378</v>
      </c>
      <c r="D148" s="8">
        <v>43399.816257310325</v>
      </c>
      <c r="E148" t="s">
        <v>27</v>
      </c>
      <c r="F148" t="s">
        <v>33</v>
      </c>
      <c r="G148" t="s">
        <v>204</v>
      </c>
      <c r="H148" s="14">
        <v>4922</v>
      </c>
      <c r="I148">
        <f>IF(TbRegistroEntradas[[#This Row],[Data do Caixa Realizado]]="",0,MONTH(TbRegistroEntradas[[#This Row],[Data do Caixa Realizado]]))</f>
        <v>0</v>
      </c>
      <c r="J148">
        <f>IF(TbRegistroEntradas[[#This Row],[Data do Caixa Realizado]]="",0,YEAR(TbRegistroEntradas[[#This Row],[Data do Caixa Realizado]]))</f>
        <v>0</v>
      </c>
      <c r="K148">
        <f>IF(TbRegistroEntradas[[#This Row],[Data da Competência]]="",0,MONTH(TbRegistroEntradas[[#This Row],[Data da Competência]]))</f>
        <v>10</v>
      </c>
      <c r="L148">
        <f>IF(TbRegistroEntradas[[#This Row],[Data da Competência]]="",0,YEAR(TbRegistroEntradas[[#This Row],[Data da Competência]]))</f>
        <v>2018</v>
      </c>
      <c r="M148" s="53">
        <f>IF(TbRegistroEntradas[[#This Row],[Data do Caixa Previsto]]="",0,MONTH(TbRegistroEntradas[[#This Row],[Data do Caixa Previsto]]))</f>
        <v>10</v>
      </c>
      <c r="N148" s="53">
        <f>IF(TbRegistroEntradas[[#This Row],[Data do Caixa Previsto]]="",0,YEAR(TbRegistroEntradas[[#This Row],[Data do Caixa Previsto]]))</f>
        <v>2018</v>
      </c>
      <c r="O148" s="53" t="str">
        <f ca="1">IF(AND(TbRegistroEntradas[[#This Row],[Data do Caixa Previsto]]&lt;TODAY(),TbRegistroEntradas[[#This Row],[Data do Caixa Realizado]]=""),"Vencida","Não Vencida")</f>
        <v>Vencida</v>
      </c>
      <c r="P148" s="53" t="str">
        <f>IF(TbRegistroEntradas[[#This Row],[Data da Competência]]=TbRegistroEntradas[[#This Row],[Data do Caixa Previsto]],"Vista","Prazo")</f>
        <v>Prazo</v>
      </c>
      <c r="Q148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2209.1837426896745</v>
      </c>
    </row>
    <row r="149" spans="2:17" x14ac:dyDescent="0.3">
      <c r="B149" s="8">
        <v>43491.255960910879</v>
      </c>
      <c r="C149" s="8">
        <v>43382</v>
      </c>
      <c r="D149" s="8">
        <v>43432.893680650159</v>
      </c>
      <c r="E149" t="s">
        <v>27</v>
      </c>
      <c r="F149" t="s">
        <v>37</v>
      </c>
      <c r="G149" t="s">
        <v>205</v>
      </c>
      <c r="H149" s="14">
        <v>1688</v>
      </c>
      <c r="I149">
        <f>IF(TbRegistroEntradas[[#This Row],[Data do Caixa Realizado]]="",0,MONTH(TbRegistroEntradas[[#This Row],[Data do Caixa Realizado]]))</f>
        <v>1</v>
      </c>
      <c r="J149">
        <f>IF(TbRegistroEntradas[[#This Row],[Data do Caixa Realizado]]="",0,YEAR(TbRegistroEntradas[[#This Row],[Data do Caixa Realizado]]))</f>
        <v>2019</v>
      </c>
      <c r="K149">
        <f>IF(TbRegistroEntradas[[#This Row],[Data da Competência]]="",0,MONTH(TbRegistroEntradas[[#This Row],[Data da Competência]]))</f>
        <v>10</v>
      </c>
      <c r="L149">
        <f>IF(TbRegistroEntradas[[#This Row],[Data da Competência]]="",0,YEAR(TbRegistroEntradas[[#This Row],[Data da Competência]]))</f>
        <v>2018</v>
      </c>
      <c r="M149" s="53">
        <f>IF(TbRegistroEntradas[[#This Row],[Data do Caixa Previsto]]="",0,MONTH(TbRegistroEntradas[[#This Row],[Data do Caixa Previsto]]))</f>
        <v>11</v>
      </c>
      <c r="N149" s="53">
        <f>IF(TbRegistroEntradas[[#This Row],[Data do Caixa Previsto]]="",0,YEAR(TbRegistroEntradas[[#This Row],[Data do Caixa Previsto]]))</f>
        <v>2018</v>
      </c>
      <c r="O149" s="53" t="str">
        <f ca="1">IF(AND(TbRegistroEntradas[[#This Row],[Data do Caixa Previsto]]&lt;TODAY(),TbRegistroEntradas[[#This Row],[Data do Caixa Realizado]]=""),"Vencida","Não Vencida")</f>
        <v>Não Vencida</v>
      </c>
      <c r="P149" s="53" t="str">
        <f>IF(TbRegistroEntradas[[#This Row],[Data da Competência]]=TbRegistroEntradas[[#This Row],[Data do Caixa Previsto]],"Vista","Prazo")</f>
        <v>Prazo</v>
      </c>
      <c r="Q149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58.362280260720581</v>
      </c>
    </row>
    <row r="150" spans="2:17" x14ac:dyDescent="0.3">
      <c r="B150" s="8">
        <v>43442.77456497735</v>
      </c>
      <c r="C150" s="8">
        <v>43382</v>
      </c>
      <c r="D150" s="8">
        <v>43423.510226289633</v>
      </c>
      <c r="E150" t="s">
        <v>27</v>
      </c>
      <c r="F150" t="s">
        <v>37</v>
      </c>
      <c r="G150" t="s">
        <v>206</v>
      </c>
      <c r="H150" s="14">
        <v>979</v>
      </c>
      <c r="I150">
        <f>IF(TbRegistroEntradas[[#This Row],[Data do Caixa Realizado]]="",0,MONTH(TbRegistroEntradas[[#This Row],[Data do Caixa Realizado]]))</f>
        <v>12</v>
      </c>
      <c r="J150">
        <f>IF(TbRegistroEntradas[[#This Row],[Data do Caixa Realizado]]="",0,YEAR(TbRegistroEntradas[[#This Row],[Data do Caixa Realizado]]))</f>
        <v>2018</v>
      </c>
      <c r="K150">
        <f>IF(TbRegistroEntradas[[#This Row],[Data da Competência]]="",0,MONTH(TbRegistroEntradas[[#This Row],[Data da Competência]]))</f>
        <v>10</v>
      </c>
      <c r="L150">
        <f>IF(TbRegistroEntradas[[#This Row],[Data da Competência]]="",0,YEAR(TbRegistroEntradas[[#This Row],[Data da Competência]]))</f>
        <v>2018</v>
      </c>
      <c r="M150" s="53">
        <f>IF(TbRegistroEntradas[[#This Row],[Data do Caixa Previsto]]="",0,MONTH(TbRegistroEntradas[[#This Row],[Data do Caixa Previsto]]))</f>
        <v>11</v>
      </c>
      <c r="N150" s="53">
        <f>IF(TbRegistroEntradas[[#This Row],[Data do Caixa Previsto]]="",0,YEAR(TbRegistroEntradas[[#This Row],[Data do Caixa Previsto]]))</f>
        <v>2018</v>
      </c>
      <c r="O150" s="53" t="str">
        <f ca="1">IF(AND(TbRegistroEntradas[[#This Row],[Data do Caixa Previsto]]&lt;TODAY(),TbRegistroEntradas[[#This Row],[Data do Caixa Realizado]]=""),"Vencida","Não Vencida")</f>
        <v>Não Vencida</v>
      </c>
      <c r="P150" s="53" t="str">
        <f>IF(TbRegistroEntradas[[#This Row],[Data da Competência]]=TbRegistroEntradas[[#This Row],[Data do Caixa Previsto]],"Vista","Prazo")</f>
        <v>Prazo</v>
      </c>
      <c r="Q150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19.2643386877171</v>
      </c>
    </row>
    <row r="151" spans="2:17" x14ac:dyDescent="0.3">
      <c r="B151" s="8">
        <v>43400.871146361249</v>
      </c>
      <c r="C151" s="8">
        <v>43387</v>
      </c>
      <c r="D151" s="8">
        <v>43400.871146361249</v>
      </c>
      <c r="E151" t="s">
        <v>27</v>
      </c>
      <c r="F151" t="s">
        <v>36</v>
      </c>
      <c r="G151" t="s">
        <v>207</v>
      </c>
      <c r="H151" s="14">
        <v>3744</v>
      </c>
      <c r="I151">
        <f>IF(TbRegistroEntradas[[#This Row],[Data do Caixa Realizado]]="",0,MONTH(TbRegistroEntradas[[#This Row],[Data do Caixa Realizado]]))</f>
        <v>10</v>
      </c>
      <c r="J151">
        <f>IF(TbRegistroEntradas[[#This Row],[Data do Caixa Realizado]]="",0,YEAR(TbRegistroEntradas[[#This Row],[Data do Caixa Realizado]]))</f>
        <v>2018</v>
      </c>
      <c r="K151">
        <f>IF(TbRegistroEntradas[[#This Row],[Data da Competência]]="",0,MONTH(TbRegistroEntradas[[#This Row],[Data da Competência]]))</f>
        <v>10</v>
      </c>
      <c r="L151">
        <f>IF(TbRegistroEntradas[[#This Row],[Data da Competência]]="",0,YEAR(TbRegistroEntradas[[#This Row],[Data da Competência]]))</f>
        <v>2018</v>
      </c>
      <c r="M151" s="53">
        <f>IF(TbRegistroEntradas[[#This Row],[Data do Caixa Previsto]]="",0,MONTH(TbRegistroEntradas[[#This Row],[Data do Caixa Previsto]]))</f>
        <v>10</v>
      </c>
      <c r="N151" s="53">
        <f>IF(TbRegistroEntradas[[#This Row],[Data do Caixa Previsto]]="",0,YEAR(TbRegistroEntradas[[#This Row],[Data do Caixa Previsto]]))</f>
        <v>2018</v>
      </c>
      <c r="O151" s="53" t="str">
        <f ca="1">IF(AND(TbRegistroEntradas[[#This Row],[Data do Caixa Previsto]]&lt;TODAY(),TbRegistroEntradas[[#This Row],[Data do Caixa Realizado]]=""),"Vencida","Não Vencida")</f>
        <v>Não Vencida</v>
      </c>
      <c r="P151" s="53" t="str">
        <f>IF(TbRegistroEntradas[[#This Row],[Data da Competência]]=TbRegistroEntradas[[#This Row],[Data do Caixa Previsto]],"Vista","Prazo")</f>
        <v>Prazo</v>
      </c>
      <c r="Q151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52" spans="2:17" x14ac:dyDescent="0.3">
      <c r="B152" s="8">
        <v>43438.136766228803</v>
      </c>
      <c r="C152" s="8">
        <v>43389</v>
      </c>
      <c r="D152" s="8">
        <v>43438.136766228803</v>
      </c>
      <c r="E152" t="s">
        <v>27</v>
      </c>
      <c r="F152" t="s">
        <v>37</v>
      </c>
      <c r="G152" t="s">
        <v>208</v>
      </c>
      <c r="H152" s="14">
        <v>4061</v>
      </c>
      <c r="I152">
        <f>IF(TbRegistroEntradas[[#This Row],[Data do Caixa Realizado]]="",0,MONTH(TbRegistroEntradas[[#This Row],[Data do Caixa Realizado]]))</f>
        <v>12</v>
      </c>
      <c r="J152">
        <f>IF(TbRegistroEntradas[[#This Row],[Data do Caixa Realizado]]="",0,YEAR(TbRegistroEntradas[[#This Row],[Data do Caixa Realizado]]))</f>
        <v>2018</v>
      </c>
      <c r="K152">
        <f>IF(TbRegistroEntradas[[#This Row],[Data da Competência]]="",0,MONTH(TbRegistroEntradas[[#This Row],[Data da Competência]]))</f>
        <v>10</v>
      </c>
      <c r="L152">
        <f>IF(TbRegistroEntradas[[#This Row],[Data da Competência]]="",0,YEAR(TbRegistroEntradas[[#This Row],[Data da Competência]]))</f>
        <v>2018</v>
      </c>
      <c r="M152" s="53">
        <f>IF(TbRegistroEntradas[[#This Row],[Data do Caixa Previsto]]="",0,MONTH(TbRegistroEntradas[[#This Row],[Data do Caixa Previsto]]))</f>
        <v>12</v>
      </c>
      <c r="N152" s="53">
        <f>IF(TbRegistroEntradas[[#This Row],[Data do Caixa Previsto]]="",0,YEAR(TbRegistroEntradas[[#This Row],[Data do Caixa Previsto]]))</f>
        <v>2018</v>
      </c>
      <c r="O152" s="53" t="str">
        <f ca="1">IF(AND(TbRegistroEntradas[[#This Row],[Data do Caixa Previsto]]&lt;TODAY(),TbRegistroEntradas[[#This Row],[Data do Caixa Realizado]]=""),"Vencida","Não Vencida")</f>
        <v>Não Vencida</v>
      </c>
      <c r="P152" s="53" t="str">
        <f>IF(TbRegistroEntradas[[#This Row],[Data da Competência]]=TbRegistroEntradas[[#This Row],[Data do Caixa Previsto]],"Vista","Prazo")</f>
        <v>Prazo</v>
      </c>
      <c r="Q152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53" spans="2:17" x14ac:dyDescent="0.3">
      <c r="B153" s="8">
        <v>43493.104436604881</v>
      </c>
      <c r="C153" s="8">
        <v>43394</v>
      </c>
      <c r="D153" s="8">
        <v>43435.81232629544</v>
      </c>
      <c r="E153" t="s">
        <v>27</v>
      </c>
      <c r="F153" t="s">
        <v>34</v>
      </c>
      <c r="G153" t="s">
        <v>209</v>
      </c>
      <c r="H153" s="14">
        <v>4404</v>
      </c>
      <c r="I153">
        <f>IF(TbRegistroEntradas[[#This Row],[Data do Caixa Realizado]]="",0,MONTH(TbRegistroEntradas[[#This Row],[Data do Caixa Realizado]]))</f>
        <v>1</v>
      </c>
      <c r="J153">
        <f>IF(TbRegistroEntradas[[#This Row],[Data do Caixa Realizado]]="",0,YEAR(TbRegistroEntradas[[#This Row],[Data do Caixa Realizado]]))</f>
        <v>2019</v>
      </c>
      <c r="K153">
        <f>IF(TbRegistroEntradas[[#This Row],[Data da Competência]]="",0,MONTH(TbRegistroEntradas[[#This Row],[Data da Competência]]))</f>
        <v>10</v>
      </c>
      <c r="L153">
        <f>IF(TbRegistroEntradas[[#This Row],[Data da Competência]]="",0,YEAR(TbRegistroEntradas[[#This Row],[Data da Competência]]))</f>
        <v>2018</v>
      </c>
      <c r="M153" s="53">
        <f>IF(TbRegistroEntradas[[#This Row],[Data do Caixa Previsto]]="",0,MONTH(TbRegistroEntradas[[#This Row],[Data do Caixa Previsto]]))</f>
        <v>12</v>
      </c>
      <c r="N153" s="53">
        <f>IF(TbRegistroEntradas[[#This Row],[Data do Caixa Previsto]]="",0,YEAR(TbRegistroEntradas[[#This Row],[Data do Caixa Previsto]]))</f>
        <v>2018</v>
      </c>
      <c r="O153" s="53" t="str">
        <f ca="1">IF(AND(TbRegistroEntradas[[#This Row],[Data do Caixa Previsto]]&lt;TODAY(),TbRegistroEntradas[[#This Row],[Data do Caixa Realizado]]=""),"Vencida","Não Vencida")</f>
        <v>Não Vencida</v>
      </c>
      <c r="P153" s="53" t="str">
        <f>IF(TbRegistroEntradas[[#This Row],[Data da Competência]]=TbRegistroEntradas[[#This Row],[Data do Caixa Previsto]],"Vista","Prazo")</f>
        <v>Prazo</v>
      </c>
      <c r="Q153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57.292110309441341</v>
      </c>
    </row>
    <row r="154" spans="2:17" x14ac:dyDescent="0.3">
      <c r="B154" s="8">
        <v>43419.609240604143</v>
      </c>
      <c r="C154" s="8">
        <v>43398</v>
      </c>
      <c r="D154" s="8">
        <v>43419.609240604143</v>
      </c>
      <c r="E154" t="s">
        <v>27</v>
      </c>
      <c r="F154" t="s">
        <v>36</v>
      </c>
      <c r="G154" t="s">
        <v>210</v>
      </c>
      <c r="H154" s="14">
        <v>2429</v>
      </c>
      <c r="I154">
        <f>IF(TbRegistroEntradas[[#This Row],[Data do Caixa Realizado]]="",0,MONTH(TbRegistroEntradas[[#This Row],[Data do Caixa Realizado]]))</f>
        <v>11</v>
      </c>
      <c r="J154">
        <f>IF(TbRegistroEntradas[[#This Row],[Data do Caixa Realizado]]="",0,YEAR(TbRegistroEntradas[[#This Row],[Data do Caixa Realizado]]))</f>
        <v>2018</v>
      </c>
      <c r="K154">
        <f>IF(TbRegistroEntradas[[#This Row],[Data da Competência]]="",0,MONTH(TbRegistroEntradas[[#This Row],[Data da Competência]]))</f>
        <v>10</v>
      </c>
      <c r="L154">
        <f>IF(TbRegistroEntradas[[#This Row],[Data da Competência]]="",0,YEAR(TbRegistroEntradas[[#This Row],[Data da Competência]]))</f>
        <v>2018</v>
      </c>
      <c r="M154" s="53">
        <f>IF(TbRegistroEntradas[[#This Row],[Data do Caixa Previsto]]="",0,MONTH(TbRegistroEntradas[[#This Row],[Data do Caixa Previsto]]))</f>
        <v>11</v>
      </c>
      <c r="N154" s="53">
        <f>IF(TbRegistroEntradas[[#This Row],[Data do Caixa Previsto]]="",0,YEAR(TbRegistroEntradas[[#This Row],[Data do Caixa Previsto]]))</f>
        <v>2018</v>
      </c>
      <c r="O154" s="53" t="str">
        <f ca="1">IF(AND(TbRegistroEntradas[[#This Row],[Data do Caixa Previsto]]&lt;TODAY(),TbRegistroEntradas[[#This Row],[Data do Caixa Realizado]]=""),"Vencida","Não Vencida")</f>
        <v>Não Vencida</v>
      </c>
      <c r="P154" s="53" t="str">
        <f>IF(TbRegistroEntradas[[#This Row],[Data da Competência]]=TbRegistroEntradas[[#This Row],[Data do Caixa Previsto]],"Vista","Prazo")</f>
        <v>Prazo</v>
      </c>
      <c r="Q154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55" spans="2:17" x14ac:dyDescent="0.3">
      <c r="B155" s="8">
        <v>43457.427069040656</v>
      </c>
      <c r="C155" s="8">
        <v>43398</v>
      </c>
      <c r="D155" s="8">
        <v>43457.427069040656</v>
      </c>
      <c r="E155" t="s">
        <v>27</v>
      </c>
      <c r="F155" t="s">
        <v>34</v>
      </c>
      <c r="G155" t="s">
        <v>211</v>
      </c>
      <c r="H155" s="14">
        <v>2713</v>
      </c>
      <c r="I155">
        <f>IF(TbRegistroEntradas[[#This Row],[Data do Caixa Realizado]]="",0,MONTH(TbRegistroEntradas[[#This Row],[Data do Caixa Realizado]]))</f>
        <v>12</v>
      </c>
      <c r="J155">
        <f>IF(TbRegistroEntradas[[#This Row],[Data do Caixa Realizado]]="",0,YEAR(TbRegistroEntradas[[#This Row],[Data do Caixa Realizado]]))</f>
        <v>2018</v>
      </c>
      <c r="K155">
        <f>IF(TbRegistroEntradas[[#This Row],[Data da Competência]]="",0,MONTH(TbRegistroEntradas[[#This Row],[Data da Competência]]))</f>
        <v>10</v>
      </c>
      <c r="L155">
        <f>IF(TbRegistroEntradas[[#This Row],[Data da Competência]]="",0,YEAR(TbRegistroEntradas[[#This Row],[Data da Competência]]))</f>
        <v>2018</v>
      </c>
      <c r="M155" s="53">
        <f>IF(TbRegistroEntradas[[#This Row],[Data do Caixa Previsto]]="",0,MONTH(TbRegistroEntradas[[#This Row],[Data do Caixa Previsto]]))</f>
        <v>12</v>
      </c>
      <c r="N155" s="53">
        <f>IF(TbRegistroEntradas[[#This Row],[Data do Caixa Previsto]]="",0,YEAR(TbRegistroEntradas[[#This Row],[Data do Caixa Previsto]]))</f>
        <v>2018</v>
      </c>
      <c r="O155" s="53" t="str">
        <f ca="1">IF(AND(TbRegistroEntradas[[#This Row],[Data do Caixa Previsto]]&lt;TODAY(),TbRegistroEntradas[[#This Row],[Data do Caixa Realizado]]=""),"Vencida","Não Vencida")</f>
        <v>Não Vencida</v>
      </c>
      <c r="P155" s="53" t="str">
        <f>IF(TbRegistroEntradas[[#This Row],[Data da Competência]]=TbRegistroEntradas[[#This Row],[Data do Caixa Previsto]],"Vista","Prazo")</f>
        <v>Prazo</v>
      </c>
      <c r="Q155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56" spans="2:17" x14ac:dyDescent="0.3">
      <c r="B156" s="8">
        <v>43416.791420716982</v>
      </c>
      <c r="C156" s="8">
        <v>43403</v>
      </c>
      <c r="D156" s="8">
        <v>43416.791420716982</v>
      </c>
      <c r="E156" t="s">
        <v>27</v>
      </c>
      <c r="F156" t="s">
        <v>36</v>
      </c>
      <c r="G156" t="s">
        <v>212</v>
      </c>
      <c r="H156" s="14">
        <v>3787</v>
      </c>
      <c r="I156">
        <f>IF(TbRegistroEntradas[[#This Row],[Data do Caixa Realizado]]="",0,MONTH(TbRegistroEntradas[[#This Row],[Data do Caixa Realizado]]))</f>
        <v>11</v>
      </c>
      <c r="J156">
        <f>IF(TbRegistroEntradas[[#This Row],[Data do Caixa Realizado]]="",0,YEAR(TbRegistroEntradas[[#This Row],[Data do Caixa Realizado]]))</f>
        <v>2018</v>
      </c>
      <c r="K156">
        <f>IF(TbRegistroEntradas[[#This Row],[Data da Competência]]="",0,MONTH(TbRegistroEntradas[[#This Row],[Data da Competência]]))</f>
        <v>10</v>
      </c>
      <c r="L156">
        <f>IF(TbRegistroEntradas[[#This Row],[Data da Competência]]="",0,YEAR(TbRegistroEntradas[[#This Row],[Data da Competência]]))</f>
        <v>2018</v>
      </c>
      <c r="M156" s="53">
        <f>IF(TbRegistroEntradas[[#This Row],[Data do Caixa Previsto]]="",0,MONTH(TbRegistroEntradas[[#This Row],[Data do Caixa Previsto]]))</f>
        <v>11</v>
      </c>
      <c r="N156" s="53">
        <f>IF(TbRegistroEntradas[[#This Row],[Data do Caixa Previsto]]="",0,YEAR(TbRegistroEntradas[[#This Row],[Data do Caixa Previsto]]))</f>
        <v>2018</v>
      </c>
      <c r="O156" s="53" t="str">
        <f ca="1">IF(AND(TbRegistroEntradas[[#This Row],[Data do Caixa Previsto]]&lt;TODAY(),TbRegistroEntradas[[#This Row],[Data do Caixa Realizado]]=""),"Vencida","Não Vencida")</f>
        <v>Não Vencida</v>
      </c>
      <c r="P156" s="53" t="str">
        <f>IF(TbRegistroEntradas[[#This Row],[Data da Competência]]=TbRegistroEntradas[[#This Row],[Data do Caixa Previsto]],"Vista","Prazo")</f>
        <v>Prazo</v>
      </c>
      <c r="Q156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57" spans="2:17" x14ac:dyDescent="0.3">
      <c r="B157" s="8">
        <v>43503.017030074843</v>
      </c>
      <c r="C157" s="8">
        <v>43408</v>
      </c>
      <c r="D157" s="8">
        <v>43442.90009272196</v>
      </c>
      <c r="E157" t="s">
        <v>27</v>
      </c>
      <c r="F157" t="s">
        <v>35</v>
      </c>
      <c r="G157" t="s">
        <v>213</v>
      </c>
      <c r="H157" s="14">
        <v>1820</v>
      </c>
      <c r="I157">
        <f>IF(TbRegistroEntradas[[#This Row],[Data do Caixa Realizado]]="",0,MONTH(TbRegistroEntradas[[#This Row],[Data do Caixa Realizado]]))</f>
        <v>2</v>
      </c>
      <c r="J157">
        <f>IF(TbRegistroEntradas[[#This Row],[Data do Caixa Realizado]]="",0,YEAR(TbRegistroEntradas[[#This Row],[Data do Caixa Realizado]]))</f>
        <v>2019</v>
      </c>
      <c r="K157">
        <f>IF(TbRegistroEntradas[[#This Row],[Data da Competência]]="",0,MONTH(TbRegistroEntradas[[#This Row],[Data da Competência]]))</f>
        <v>11</v>
      </c>
      <c r="L157">
        <f>IF(TbRegistroEntradas[[#This Row],[Data da Competência]]="",0,YEAR(TbRegistroEntradas[[#This Row],[Data da Competência]]))</f>
        <v>2018</v>
      </c>
      <c r="M157" s="53">
        <f>IF(TbRegistroEntradas[[#This Row],[Data do Caixa Previsto]]="",0,MONTH(TbRegistroEntradas[[#This Row],[Data do Caixa Previsto]]))</f>
        <v>12</v>
      </c>
      <c r="N157" s="53">
        <f>IF(TbRegistroEntradas[[#This Row],[Data do Caixa Previsto]]="",0,YEAR(TbRegistroEntradas[[#This Row],[Data do Caixa Previsto]]))</f>
        <v>2018</v>
      </c>
      <c r="O157" s="53" t="str">
        <f ca="1">IF(AND(TbRegistroEntradas[[#This Row],[Data do Caixa Previsto]]&lt;TODAY(),TbRegistroEntradas[[#This Row],[Data do Caixa Realizado]]=""),"Vencida","Não Vencida")</f>
        <v>Não Vencida</v>
      </c>
      <c r="P157" s="53" t="str">
        <f>IF(TbRegistroEntradas[[#This Row],[Data da Competência]]=TbRegistroEntradas[[#This Row],[Data do Caixa Previsto]],"Vista","Prazo")</f>
        <v>Prazo</v>
      </c>
      <c r="Q157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60.116937352882815</v>
      </c>
    </row>
    <row r="158" spans="2:17" x14ac:dyDescent="0.3">
      <c r="B158" s="8">
        <v>43431.589825007759</v>
      </c>
      <c r="C158" s="8">
        <v>43412</v>
      </c>
      <c r="D158" s="8">
        <v>43431.589825007759</v>
      </c>
      <c r="E158" t="s">
        <v>27</v>
      </c>
      <c r="F158" t="s">
        <v>36</v>
      </c>
      <c r="G158" t="s">
        <v>214</v>
      </c>
      <c r="H158" s="14">
        <v>4135</v>
      </c>
      <c r="I158">
        <f>IF(TbRegistroEntradas[[#This Row],[Data do Caixa Realizado]]="",0,MONTH(TbRegistroEntradas[[#This Row],[Data do Caixa Realizado]]))</f>
        <v>11</v>
      </c>
      <c r="J158">
        <f>IF(TbRegistroEntradas[[#This Row],[Data do Caixa Realizado]]="",0,YEAR(TbRegistroEntradas[[#This Row],[Data do Caixa Realizado]]))</f>
        <v>2018</v>
      </c>
      <c r="K158">
        <f>IF(TbRegistroEntradas[[#This Row],[Data da Competência]]="",0,MONTH(TbRegistroEntradas[[#This Row],[Data da Competência]]))</f>
        <v>11</v>
      </c>
      <c r="L158">
        <f>IF(TbRegistroEntradas[[#This Row],[Data da Competência]]="",0,YEAR(TbRegistroEntradas[[#This Row],[Data da Competência]]))</f>
        <v>2018</v>
      </c>
      <c r="M158" s="53">
        <f>IF(TbRegistroEntradas[[#This Row],[Data do Caixa Previsto]]="",0,MONTH(TbRegistroEntradas[[#This Row],[Data do Caixa Previsto]]))</f>
        <v>11</v>
      </c>
      <c r="N158" s="53">
        <f>IF(TbRegistroEntradas[[#This Row],[Data do Caixa Previsto]]="",0,YEAR(TbRegistroEntradas[[#This Row],[Data do Caixa Previsto]]))</f>
        <v>2018</v>
      </c>
      <c r="O158" s="53" t="str">
        <f ca="1">IF(AND(TbRegistroEntradas[[#This Row],[Data do Caixa Previsto]]&lt;TODAY(),TbRegistroEntradas[[#This Row],[Data do Caixa Realizado]]=""),"Vencida","Não Vencida")</f>
        <v>Não Vencida</v>
      </c>
      <c r="P158" s="53" t="str">
        <f>IF(TbRegistroEntradas[[#This Row],[Data da Competência]]=TbRegistroEntradas[[#This Row],[Data do Caixa Previsto]],"Vista","Prazo")</f>
        <v>Prazo</v>
      </c>
      <c r="Q158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59" spans="2:17" x14ac:dyDescent="0.3">
      <c r="B159" s="8">
        <v>43467.343545956064</v>
      </c>
      <c r="C159" s="8">
        <v>43415</v>
      </c>
      <c r="D159" s="8">
        <v>43421.091967250024</v>
      </c>
      <c r="E159" t="s">
        <v>27</v>
      </c>
      <c r="F159" t="s">
        <v>36</v>
      </c>
      <c r="G159" t="s">
        <v>215</v>
      </c>
      <c r="H159" s="14">
        <v>3902</v>
      </c>
      <c r="I159">
        <f>IF(TbRegistroEntradas[[#This Row],[Data do Caixa Realizado]]="",0,MONTH(TbRegistroEntradas[[#This Row],[Data do Caixa Realizado]]))</f>
        <v>1</v>
      </c>
      <c r="J159">
        <f>IF(TbRegistroEntradas[[#This Row],[Data do Caixa Realizado]]="",0,YEAR(TbRegistroEntradas[[#This Row],[Data do Caixa Realizado]]))</f>
        <v>2019</v>
      </c>
      <c r="K159">
        <f>IF(TbRegistroEntradas[[#This Row],[Data da Competência]]="",0,MONTH(TbRegistroEntradas[[#This Row],[Data da Competência]]))</f>
        <v>11</v>
      </c>
      <c r="L159">
        <f>IF(TbRegistroEntradas[[#This Row],[Data da Competência]]="",0,YEAR(TbRegistroEntradas[[#This Row],[Data da Competência]]))</f>
        <v>2018</v>
      </c>
      <c r="M159" s="53">
        <f>IF(TbRegistroEntradas[[#This Row],[Data do Caixa Previsto]]="",0,MONTH(TbRegistroEntradas[[#This Row],[Data do Caixa Previsto]]))</f>
        <v>11</v>
      </c>
      <c r="N159" s="53">
        <f>IF(TbRegistroEntradas[[#This Row],[Data do Caixa Previsto]]="",0,YEAR(TbRegistroEntradas[[#This Row],[Data do Caixa Previsto]]))</f>
        <v>2018</v>
      </c>
      <c r="O159" s="53" t="str">
        <f ca="1">IF(AND(TbRegistroEntradas[[#This Row],[Data do Caixa Previsto]]&lt;TODAY(),TbRegistroEntradas[[#This Row],[Data do Caixa Realizado]]=""),"Vencida","Não Vencida")</f>
        <v>Não Vencida</v>
      </c>
      <c r="P159" s="53" t="str">
        <f>IF(TbRegistroEntradas[[#This Row],[Data da Competência]]=TbRegistroEntradas[[#This Row],[Data do Caixa Previsto]],"Vista","Prazo")</f>
        <v>Prazo</v>
      </c>
      <c r="Q159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46.251578706040164</v>
      </c>
    </row>
    <row r="160" spans="2:17" x14ac:dyDescent="0.3">
      <c r="B160" s="8">
        <v>43523.081285354827</v>
      </c>
      <c r="C160" s="8">
        <v>43418</v>
      </c>
      <c r="D160" s="8">
        <v>43441.738773120276</v>
      </c>
      <c r="E160" t="s">
        <v>27</v>
      </c>
      <c r="F160" t="s">
        <v>36</v>
      </c>
      <c r="G160" t="s">
        <v>216</v>
      </c>
      <c r="H160" s="14">
        <v>4319</v>
      </c>
      <c r="I160">
        <f>IF(TbRegistroEntradas[[#This Row],[Data do Caixa Realizado]]="",0,MONTH(TbRegistroEntradas[[#This Row],[Data do Caixa Realizado]]))</f>
        <v>2</v>
      </c>
      <c r="J160">
        <f>IF(TbRegistroEntradas[[#This Row],[Data do Caixa Realizado]]="",0,YEAR(TbRegistroEntradas[[#This Row],[Data do Caixa Realizado]]))</f>
        <v>2019</v>
      </c>
      <c r="K160">
        <f>IF(TbRegistroEntradas[[#This Row],[Data da Competência]]="",0,MONTH(TbRegistroEntradas[[#This Row],[Data da Competência]]))</f>
        <v>11</v>
      </c>
      <c r="L160">
        <f>IF(TbRegistroEntradas[[#This Row],[Data da Competência]]="",0,YEAR(TbRegistroEntradas[[#This Row],[Data da Competência]]))</f>
        <v>2018</v>
      </c>
      <c r="M160" s="53">
        <f>IF(TbRegistroEntradas[[#This Row],[Data do Caixa Previsto]]="",0,MONTH(TbRegistroEntradas[[#This Row],[Data do Caixa Previsto]]))</f>
        <v>12</v>
      </c>
      <c r="N160" s="53">
        <f>IF(TbRegistroEntradas[[#This Row],[Data do Caixa Previsto]]="",0,YEAR(TbRegistroEntradas[[#This Row],[Data do Caixa Previsto]]))</f>
        <v>2018</v>
      </c>
      <c r="O160" s="53" t="str">
        <f ca="1">IF(AND(TbRegistroEntradas[[#This Row],[Data do Caixa Previsto]]&lt;TODAY(),TbRegistroEntradas[[#This Row],[Data do Caixa Realizado]]=""),"Vencida","Não Vencida")</f>
        <v>Não Vencida</v>
      </c>
      <c r="P160" s="53" t="str">
        <f>IF(TbRegistroEntradas[[#This Row],[Data da Competência]]=TbRegistroEntradas[[#This Row],[Data do Caixa Previsto]],"Vista","Prazo")</f>
        <v>Prazo</v>
      </c>
      <c r="Q160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81.342512234550668</v>
      </c>
    </row>
    <row r="161" spans="2:17" x14ac:dyDescent="0.3">
      <c r="B161" s="8">
        <v>43464.748499618698</v>
      </c>
      <c r="C161" s="8">
        <v>43421</v>
      </c>
      <c r="D161" s="8">
        <v>43464.748499618698</v>
      </c>
      <c r="E161" t="s">
        <v>27</v>
      </c>
      <c r="F161" t="s">
        <v>34</v>
      </c>
      <c r="G161" t="s">
        <v>217</v>
      </c>
      <c r="H161" s="14">
        <v>3068</v>
      </c>
      <c r="I161">
        <f>IF(TbRegistroEntradas[[#This Row],[Data do Caixa Realizado]]="",0,MONTH(TbRegistroEntradas[[#This Row],[Data do Caixa Realizado]]))</f>
        <v>12</v>
      </c>
      <c r="J161">
        <f>IF(TbRegistroEntradas[[#This Row],[Data do Caixa Realizado]]="",0,YEAR(TbRegistroEntradas[[#This Row],[Data do Caixa Realizado]]))</f>
        <v>2018</v>
      </c>
      <c r="K161">
        <f>IF(TbRegistroEntradas[[#This Row],[Data da Competência]]="",0,MONTH(TbRegistroEntradas[[#This Row],[Data da Competência]]))</f>
        <v>11</v>
      </c>
      <c r="L161">
        <f>IF(TbRegistroEntradas[[#This Row],[Data da Competência]]="",0,YEAR(TbRegistroEntradas[[#This Row],[Data da Competência]]))</f>
        <v>2018</v>
      </c>
      <c r="M161" s="53">
        <f>IF(TbRegistroEntradas[[#This Row],[Data do Caixa Previsto]]="",0,MONTH(TbRegistroEntradas[[#This Row],[Data do Caixa Previsto]]))</f>
        <v>12</v>
      </c>
      <c r="N161" s="53">
        <f>IF(TbRegistroEntradas[[#This Row],[Data do Caixa Previsto]]="",0,YEAR(TbRegistroEntradas[[#This Row],[Data do Caixa Previsto]]))</f>
        <v>2018</v>
      </c>
      <c r="O161" s="53" t="str">
        <f ca="1">IF(AND(TbRegistroEntradas[[#This Row],[Data do Caixa Previsto]]&lt;TODAY(),TbRegistroEntradas[[#This Row],[Data do Caixa Realizado]]=""),"Vencida","Não Vencida")</f>
        <v>Não Vencida</v>
      </c>
      <c r="P161" s="53" t="str">
        <f>IF(TbRegistroEntradas[[#This Row],[Data da Competência]]=TbRegistroEntradas[[#This Row],[Data do Caixa Previsto]],"Vista","Prazo")</f>
        <v>Prazo</v>
      </c>
      <c r="Q161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62" spans="2:17" x14ac:dyDescent="0.3">
      <c r="B162" s="8">
        <v>43455.375597423525</v>
      </c>
      <c r="C162" s="8">
        <v>43425</v>
      </c>
      <c r="D162" s="8">
        <v>43455.375597423525</v>
      </c>
      <c r="E162" t="s">
        <v>27</v>
      </c>
      <c r="F162" t="s">
        <v>36</v>
      </c>
      <c r="G162" t="s">
        <v>218</v>
      </c>
      <c r="H162" s="14">
        <v>1880</v>
      </c>
      <c r="I162">
        <f>IF(TbRegistroEntradas[[#This Row],[Data do Caixa Realizado]]="",0,MONTH(TbRegistroEntradas[[#This Row],[Data do Caixa Realizado]]))</f>
        <v>12</v>
      </c>
      <c r="J162">
        <f>IF(TbRegistroEntradas[[#This Row],[Data do Caixa Realizado]]="",0,YEAR(TbRegistroEntradas[[#This Row],[Data do Caixa Realizado]]))</f>
        <v>2018</v>
      </c>
      <c r="K162">
        <f>IF(TbRegistroEntradas[[#This Row],[Data da Competência]]="",0,MONTH(TbRegistroEntradas[[#This Row],[Data da Competência]]))</f>
        <v>11</v>
      </c>
      <c r="L162">
        <f>IF(TbRegistroEntradas[[#This Row],[Data da Competência]]="",0,YEAR(TbRegistroEntradas[[#This Row],[Data da Competência]]))</f>
        <v>2018</v>
      </c>
      <c r="M162" s="53">
        <f>IF(TbRegistroEntradas[[#This Row],[Data do Caixa Previsto]]="",0,MONTH(TbRegistroEntradas[[#This Row],[Data do Caixa Previsto]]))</f>
        <v>12</v>
      </c>
      <c r="N162" s="53">
        <f>IF(TbRegistroEntradas[[#This Row],[Data do Caixa Previsto]]="",0,YEAR(TbRegistroEntradas[[#This Row],[Data do Caixa Previsto]]))</f>
        <v>2018</v>
      </c>
      <c r="O162" s="53" t="str">
        <f ca="1">IF(AND(TbRegistroEntradas[[#This Row],[Data do Caixa Previsto]]&lt;TODAY(),TbRegistroEntradas[[#This Row],[Data do Caixa Realizado]]=""),"Vencida","Não Vencida")</f>
        <v>Não Vencida</v>
      </c>
      <c r="P162" s="53" t="str">
        <f>IF(TbRegistroEntradas[[#This Row],[Data da Competência]]=TbRegistroEntradas[[#This Row],[Data do Caixa Previsto]],"Vista","Prazo")</f>
        <v>Prazo</v>
      </c>
      <c r="Q162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63" spans="2:17" x14ac:dyDescent="0.3">
      <c r="B163" s="8" t="s">
        <v>70</v>
      </c>
      <c r="C163" s="8">
        <v>43427</v>
      </c>
      <c r="D163" s="8">
        <v>43465.063381850647</v>
      </c>
      <c r="E163" t="s">
        <v>27</v>
      </c>
      <c r="F163" t="s">
        <v>36</v>
      </c>
      <c r="G163" t="s">
        <v>219</v>
      </c>
      <c r="H163" s="14">
        <v>1414</v>
      </c>
      <c r="I163">
        <f>IF(TbRegistroEntradas[[#This Row],[Data do Caixa Realizado]]="",0,MONTH(TbRegistroEntradas[[#This Row],[Data do Caixa Realizado]]))</f>
        <v>0</v>
      </c>
      <c r="J163">
        <f>IF(TbRegistroEntradas[[#This Row],[Data do Caixa Realizado]]="",0,YEAR(TbRegistroEntradas[[#This Row],[Data do Caixa Realizado]]))</f>
        <v>0</v>
      </c>
      <c r="K163">
        <f>IF(TbRegistroEntradas[[#This Row],[Data da Competência]]="",0,MONTH(TbRegistroEntradas[[#This Row],[Data da Competência]]))</f>
        <v>11</v>
      </c>
      <c r="L163">
        <f>IF(TbRegistroEntradas[[#This Row],[Data da Competência]]="",0,YEAR(TbRegistroEntradas[[#This Row],[Data da Competência]]))</f>
        <v>2018</v>
      </c>
      <c r="M163" s="53">
        <f>IF(TbRegistroEntradas[[#This Row],[Data do Caixa Previsto]]="",0,MONTH(TbRegistroEntradas[[#This Row],[Data do Caixa Previsto]]))</f>
        <v>12</v>
      </c>
      <c r="N163" s="53">
        <f>IF(TbRegistroEntradas[[#This Row],[Data do Caixa Previsto]]="",0,YEAR(TbRegistroEntradas[[#This Row],[Data do Caixa Previsto]]))</f>
        <v>2018</v>
      </c>
      <c r="O163" s="53" t="str">
        <f ca="1">IF(AND(TbRegistroEntradas[[#This Row],[Data do Caixa Previsto]]&lt;TODAY(),TbRegistroEntradas[[#This Row],[Data do Caixa Realizado]]=""),"Vencida","Não Vencida")</f>
        <v>Vencida</v>
      </c>
      <c r="P163" s="53" t="str">
        <f>IF(TbRegistroEntradas[[#This Row],[Data da Competência]]=TbRegistroEntradas[[#This Row],[Data do Caixa Previsto]],"Vista","Prazo")</f>
        <v>Prazo</v>
      </c>
      <c r="Q163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2143.9366181493533</v>
      </c>
    </row>
    <row r="164" spans="2:17" x14ac:dyDescent="0.3">
      <c r="B164" s="8" t="s">
        <v>70</v>
      </c>
      <c r="C164" s="8">
        <v>43430</v>
      </c>
      <c r="D164" s="8">
        <v>43447.889924144794</v>
      </c>
      <c r="E164" t="s">
        <v>27</v>
      </c>
      <c r="F164" t="s">
        <v>33</v>
      </c>
      <c r="G164" t="s">
        <v>220</v>
      </c>
      <c r="H164" s="14">
        <v>919</v>
      </c>
      <c r="I164">
        <f>IF(TbRegistroEntradas[[#This Row],[Data do Caixa Realizado]]="",0,MONTH(TbRegistroEntradas[[#This Row],[Data do Caixa Realizado]]))</f>
        <v>0</v>
      </c>
      <c r="J164">
        <f>IF(TbRegistroEntradas[[#This Row],[Data do Caixa Realizado]]="",0,YEAR(TbRegistroEntradas[[#This Row],[Data do Caixa Realizado]]))</f>
        <v>0</v>
      </c>
      <c r="K164">
        <f>IF(TbRegistroEntradas[[#This Row],[Data da Competência]]="",0,MONTH(TbRegistroEntradas[[#This Row],[Data da Competência]]))</f>
        <v>11</v>
      </c>
      <c r="L164">
        <f>IF(TbRegistroEntradas[[#This Row],[Data da Competência]]="",0,YEAR(TbRegistroEntradas[[#This Row],[Data da Competência]]))</f>
        <v>2018</v>
      </c>
      <c r="M164" s="53">
        <f>IF(TbRegistroEntradas[[#This Row],[Data do Caixa Previsto]]="",0,MONTH(TbRegistroEntradas[[#This Row],[Data do Caixa Previsto]]))</f>
        <v>12</v>
      </c>
      <c r="N164" s="53">
        <f>IF(TbRegistroEntradas[[#This Row],[Data do Caixa Previsto]]="",0,YEAR(TbRegistroEntradas[[#This Row],[Data do Caixa Previsto]]))</f>
        <v>2018</v>
      </c>
      <c r="O164" s="53" t="str">
        <f ca="1">IF(AND(TbRegistroEntradas[[#This Row],[Data do Caixa Previsto]]&lt;TODAY(),TbRegistroEntradas[[#This Row],[Data do Caixa Realizado]]=""),"Vencida","Não Vencida")</f>
        <v>Vencida</v>
      </c>
      <c r="P164" s="53" t="str">
        <f>IF(TbRegistroEntradas[[#This Row],[Data da Competência]]=TbRegistroEntradas[[#This Row],[Data do Caixa Previsto]],"Vista","Prazo")</f>
        <v>Prazo</v>
      </c>
      <c r="Q164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2161.1100758552057</v>
      </c>
    </row>
    <row r="165" spans="2:17" x14ac:dyDescent="0.3">
      <c r="B165" s="8">
        <v>43477.965813489587</v>
      </c>
      <c r="C165" s="8">
        <v>43431</v>
      </c>
      <c r="D165" s="8">
        <v>43477.965813489587</v>
      </c>
      <c r="E165" t="s">
        <v>27</v>
      </c>
      <c r="F165" t="s">
        <v>36</v>
      </c>
      <c r="G165" t="s">
        <v>221</v>
      </c>
      <c r="H165" s="14">
        <v>4801</v>
      </c>
      <c r="I165">
        <f>IF(TbRegistroEntradas[[#This Row],[Data do Caixa Realizado]]="",0,MONTH(TbRegistroEntradas[[#This Row],[Data do Caixa Realizado]]))</f>
        <v>1</v>
      </c>
      <c r="J165">
        <f>IF(TbRegistroEntradas[[#This Row],[Data do Caixa Realizado]]="",0,YEAR(TbRegistroEntradas[[#This Row],[Data do Caixa Realizado]]))</f>
        <v>2019</v>
      </c>
      <c r="K165">
        <f>IF(TbRegistroEntradas[[#This Row],[Data da Competência]]="",0,MONTH(TbRegistroEntradas[[#This Row],[Data da Competência]]))</f>
        <v>11</v>
      </c>
      <c r="L165">
        <f>IF(TbRegistroEntradas[[#This Row],[Data da Competência]]="",0,YEAR(TbRegistroEntradas[[#This Row],[Data da Competência]]))</f>
        <v>2018</v>
      </c>
      <c r="M165" s="53">
        <f>IF(TbRegistroEntradas[[#This Row],[Data do Caixa Previsto]]="",0,MONTH(TbRegistroEntradas[[#This Row],[Data do Caixa Previsto]]))</f>
        <v>1</v>
      </c>
      <c r="N165" s="53">
        <f>IF(TbRegistroEntradas[[#This Row],[Data do Caixa Previsto]]="",0,YEAR(TbRegistroEntradas[[#This Row],[Data do Caixa Previsto]]))</f>
        <v>2019</v>
      </c>
      <c r="O165" s="53" t="str">
        <f ca="1">IF(AND(TbRegistroEntradas[[#This Row],[Data do Caixa Previsto]]&lt;TODAY(),TbRegistroEntradas[[#This Row],[Data do Caixa Realizado]]=""),"Vencida","Não Vencida")</f>
        <v>Não Vencida</v>
      </c>
      <c r="P165" s="53" t="str">
        <f>IF(TbRegistroEntradas[[#This Row],[Data da Competência]]=TbRegistroEntradas[[#This Row],[Data do Caixa Previsto]],"Vista","Prazo")</f>
        <v>Prazo</v>
      </c>
      <c r="Q165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66" spans="2:17" x14ac:dyDescent="0.3">
      <c r="B166" s="8" t="s">
        <v>70</v>
      </c>
      <c r="C166" s="8">
        <v>43434</v>
      </c>
      <c r="D166" s="8">
        <v>43455.267564406917</v>
      </c>
      <c r="E166" t="s">
        <v>27</v>
      </c>
      <c r="F166" t="s">
        <v>37</v>
      </c>
      <c r="G166" t="s">
        <v>222</v>
      </c>
      <c r="H166" s="14">
        <v>4639</v>
      </c>
      <c r="I166">
        <f>IF(TbRegistroEntradas[[#This Row],[Data do Caixa Realizado]]="",0,MONTH(TbRegistroEntradas[[#This Row],[Data do Caixa Realizado]]))</f>
        <v>0</v>
      </c>
      <c r="J166">
        <f>IF(TbRegistroEntradas[[#This Row],[Data do Caixa Realizado]]="",0,YEAR(TbRegistroEntradas[[#This Row],[Data do Caixa Realizado]]))</f>
        <v>0</v>
      </c>
      <c r="K166">
        <f>IF(TbRegistroEntradas[[#This Row],[Data da Competência]]="",0,MONTH(TbRegistroEntradas[[#This Row],[Data da Competência]]))</f>
        <v>11</v>
      </c>
      <c r="L166">
        <f>IF(TbRegistroEntradas[[#This Row],[Data da Competência]]="",0,YEAR(TbRegistroEntradas[[#This Row],[Data da Competência]]))</f>
        <v>2018</v>
      </c>
      <c r="M166" s="53">
        <f>IF(TbRegistroEntradas[[#This Row],[Data do Caixa Previsto]]="",0,MONTH(TbRegistroEntradas[[#This Row],[Data do Caixa Previsto]]))</f>
        <v>12</v>
      </c>
      <c r="N166" s="53">
        <f>IF(TbRegistroEntradas[[#This Row],[Data do Caixa Previsto]]="",0,YEAR(TbRegistroEntradas[[#This Row],[Data do Caixa Previsto]]))</f>
        <v>2018</v>
      </c>
      <c r="O166" s="53" t="str">
        <f ca="1">IF(AND(TbRegistroEntradas[[#This Row],[Data do Caixa Previsto]]&lt;TODAY(),TbRegistroEntradas[[#This Row],[Data do Caixa Realizado]]=""),"Vencida","Não Vencida")</f>
        <v>Vencida</v>
      </c>
      <c r="P166" s="53" t="str">
        <f>IF(TbRegistroEntradas[[#This Row],[Data da Competência]]=TbRegistroEntradas[[#This Row],[Data do Caixa Previsto]],"Vista","Prazo")</f>
        <v>Prazo</v>
      </c>
      <c r="Q166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2153.7324355930832</v>
      </c>
    </row>
    <row r="167" spans="2:17" x14ac:dyDescent="0.3">
      <c r="B167" s="8">
        <v>43544.142248909535</v>
      </c>
      <c r="C167" s="8">
        <v>43440</v>
      </c>
      <c r="D167" s="8">
        <v>43487.390614414791</v>
      </c>
      <c r="E167" t="s">
        <v>27</v>
      </c>
      <c r="F167" t="s">
        <v>36</v>
      </c>
      <c r="G167" t="s">
        <v>223</v>
      </c>
      <c r="H167" s="14">
        <v>1209</v>
      </c>
      <c r="I167">
        <f>IF(TbRegistroEntradas[[#This Row],[Data do Caixa Realizado]]="",0,MONTH(TbRegistroEntradas[[#This Row],[Data do Caixa Realizado]]))</f>
        <v>3</v>
      </c>
      <c r="J167">
        <f>IF(TbRegistroEntradas[[#This Row],[Data do Caixa Realizado]]="",0,YEAR(TbRegistroEntradas[[#This Row],[Data do Caixa Realizado]]))</f>
        <v>2019</v>
      </c>
      <c r="K167">
        <f>IF(TbRegistroEntradas[[#This Row],[Data da Competência]]="",0,MONTH(TbRegistroEntradas[[#This Row],[Data da Competência]]))</f>
        <v>12</v>
      </c>
      <c r="L167">
        <f>IF(TbRegistroEntradas[[#This Row],[Data da Competência]]="",0,YEAR(TbRegistroEntradas[[#This Row],[Data da Competência]]))</f>
        <v>2018</v>
      </c>
      <c r="M167" s="53">
        <f>IF(TbRegistroEntradas[[#This Row],[Data do Caixa Previsto]]="",0,MONTH(TbRegistroEntradas[[#This Row],[Data do Caixa Previsto]]))</f>
        <v>1</v>
      </c>
      <c r="N167" s="53">
        <f>IF(TbRegistroEntradas[[#This Row],[Data do Caixa Previsto]]="",0,YEAR(TbRegistroEntradas[[#This Row],[Data do Caixa Previsto]]))</f>
        <v>2019</v>
      </c>
      <c r="O167" s="53" t="str">
        <f ca="1">IF(AND(TbRegistroEntradas[[#This Row],[Data do Caixa Previsto]]&lt;TODAY(),TbRegistroEntradas[[#This Row],[Data do Caixa Realizado]]=""),"Vencida","Não Vencida")</f>
        <v>Não Vencida</v>
      </c>
      <c r="P167" s="53" t="str">
        <f>IF(TbRegistroEntradas[[#This Row],[Data da Competência]]=TbRegistroEntradas[[#This Row],[Data do Caixa Previsto]],"Vista","Prazo")</f>
        <v>Prazo</v>
      </c>
      <c r="Q167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56.751634494743485</v>
      </c>
    </row>
    <row r="168" spans="2:17" x14ac:dyDescent="0.3">
      <c r="B168" s="8" t="s">
        <v>70</v>
      </c>
      <c r="C168" s="8">
        <v>43444</v>
      </c>
      <c r="D168" s="8">
        <v>43477.170204498791</v>
      </c>
      <c r="E168" t="s">
        <v>27</v>
      </c>
      <c r="F168" t="s">
        <v>37</v>
      </c>
      <c r="G168" t="s">
        <v>224</v>
      </c>
      <c r="H168" s="14">
        <v>483</v>
      </c>
      <c r="I168">
        <f>IF(TbRegistroEntradas[[#This Row],[Data do Caixa Realizado]]="",0,MONTH(TbRegistroEntradas[[#This Row],[Data do Caixa Realizado]]))</f>
        <v>0</v>
      </c>
      <c r="J168">
        <f>IF(TbRegistroEntradas[[#This Row],[Data do Caixa Realizado]]="",0,YEAR(TbRegistroEntradas[[#This Row],[Data do Caixa Realizado]]))</f>
        <v>0</v>
      </c>
      <c r="K168">
        <f>IF(TbRegistroEntradas[[#This Row],[Data da Competência]]="",0,MONTH(TbRegistroEntradas[[#This Row],[Data da Competência]]))</f>
        <v>12</v>
      </c>
      <c r="L168">
        <f>IF(TbRegistroEntradas[[#This Row],[Data da Competência]]="",0,YEAR(TbRegistroEntradas[[#This Row],[Data da Competência]]))</f>
        <v>2018</v>
      </c>
      <c r="M168" s="53">
        <f>IF(TbRegistroEntradas[[#This Row],[Data do Caixa Previsto]]="",0,MONTH(TbRegistroEntradas[[#This Row],[Data do Caixa Previsto]]))</f>
        <v>1</v>
      </c>
      <c r="N168" s="53">
        <f>IF(TbRegistroEntradas[[#This Row],[Data do Caixa Previsto]]="",0,YEAR(TbRegistroEntradas[[#This Row],[Data do Caixa Previsto]]))</f>
        <v>2019</v>
      </c>
      <c r="O168" s="53" t="str">
        <f ca="1">IF(AND(TbRegistroEntradas[[#This Row],[Data do Caixa Previsto]]&lt;TODAY(),TbRegistroEntradas[[#This Row],[Data do Caixa Realizado]]=""),"Vencida","Não Vencida")</f>
        <v>Vencida</v>
      </c>
      <c r="P168" s="53" t="str">
        <f>IF(TbRegistroEntradas[[#This Row],[Data da Competência]]=TbRegistroEntradas[[#This Row],[Data do Caixa Previsto]],"Vista","Prazo")</f>
        <v>Prazo</v>
      </c>
      <c r="Q168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2131.8297955012094</v>
      </c>
    </row>
    <row r="169" spans="2:17" x14ac:dyDescent="0.3">
      <c r="B169" s="8">
        <v>43469.404646888193</v>
      </c>
      <c r="C169" s="8">
        <v>43451</v>
      </c>
      <c r="D169" s="8">
        <v>43469.404646888193</v>
      </c>
      <c r="E169" t="s">
        <v>27</v>
      </c>
      <c r="F169" t="s">
        <v>36</v>
      </c>
      <c r="G169" t="s">
        <v>225</v>
      </c>
      <c r="H169" s="14">
        <v>373</v>
      </c>
      <c r="I169">
        <f>IF(TbRegistroEntradas[[#This Row],[Data do Caixa Realizado]]="",0,MONTH(TbRegistroEntradas[[#This Row],[Data do Caixa Realizado]]))</f>
        <v>1</v>
      </c>
      <c r="J169">
        <f>IF(TbRegistroEntradas[[#This Row],[Data do Caixa Realizado]]="",0,YEAR(TbRegistroEntradas[[#This Row],[Data do Caixa Realizado]]))</f>
        <v>2019</v>
      </c>
      <c r="K169">
        <f>IF(TbRegistroEntradas[[#This Row],[Data da Competência]]="",0,MONTH(TbRegistroEntradas[[#This Row],[Data da Competência]]))</f>
        <v>12</v>
      </c>
      <c r="L169">
        <f>IF(TbRegistroEntradas[[#This Row],[Data da Competência]]="",0,YEAR(TbRegistroEntradas[[#This Row],[Data da Competência]]))</f>
        <v>2018</v>
      </c>
      <c r="M169" s="53">
        <f>IF(TbRegistroEntradas[[#This Row],[Data do Caixa Previsto]]="",0,MONTH(TbRegistroEntradas[[#This Row],[Data do Caixa Previsto]]))</f>
        <v>1</v>
      </c>
      <c r="N169" s="53">
        <f>IF(TbRegistroEntradas[[#This Row],[Data do Caixa Previsto]]="",0,YEAR(TbRegistroEntradas[[#This Row],[Data do Caixa Previsto]]))</f>
        <v>2019</v>
      </c>
      <c r="O169" s="53" t="str">
        <f ca="1">IF(AND(TbRegistroEntradas[[#This Row],[Data do Caixa Previsto]]&lt;TODAY(),TbRegistroEntradas[[#This Row],[Data do Caixa Realizado]]=""),"Vencida","Não Vencida")</f>
        <v>Não Vencida</v>
      </c>
      <c r="P169" s="53" t="str">
        <f>IF(TbRegistroEntradas[[#This Row],[Data da Competência]]=TbRegistroEntradas[[#This Row],[Data do Caixa Previsto]],"Vista","Prazo")</f>
        <v>Prazo</v>
      </c>
      <c r="Q169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70" spans="2:17" x14ac:dyDescent="0.3">
      <c r="B170" s="8">
        <v>43459.694209767709</v>
      </c>
      <c r="C170" s="8">
        <v>43454</v>
      </c>
      <c r="D170" s="8">
        <v>43459.694209767709</v>
      </c>
      <c r="E170" t="s">
        <v>27</v>
      </c>
      <c r="F170" t="s">
        <v>34</v>
      </c>
      <c r="G170" t="s">
        <v>226</v>
      </c>
      <c r="H170" s="14">
        <v>2088</v>
      </c>
      <c r="I170">
        <f>IF(TbRegistroEntradas[[#This Row],[Data do Caixa Realizado]]="",0,MONTH(TbRegistroEntradas[[#This Row],[Data do Caixa Realizado]]))</f>
        <v>12</v>
      </c>
      <c r="J170">
        <f>IF(TbRegistroEntradas[[#This Row],[Data do Caixa Realizado]]="",0,YEAR(TbRegistroEntradas[[#This Row],[Data do Caixa Realizado]]))</f>
        <v>2018</v>
      </c>
      <c r="K170">
        <f>IF(TbRegistroEntradas[[#This Row],[Data da Competência]]="",0,MONTH(TbRegistroEntradas[[#This Row],[Data da Competência]]))</f>
        <v>12</v>
      </c>
      <c r="L170">
        <f>IF(TbRegistroEntradas[[#This Row],[Data da Competência]]="",0,YEAR(TbRegistroEntradas[[#This Row],[Data da Competência]]))</f>
        <v>2018</v>
      </c>
      <c r="M170" s="53">
        <f>IF(TbRegistroEntradas[[#This Row],[Data do Caixa Previsto]]="",0,MONTH(TbRegistroEntradas[[#This Row],[Data do Caixa Previsto]]))</f>
        <v>12</v>
      </c>
      <c r="N170" s="53">
        <f>IF(TbRegistroEntradas[[#This Row],[Data do Caixa Previsto]]="",0,YEAR(TbRegistroEntradas[[#This Row],[Data do Caixa Previsto]]))</f>
        <v>2018</v>
      </c>
      <c r="O170" s="53" t="str">
        <f ca="1">IF(AND(TbRegistroEntradas[[#This Row],[Data do Caixa Previsto]]&lt;TODAY(),TbRegistroEntradas[[#This Row],[Data do Caixa Realizado]]=""),"Vencida","Não Vencida")</f>
        <v>Não Vencida</v>
      </c>
      <c r="P170" s="53" t="str">
        <f>IF(TbRegistroEntradas[[#This Row],[Data da Competência]]=TbRegistroEntradas[[#This Row],[Data do Caixa Previsto]],"Vista","Prazo")</f>
        <v>Prazo</v>
      </c>
      <c r="Q170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71" spans="2:17" x14ac:dyDescent="0.3">
      <c r="B171" s="8">
        <v>43497.817197182514</v>
      </c>
      <c r="C171" s="8">
        <v>43455</v>
      </c>
      <c r="D171" s="8">
        <v>43497.817197182514</v>
      </c>
      <c r="E171" t="s">
        <v>27</v>
      </c>
      <c r="F171" t="s">
        <v>37</v>
      </c>
      <c r="G171" t="s">
        <v>227</v>
      </c>
      <c r="H171" s="14">
        <v>1168</v>
      </c>
      <c r="I171">
        <f>IF(TbRegistroEntradas[[#This Row],[Data do Caixa Realizado]]="",0,MONTH(TbRegistroEntradas[[#This Row],[Data do Caixa Realizado]]))</f>
        <v>2</v>
      </c>
      <c r="J171">
        <f>IF(TbRegistroEntradas[[#This Row],[Data do Caixa Realizado]]="",0,YEAR(TbRegistroEntradas[[#This Row],[Data do Caixa Realizado]]))</f>
        <v>2019</v>
      </c>
      <c r="K171">
        <f>IF(TbRegistroEntradas[[#This Row],[Data da Competência]]="",0,MONTH(TbRegistroEntradas[[#This Row],[Data da Competência]]))</f>
        <v>12</v>
      </c>
      <c r="L171">
        <f>IF(TbRegistroEntradas[[#This Row],[Data da Competência]]="",0,YEAR(TbRegistroEntradas[[#This Row],[Data da Competência]]))</f>
        <v>2018</v>
      </c>
      <c r="M171" s="53">
        <f>IF(TbRegistroEntradas[[#This Row],[Data do Caixa Previsto]]="",0,MONTH(TbRegistroEntradas[[#This Row],[Data do Caixa Previsto]]))</f>
        <v>2</v>
      </c>
      <c r="N171" s="53">
        <f>IF(TbRegistroEntradas[[#This Row],[Data do Caixa Previsto]]="",0,YEAR(TbRegistroEntradas[[#This Row],[Data do Caixa Previsto]]))</f>
        <v>2019</v>
      </c>
      <c r="O171" s="53" t="str">
        <f ca="1">IF(AND(TbRegistroEntradas[[#This Row],[Data do Caixa Previsto]]&lt;TODAY(),TbRegistroEntradas[[#This Row],[Data do Caixa Realizado]]=""),"Vencida","Não Vencida")</f>
        <v>Não Vencida</v>
      </c>
      <c r="P171" s="53" t="str">
        <f>IF(TbRegistroEntradas[[#This Row],[Data da Competência]]=TbRegistroEntradas[[#This Row],[Data do Caixa Previsto]],"Vista","Prazo")</f>
        <v>Prazo</v>
      </c>
      <c r="Q171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72" spans="2:17" x14ac:dyDescent="0.3">
      <c r="B172" s="8">
        <v>43550.908167683869</v>
      </c>
      <c r="C172" s="8">
        <v>43457</v>
      </c>
      <c r="D172" s="8">
        <v>43493.892299226922</v>
      </c>
      <c r="E172" t="s">
        <v>27</v>
      </c>
      <c r="F172" t="s">
        <v>37</v>
      </c>
      <c r="G172" t="s">
        <v>228</v>
      </c>
      <c r="H172" s="14">
        <v>4429</v>
      </c>
      <c r="I172">
        <f>IF(TbRegistroEntradas[[#This Row],[Data do Caixa Realizado]]="",0,MONTH(TbRegistroEntradas[[#This Row],[Data do Caixa Realizado]]))</f>
        <v>3</v>
      </c>
      <c r="J172">
        <f>IF(TbRegistroEntradas[[#This Row],[Data do Caixa Realizado]]="",0,YEAR(TbRegistroEntradas[[#This Row],[Data do Caixa Realizado]]))</f>
        <v>2019</v>
      </c>
      <c r="K172">
        <f>IF(TbRegistroEntradas[[#This Row],[Data da Competência]]="",0,MONTH(TbRegistroEntradas[[#This Row],[Data da Competência]]))</f>
        <v>12</v>
      </c>
      <c r="L172">
        <f>IF(TbRegistroEntradas[[#This Row],[Data da Competência]]="",0,YEAR(TbRegistroEntradas[[#This Row],[Data da Competência]]))</f>
        <v>2018</v>
      </c>
      <c r="M172" s="53">
        <f>IF(TbRegistroEntradas[[#This Row],[Data do Caixa Previsto]]="",0,MONTH(TbRegistroEntradas[[#This Row],[Data do Caixa Previsto]]))</f>
        <v>1</v>
      </c>
      <c r="N172" s="53">
        <f>IF(TbRegistroEntradas[[#This Row],[Data do Caixa Previsto]]="",0,YEAR(TbRegistroEntradas[[#This Row],[Data do Caixa Previsto]]))</f>
        <v>2019</v>
      </c>
      <c r="O172" s="53" t="str">
        <f ca="1">IF(AND(TbRegistroEntradas[[#This Row],[Data do Caixa Previsto]]&lt;TODAY(),TbRegistroEntradas[[#This Row],[Data do Caixa Realizado]]=""),"Vencida","Não Vencida")</f>
        <v>Não Vencida</v>
      </c>
      <c r="P172" s="53" t="str">
        <f>IF(TbRegistroEntradas[[#This Row],[Data da Competência]]=TbRegistroEntradas[[#This Row],[Data do Caixa Previsto]],"Vista","Prazo")</f>
        <v>Prazo</v>
      </c>
      <c r="Q172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57.015868456946919</v>
      </c>
    </row>
    <row r="173" spans="2:17" x14ac:dyDescent="0.3">
      <c r="B173" s="8">
        <v>43519.692753371986</v>
      </c>
      <c r="C173" s="8">
        <v>43462</v>
      </c>
      <c r="D173" s="8">
        <v>43519.692753371986</v>
      </c>
      <c r="E173" t="s">
        <v>27</v>
      </c>
      <c r="F173" t="s">
        <v>36</v>
      </c>
      <c r="G173" t="s">
        <v>229</v>
      </c>
      <c r="H173" s="14">
        <v>4955</v>
      </c>
      <c r="I173">
        <f>IF(TbRegistroEntradas[[#This Row],[Data do Caixa Realizado]]="",0,MONTH(TbRegistroEntradas[[#This Row],[Data do Caixa Realizado]]))</f>
        <v>2</v>
      </c>
      <c r="J173">
        <f>IF(TbRegistroEntradas[[#This Row],[Data do Caixa Realizado]]="",0,YEAR(TbRegistroEntradas[[#This Row],[Data do Caixa Realizado]]))</f>
        <v>2019</v>
      </c>
      <c r="K173">
        <f>IF(TbRegistroEntradas[[#This Row],[Data da Competência]]="",0,MONTH(TbRegistroEntradas[[#This Row],[Data da Competência]]))</f>
        <v>12</v>
      </c>
      <c r="L173">
        <f>IF(TbRegistroEntradas[[#This Row],[Data da Competência]]="",0,YEAR(TbRegistroEntradas[[#This Row],[Data da Competência]]))</f>
        <v>2018</v>
      </c>
      <c r="M173" s="53">
        <f>IF(TbRegistroEntradas[[#This Row],[Data do Caixa Previsto]]="",0,MONTH(TbRegistroEntradas[[#This Row],[Data do Caixa Previsto]]))</f>
        <v>2</v>
      </c>
      <c r="N173" s="53">
        <f>IF(TbRegistroEntradas[[#This Row],[Data do Caixa Previsto]]="",0,YEAR(TbRegistroEntradas[[#This Row],[Data do Caixa Previsto]]))</f>
        <v>2019</v>
      </c>
      <c r="O173" s="53" t="str">
        <f ca="1">IF(AND(TbRegistroEntradas[[#This Row],[Data do Caixa Previsto]]&lt;TODAY(),TbRegistroEntradas[[#This Row],[Data do Caixa Realizado]]=""),"Vencida","Não Vencida")</f>
        <v>Não Vencida</v>
      </c>
      <c r="P173" s="53" t="str">
        <f>IF(TbRegistroEntradas[[#This Row],[Data da Competência]]=TbRegistroEntradas[[#This Row],[Data do Caixa Previsto]],"Vista","Prazo")</f>
        <v>Prazo</v>
      </c>
      <c r="Q173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74" spans="2:17" x14ac:dyDescent="0.3">
      <c r="B174" s="8">
        <v>43484.08707667359</v>
      </c>
      <c r="C174" s="8">
        <v>43465</v>
      </c>
      <c r="D174" s="8">
        <v>43483.090606344922</v>
      </c>
      <c r="E174" t="s">
        <v>27</v>
      </c>
      <c r="F174" t="s">
        <v>36</v>
      </c>
      <c r="G174" t="s">
        <v>230</v>
      </c>
      <c r="H174" s="14">
        <v>3201</v>
      </c>
      <c r="I174">
        <f>IF(TbRegistroEntradas[[#This Row],[Data do Caixa Realizado]]="",0,MONTH(TbRegistroEntradas[[#This Row],[Data do Caixa Realizado]]))</f>
        <v>1</v>
      </c>
      <c r="J174">
        <f>IF(TbRegistroEntradas[[#This Row],[Data do Caixa Realizado]]="",0,YEAR(TbRegistroEntradas[[#This Row],[Data do Caixa Realizado]]))</f>
        <v>2019</v>
      </c>
      <c r="K174">
        <f>IF(TbRegistroEntradas[[#This Row],[Data da Competência]]="",0,MONTH(TbRegistroEntradas[[#This Row],[Data da Competência]]))</f>
        <v>12</v>
      </c>
      <c r="L174">
        <f>IF(TbRegistroEntradas[[#This Row],[Data da Competência]]="",0,YEAR(TbRegistroEntradas[[#This Row],[Data da Competência]]))</f>
        <v>2018</v>
      </c>
      <c r="M174" s="53">
        <f>IF(TbRegistroEntradas[[#This Row],[Data do Caixa Previsto]]="",0,MONTH(TbRegistroEntradas[[#This Row],[Data do Caixa Previsto]]))</f>
        <v>1</v>
      </c>
      <c r="N174" s="53">
        <f>IF(TbRegistroEntradas[[#This Row],[Data do Caixa Previsto]]="",0,YEAR(TbRegistroEntradas[[#This Row],[Data do Caixa Previsto]]))</f>
        <v>2019</v>
      </c>
      <c r="O174" s="53" t="str">
        <f ca="1">IF(AND(TbRegistroEntradas[[#This Row],[Data do Caixa Previsto]]&lt;TODAY(),TbRegistroEntradas[[#This Row],[Data do Caixa Realizado]]=""),"Vencida","Não Vencida")</f>
        <v>Não Vencida</v>
      </c>
      <c r="P174" s="53" t="str">
        <f>IF(TbRegistroEntradas[[#This Row],[Data da Competência]]=TbRegistroEntradas[[#This Row],[Data do Caixa Previsto]],"Vista","Prazo")</f>
        <v>Prazo</v>
      </c>
      <c r="Q174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0.99647032866778318</v>
      </c>
    </row>
    <row r="175" spans="2:17" x14ac:dyDescent="0.3">
      <c r="B175" s="8">
        <v>43511.69240968494</v>
      </c>
      <c r="C175" s="8">
        <v>43469</v>
      </c>
      <c r="D175" s="8">
        <v>43511.69240968494</v>
      </c>
      <c r="E175" t="s">
        <v>27</v>
      </c>
      <c r="F175" t="s">
        <v>35</v>
      </c>
      <c r="G175" t="s">
        <v>231</v>
      </c>
      <c r="H175" s="14">
        <v>3007</v>
      </c>
      <c r="I175">
        <f>IF(TbRegistroEntradas[[#This Row],[Data do Caixa Realizado]]="",0,MONTH(TbRegistroEntradas[[#This Row],[Data do Caixa Realizado]]))</f>
        <v>2</v>
      </c>
      <c r="J175">
        <f>IF(TbRegistroEntradas[[#This Row],[Data do Caixa Realizado]]="",0,YEAR(TbRegistroEntradas[[#This Row],[Data do Caixa Realizado]]))</f>
        <v>2019</v>
      </c>
      <c r="K175">
        <f>IF(TbRegistroEntradas[[#This Row],[Data da Competência]]="",0,MONTH(TbRegistroEntradas[[#This Row],[Data da Competência]]))</f>
        <v>1</v>
      </c>
      <c r="L175">
        <f>IF(TbRegistroEntradas[[#This Row],[Data da Competência]]="",0,YEAR(TbRegistroEntradas[[#This Row],[Data da Competência]]))</f>
        <v>2019</v>
      </c>
      <c r="M175" s="53">
        <f>IF(TbRegistroEntradas[[#This Row],[Data do Caixa Previsto]]="",0,MONTH(TbRegistroEntradas[[#This Row],[Data do Caixa Previsto]]))</f>
        <v>2</v>
      </c>
      <c r="N175" s="53">
        <f>IF(TbRegistroEntradas[[#This Row],[Data do Caixa Previsto]]="",0,YEAR(TbRegistroEntradas[[#This Row],[Data do Caixa Previsto]]))</f>
        <v>2019</v>
      </c>
      <c r="O175" s="53" t="str">
        <f ca="1">IF(AND(TbRegistroEntradas[[#This Row],[Data do Caixa Previsto]]&lt;TODAY(),TbRegistroEntradas[[#This Row],[Data do Caixa Realizado]]=""),"Vencida","Não Vencida")</f>
        <v>Não Vencida</v>
      </c>
      <c r="P175" s="53" t="str">
        <f>IF(TbRegistroEntradas[[#This Row],[Data da Competência]]=TbRegistroEntradas[[#This Row],[Data do Caixa Previsto]],"Vista","Prazo")</f>
        <v>Prazo</v>
      </c>
      <c r="Q175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76" spans="2:17" x14ac:dyDescent="0.3">
      <c r="B176" s="8">
        <v>43511.114471984198</v>
      </c>
      <c r="C176" s="8">
        <v>43473</v>
      </c>
      <c r="D176" s="8">
        <v>43511.114471984198</v>
      </c>
      <c r="E176" t="s">
        <v>27</v>
      </c>
      <c r="F176" t="s">
        <v>37</v>
      </c>
      <c r="G176" t="s">
        <v>232</v>
      </c>
      <c r="H176" s="14">
        <v>900</v>
      </c>
      <c r="I176">
        <f>IF(TbRegistroEntradas[[#This Row],[Data do Caixa Realizado]]="",0,MONTH(TbRegistroEntradas[[#This Row],[Data do Caixa Realizado]]))</f>
        <v>2</v>
      </c>
      <c r="J176">
        <f>IF(TbRegistroEntradas[[#This Row],[Data do Caixa Realizado]]="",0,YEAR(TbRegistroEntradas[[#This Row],[Data do Caixa Realizado]]))</f>
        <v>2019</v>
      </c>
      <c r="K176">
        <f>IF(TbRegistroEntradas[[#This Row],[Data da Competência]]="",0,MONTH(TbRegistroEntradas[[#This Row],[Data da Competência]]))</f>
        <v>1</v>
      </c>
      <c r="L176">
        <f>IF(TbRegistroEntradas[[#This Row],[Data da Competência]]="",0,YEAR(TbRegistroEntradas[[#This Row],[Data da Competência]]))</f>
        <v>2019</v>
      </c>
      <c r="M176" s="53">
        <f>IF(TbRegistroEntradas[[#This Row],[Data do Caixa Previsto]]="",0,MONTH(TbRegistroEntradas[[#This Row],[Data do Caixa Previsto]]))</f>
        <v>2</v>
      </c>
      <c r="N176" s="53">
        <f>IF(TbRegistroEntradas[[#This Row],[Data do Caixa Previsto]]="",0,YEAR(TbRegistroEntradas[[#This Row],[Data do Caixa Previsto]]))</f>
        <v>2019</v>
      </c>
      <c r="O176" s="53" t="str">
        <f ca="1">IF(AND(TbRegistroEntradas[[#This Row],[Data do Caixa Previsto]]&lt;TODAY(),TbRegistroEntradas[[#This Row],[Data do Caixa Realizado]]=""),"Vencida","Não Vencida")</f>
        <v>Não Vencida</v>
      </c>
      <c r="P176" s="53" t="str">
        <f>IF(TbRegistroEntradas[[#This Row],[Data da Competência]]=TbRegistroEntradas[[#This Row],[Data do Caixa Previsto]],"Vista","Prazo")</f>
        <v>Prazo</v>
      </c>
      <c r="Q176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77" spans="2:17" x14ac:dyDescent="0.3">
      <c r="B177" s="8">
        <v>43509.221158562403</v>
      </c>
      <c r="C177" s="8">
        <v>43478</v>
      </c>
      <c r="D177" s="8">
        <v>43509.221158562403</v>
      </c>
      <c r="E177" t="s">
        <v>27</v>
      </c>
      <c r="F177" t="s">
        <v>36</v>
      </c>
      <c r="G177" t="s">
        <v>233</v>
      </c>
      <c r="H177" s="14">
        <v>2970</v>
      </c>
      <c r="I177">
        <f>IF(TbRegistroEntradas[[#This Row],[Data do Caixa Realizado]]="",0,MONTH(TbRegistroEntradas[[#This Row],[Data do Caixa Realizado]]))</f>
        <v>2</v>
      </c>
      <c r="J177">
        <f>IF(TbRegistroEntradas[[#This Row],[Data do Caixa Realizado]]="",0,YEAR(TbRegistroEntradas[[#This Row],[Data do Caixa Realizado]]))</f>
        <v>2019</v>
      </c>
      <c r="K177">
        <f>IF(TbRegistroEntradas[[#This Row],[Data da Competência]]="",0,MONTH(TbRegistroEntradas[[#This Row],[Data da Competência]]))</f>
        <v>1</v>
      </c>
      <c r="L177">
        <f>IF(TbRegistroEntradas[[#This Row],[Data da Competência]]="",0,YEAR(TbRegistroEntradas[[#This Row],[Data da Competência]]))</f>
        <v>2019</v>
      </c>
      <c r="M177" s="53">
        <f>IF(TbRegistroEntradas[[#This Row],[Data do Caixa Previsto]]="",0,MONTH(TbRegistroEntradas[[#This Row],[Data do Caixa Previsto]]))</f>
        <v>2</v>
      </c>
      <c r="N177" s="53">
        <f>IF(TbRegistroEntradas[[#This Row],[Data do Caixa Previsto]]="",0,YEAR(TbRegistroEntradas[[#This Row],[Data do Caixa Previsto]]))</f>
        <v>2019</v>
      </c>
      <c r="O177" s="53" t="str">
        <f ca="1">IF(AND(TbRegistroEntradas[[#This Row],[Data do Caixa Previsto]]&lt;TODAY(),TbRegistroEntradas[[#This Row],[Data do Caixa Realizado]]=""),"Vencida","Não Vencida")</f>
        <v>Não Vencida</v>
      </c>
      <c r="P177" s="53" t="str">
        <f>IF(TbRegistroEntradas[[#This Row],[Data da Competência]]=TbRegistroEntradas[[#This Row],[Data do Caixa Previsto]],"Vista","Prazo")</f>
        <v>Prazo</v>
      </c>
      <c r="Q177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78" spans="2:17" x14ac:dyDescent="0.3">
      <c r="B178" s="8">
        <v>43601.782099050732</v>
      </c>
      <c r="C178" s="8">
        <v>43482</v>
      </c>
      <c r="D178" s="8">
        <v>43538.543475375038</v>
      </c>
      <c r="E178" t="s">
        <v>27</v>
      </c>
      <c r="F178" t="s">
        <v>33</v>
      </c>
      <c r="G178" t="s">
        <v>234</v>
      </c>
      <c r="H178" s="14">
        <v>4993</v>
      </c>
      <c r="I178">
        <f>IF(TbRegistroEntradas[[#This Row],[Data do Caixa Realizado]]="",0,MONTH(TbRegistroEntradas[[#This Row],[Data do Caixa Realizado]]))</f>
        <v>5</v>
      </c>
      <c r="J178">
        <f>IF(TbRegistroEntradas[[#This Row],[Data do Caixa Realizado]]="",0,YEAR(TbRegistroEntradas[[#This Row],[Data do Caixa Realizado]]))</f>
        <v>2019</v>
      </c>
      <c r="K178">
        <f>IF(TbRegistroEntradas[[#This Row],[Data da Competência]]="",0,MONTH(TbRegistroEntradas[[#This Row],[Data da Competência]]))</f>
        <v>1</v>
      </c>
      <c r="L178">
        <f>IF(TbRegistroEntradas[[#This Row],[Data da Competência]]="",0,YEAR(TbRegistroEntradas[[#This Row],[Data da Competência]]))</f>
        <v>2019</v>
      </c>
      <c r="M178" s="53">
        <f>IF(TbRegistroEntradas[[#This Row],[Data do Caixa Previsto]]="",0,MONTH(TbRegistroEntradas[[#This Row],[Data do Caixa Previsto]]))</f>
        <v>3</v>
      </c>
      <c r="N178" s="53">
        <f>IF(TbRegistroEntradas[[#This Row],[Data do Caixa Previsto]]="",0,YEAR(TbRegistroEntradas[[#This Row],[Data do Caixa Previsto]]))</f>
        <v>2019</v>
      </c>
      <c r="O178" s="53" t="str">
        <f ca="1">IF(AND(TbRegistroEntradas[[#This Row],[Data do Caixa Previsto]]&lt;TODAY(),TbRegistroEntradas[[#This Row],[Data do Caixa Realizado]]=""),"Vencida","Não Vencida")</f>
        <v>Não Vencida</v>
      </c>
      <c r="P178" s="53" t="str">
        <f>IF(TbRegistroEntradas[[#This Row],[Data da Competência]]=TbRegistroEntradas[[#This Row],[Data do Caixa Previsto]],"Vista","Prazo")</f>
        <v>Prazo</v>
      </c>
      <c r="Q178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63.238623675693816</v>
      </c>
    </row>
    <row r="179" spans="2:17" x14ac:dyDescent="0.3">
      <c r="B179" s="8">
        <v>43485.955494346097</v>
      </c>
      <c r="C179" s="8">
        <v>43485</v>
      </c>
      <c r="D179" s="8">
        <v>43485.955494346097</v>
      </c>
      <c r="E179" t="s">
        <v>27</v>
      </c>
      <c r="F179" t="s">
        <v>37</v>
      </c>
      <c r="G179" t="s">
        <v>235</v>
      </c>
      <c r="H179" s="14">
        <v>1664</v>
      </c>
      <c r="I179">
        <f>IF(TbRegistroEntradas[[#This Row],[Data do Caixa Realizado]]="",0,MONTH(TbRegistroEntradas[[#This Row],[Data do Caixa Realizado]]))</f>
        <v>1</v>
      </c>
      <c r="J179">
        <f>IF(TbRegistroEntradas[[#This Row],[Data do Caixa Realizado]]="",0,YEAR(TbRegistroEntradas[[#This Row],[Data do Caixa Realizado]]))</f>
        <v>2019</v>
      </c>
      <c r="K179">
        <f>IF(TbRegistroEntradas[[#This Row],[Data da Competência]]="",0,MONTH(TbRegistroEntradas[[#This Row],[Data da Competência]]))</f>
        <v>1</v>
      </c>
      <c r="L179">
        <f>IF(TbRegistroEntradas[[#This Row],[Data da Competência]]="",0,YEAR(TbRegistroEntradas[[#This Row],[Data da Competência]]))</f>
        <v>2019</v>
      </c>
      <c r="M179" s="53">
        <f>IF(TbRegistroEntradas[[#This Row],[Data do Caixa Previsto]]="",0,MONTH(TbRegistroEntradas[[#This Row],[Data do Caixa Previsto]]))</f>
        <v>1</v>
      </c>
      <c r="N179" s="53">
        <f>IF(TbRegistroEntradas[[#This Row],[Data do Caixa Previsto]]="",0,YEAR(TbRegistroEntradas[[#This Row],[Data do Caixa Previsto]]))</f>
        <v>2019</v>
      </c>
      <c r="O179" s="53" t="str">
        <f ca="1">IF(AND(TbRegistroEntradas[[#This Row],[Data do Caixa Previsto]]&lt;TODAY(),TbRegistroEntradas[[#This Row],[Data do Caixa Realizado]]=""),"Vencida","Não Vencida")</f>
        <v>Não Vencida</v>
      </c>
      <c r="P179" s="53" t="str">
        <f>IF(TbRegistroEntradas[[#This Row],[Data da Competência]]=TbRegistroEntradas[[#This Row],[Data do Caixa Previsto]],"Vista","Prazo")</f>
        <v>Prazo</v>
      </c>
      <c r="Q179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80" spans="2:17" x14ac:dyDescent="0.3">
      <c r="B180" s="8">
        <v>43522.615238592094</v>
      </c>
      <c r="C180" s="8">
        <v>43486</v>
      </c>
      <c r="D180" s="8">
        <v>43522.615238592094</v>
      </c>
      <c r="E180" t="s">
        <v>27</v>
      </c>
      <c r="F180" t="s">
        <v>36</v>
      </c>
      <c r="G180" t="s">
        <v>236</v>
      </c>
      <c r="H180" s="14">
        <v>1815</v>
      </c>
      <c r="I180">
        <f>IF(TbRegistroEntradas[[#This Row],[Data do Caixa Realizado]]="",0,MONTH(TbRegistroEntradas[[#This Row],[Data do Caixa Realizado]]))</f>
        <v>2</v>
      </c>
      <c r="J180">
        <f>IF(TbRegistroEntradas[[#This Row],[Data do Caixa Realizado]]="",0,YEAR(TbRegistroEntradas[[#This Row],[Data do Caixa Realizado]]))</f>
        <v>2019</v>
      </c>
      <c r="K180">
        <f>IF(TbRegistroEntradas[[#This Row],[Data da Competência]]="",0,MONTH(TbRegistroEntradas[[#This Row],[Data da Competência]]))</f>
        <v>1</v>
      </c>
      <c r="L180">
        <f>IF(TbRegistroEntradas[[#This Row],[Data da Competência]]="",0,YEAR(TbRegistroEntradas[[#This Row],[Data da Competência]]))</f>
        <v>2019</v>
      </c>
      <c r="M180" s="53">
        <f>IF(TbRegistroEntradas[[#This Row],[Data do Caixa Previsto]]="",0,MONTH(TbRegistroEntradas[[#This Row],[Data do Caixa Previsto]]))</f>
        <v>2</v>
      </c>
      <c r="N180" s="53">
        <f>IF(TbRegistroEntradas[[#This Row],[Data do Caixa Previsto]]="",0,YEAR(TbRegistroEntradas[[#This Row],[Data do Caixa Previsto]]))</f>
        <v>2019</v>
      </c>
      <c r="O180" s="53" t="str">
        <f ca="1">IF(AND(TbRegistroEntradas[[#This Row],[Data do Caixa Previsto]]&lt;TODAY(),TbRegistroEntradas[[#This Row],[Data do Caixa Realizado]]=""),"Vencida","Não Vencida")</f>
        <v>Não Vencida</v>
      </c>
      <c r="P180" s="53" t="str">
        <f>IF(TbRegistroEntradas[[#This Row],[Data da Competência]]=TbRegistroEntradas[[#This Row],[Data do Caixa Previsto]],"Vista","Prazo")</f>
        <v>Prazo</v>
      </c>
      <c r="Q180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81" spans="2:17" x14ac:dyDescent="0.3">
      <c r="B181" s="8">
        <v>43505.043861470636</v>
      </c>
      <c r="C181" s="8">
        <v>43488</v>
      </c>
      <c r="D181" s="8">
        <v>43505.043861470636</v>
      </c>
      <c r="E181" t="s">
        <v>27</v>
      </c>
      <c r="F181" t="s">
        <v>35</v>
      </c>
      <c r="G181" t="s">
        <v>237</v>
      </c>
      <c r="H181" s="14">
        <v>3752</v>
      </c>
      <c r="I181">
        <f>IF(TbRegistroEntradas[[#This Row],[Data do Caixa Realizado]]="",0,MONTH(TbRegistroEntradas[[#This Row],[Data do Caixa Realizado]]))</f>
        <v>2</v>
      </c>
      <c r="J181">
        <f>IF(TbRegistroEntradas[[#This Row],[Data do Caixa Realizado]]="",0,YEAR(TbRegistroEntradas[[#This Row],[Data do Caixa Realizado]]))</f>
        <v>2019</v>
      </c>
      <c r="K181">
        <f>IF(TbRegistroEntradas[[#This Row],[Data da Competência]]="",0,MONTH(TbRegistroEntradas[[#This Row],[Data da Competência]]))</f>
        <v>1</v>
      </c>
      <c r="L181">
        <f>IF(TbRegistroEntradas[[#This Row],[Data da Competência]]="",0,YEAR(TbRegistroEntradas[[#This Row],[Data da Competência]]))</f>
        <v>2019</v>
      </c>
      <c r="M181" s="53">
        <f>IF(TbRegistroEntradas[[#This Row],[Data do Caixa Previsto]]="",0,MONTH(TbRegistroEntradas[[#This Row],[Data do Caixa Previsto]]))</f>
        <v>2</v>
      </c>
      <c r="N181" s="53">
        <f>IF(TbRegistroEntradas[[#This Row],[Data do Caixa Previsto]]="",0,YEAR(TbRegistroEntradas[[#This Row],[Data do Caixa Previsto]]))</f>
        <v>2019</v>
      </c>
      <c r="O181" s="53" t="str">
        <f ca="1">IF(AND(TbRegistroEntradas[[#This Row],[Data do Caixa Previsto]]&lt;TODAY(),TbRegistroEntradas[[#This Row],[Data do Caixa Realizado]]=""),"Vencida","Não Vencida")</f>
        <v>Não Vencida</v>
      </c>
      <c r="P181" s="53" t="str">
        <f>IF(TbRegistroEntradas[[#This Row],[Data da Competência]]=TbRegistroEntradas[[#This Row],[Data do Caixa Previsto]],"Vista","Prazo")</f>
        <v>Prazo</v>
      </c>
      <c r="Q181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82" spans="2:17" x14ac:dyDescent="0.3">
      <c r="B182" s="8">
        <v>43513.423178401492</v>
      </c>
      <c r="C182" s="8">
        <v>43492</v>
      </c>
      <c r="D182" s="8">
        <v>43513.423178401492</v>
      </c>
      <c r="E182" t="s">
        <v>27</v>
      </c>
      <c r="F182" t="s">
        <v>36</v>
      </c>
      <c r="G182" t="s">
        <v>238</v>
      </c>
      <c r="H182" s="14">
        <v>177</v>
      </c>
      <c r="I182">
        <f>IF(TbRegistroEntradas[[#This Row],[Data do Caixa Realizado]]="",0,MONTH(TbRegistroEntradas[[#This Row],[Data do Caixa Realizado]]))</f>
        <v>2</v>
      </c>
      <c r="J182">
        <f>IF(TbRegistroEntradas[[#This Row],[Data do Caixa Realizado]]="",0,YEAR(TbRegistroEntradas[[#This Row],[Data do Caixa Realizado]]))</f>
        <v>2019</v>
      </c>
      <c r="K182">
        <f>IF(TbRegistroEntradas[[#This Row],[Data da Competência]]="",0,MONTH(TbRegistroEntradas[[#This Row],[Data da Competência]]))</f>
        <v>1</v>
      </c>
      <c r="L182">
        <f>IF(TbRegistroEntradas[[#This Row],[Data da Competência]]="",0,YEAR(TbRegistroEntradas[[#This Row],[Data da Competência]]))</f>
        <v>2019</v>
      </c>
      <c r="M182" s="53">
        <f>IF(TbRegistroEntradas[[#This Row],[Data do Caixa Previsto]]="",0,MONTH(TbRegistroEntradas[[#This Row],[Data do Caixa Previsto]]))</f>
        <v>2</v>
      </c>
      <c r="N182" s="53">
        <f>IF(TbRegistroEntradas[[#This Row],[Data do Caixa Previsto]]="",0,YEAR(TbRegistroEntradas[[#This Row],[Data do Caixa Previsto]]))</f>
        <v>2019</v>
      </c>
      <c r="O182" s="53" t="str">
        <f ca="1">IF(AND(TbRegistroEntradas[[#This Row],[Data do Caixa Previsto]]&lt;TODAY(),TbRegistroEntradas[[#This Row],[Data do Caixa Realizado]]=""),"Vencida","Não Vencida")</f>
        <v>Não Vencida</v>
      </c>
      <c r="P182" s="53" t="str">
        <f>IF(TbRegistroEntradas[[#This Row],[Data da Competência]]=TbRegistroEntradas[[#This Row],[Data do Caixa Previsto]],"Vista","Prazo")</f>
        <v>Prazo</v>
      </c>
      <c r="Q182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83" spans="2:17" x14ac:dyDescent="0.3">
      <c r="B183" s="8">
        <v>43513.404065853094</v>
      </c>
      <c r="C183" s="8">
        <v>43494</v>
      </c>
      <c r="D183" s="8">
        <v>43513.404065853094</v>
      </c>
      <c r="E183" t="s">
        <v>27</v>
      </c>
      <c r="F183" t="s">
        <v>36</v>
      </c>
      <c r="G183" t="s">
        <v>239</v>
      </c>
      <c r="H183" s="14">
        <v>3619</v>
      </c>
      <c r="I183">
        <f>IF(TbRegistroEntradas[[#This Row],[Data do Caixa Realizado]]="",0,MONTH(TbRegistroEntradas[[#This Row],[Data do Caixa Realizado]]))</f>
        <v>2</v>
      </c>
      <c r="J183">
        <f>IF(TbRegistroEntradas[[#This Row],[Data do Caixa Realizado]]="",0,YEAR(TbRegistroEntradas[[#This Row],[Data do Caixa Realizado]]))</f>
        <v>2019</v>
      </c>
      <c r="K183">
        <f>IF(TbRegistroEntradas[[#This Row],[Data da Competência]]="",0,MONTH(TbRegistroEntradas[[#This Row],[Data da Competência]]))</f>
        <v>1</v>
      </c>
      <c r="L183">
        <f>IF(TbRegistroEntradas[[#This Row],[Data da Competência]]="",0,YEAR(TbRegistroEntradas[[#This Row],[Data da Competência]]))</f>
        <v>2019</v>
      </c>
      <c r="M183" s="53">
        <f>IF(TbRegistroEntradas[[#This Row],[Data do Caixa Previsto]]="",0,MONTH(TbRegistroEntradas[[#This Row],[Data do Caixa Previsto]]))</f>
        <v>2</v>
      </c>
      <c r="N183" s="53">
        <f>IF(TbRegistroEntradas[[#This Row],[Data do Caixa Previsto]]="",0,YEAR(TbRegistroEntradas[[#This Row],[Data do Caixa Previsto]]))</f>
        <v>2019</v>
      </c>
      <c r="O183" s="53" t="str">
        <f ca="1">IF(AND(TbRegistroEntradas[[#This Row],[Data do Caixa Previsto]]&lt;TODAY(),TbRegistroEntradas[[#This Row],[Data do Caixa Realizado]]=""),"Vencida","Não Vencida")</f>
        <v>Não Vencida</v>
      </c>
      <c r="P183" s="53" t="str">
        <f>IF(TbRegistroEntradas[[#This Row],[Data da Competência]]=TbRegistroEntradas[[#This Row],[Data do Caixa Previsto]],"Vista","Prazo")</f>
        <v>Prazo</v>
      </c>
      <c r="Q183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84" spans="2:17" x14ac:dyDescent="0.3">
      <c r="B184" s="8">
        <v>43534.989762344601</v>
      </c>
      <c r="C184" s="8">
        <v>43498</v>
      </c>
      <c r="D184" s="8">
        <v>43534.989762344601</v>
      </c>
      <c r="E184" t="s">
        <v>27</v>
      </c>
      <c r="F184" t="s">
        <v>35</v>
      </c>
      <c r="G184" t="s">
        <v>240</v>
      </c>
      <c r="H184" s="14">
        <v>4030</v>
      </c>
      <c r="I184">
        <f>IF(TbRegistroEntradas[[#This Row],[Data do Caixa Realizado]]="",0,MONTH(TbRegistroEntradas[[#This Row],[Data do Caixa Realizado]]))</f>
        <v>3</v>
      </c>
      <c r="J184">
        <f>IF(TbRegistroEntradas[[#This Row],[Data do Caixa Realizado]]="",0,YEAR(TbRegistroEntradas[[#This Row],[Data do Caixa Realizado]]))</f>
        <v>2019</v>
      </c>
      <c r="K184">
        <f>IF(TbRegistroEntradas[[#This Row],[Data da Competência]]="",0,MONTH(TbRegistroEntradas[[#This Row],[Data da Competência]]))</f>
        <v>2</v>
      </c>
      <c r="L184">
        <f>IF(TbRegistroEntradas[[#This Row],[Data da Competência]]="",0,YEAR(TbRegistroEntradas[[#This Row],[Data da Competência]]))</f>
        <v>2019</v>
      </c>
      <c r="M184" s="53">
        <f>IF(TbRegistroEntradas[[#This Row],[Data do Caixa Previsto]]="",0,MONTH(TbRegistroEntradas[[#This Row],[Data do Caixa Previsto]]))</f>
        <v>3</v>
      </c>
      <c r="N184" s="53">
        <f>IF(TbRegistroEntradas[[#This Row],[Data do Caixa Previsto]]="",0,YEAR(TbRegistroEntradas[[#This Row],[Data do Caixa Previsto]]))</f>
        <v>2019</v>
      </c>
      <c r="O184" s="53" t="str">
        <f ca="1">IF(AND(TbRegistroEntradas[[#This Row],[Data do Caixa Previsto]]&lt;TODAY(),TbRegistroEntradas[[#This Row],[Data do Caixa Realizado]]=""),"Vencida","Não Vencida")</f>
        <v>Não Vencida</v>
      </c>
      <c r="P184" s="53" t="str">
        <f>IF(TbRegistroEntradas[[#This Row],[Data da Competência]]=TbRegistroEntradas[[#This Row],[Data do Caixa Previsto]],"Vista","Prazo")</f>
        <v>Prazo</v>
      </c>
      <c r="Q184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85" spans="2:17" x14ac:dyDescent="0.3">
      <c r="B185" s="8">
        <v>43512.886043755854</v>
      </c>
      <c r="C185" s="8">
        <v>43501</v>
      </c>
      <c r="D185" s="8">
        <v>43512.886043755854</v>
      </c>
      <c r="E185" t="s">
        <v>27</v>
      </c>
      <c r="F185" t="s">
        <v>35</v>
      </c>
      <c r="G185" t="s">
        <v>241</v>
      </c>
      <c r="H185" s="14">
        <v>4157</v>
      </c>
      <c r="I185">
        <f>IF(TbRegistroEntradas[[#This Row],[Data do Caixa Realizado]]="",0,MONTH(TbRegistroEntradas[[#This Row],[Data do Caixa Realizado]]))</f>
        <v>2</v>
      </c>
      <c r="J185">
        <f>IF(TbRegistroEntradas[[#This Row],[Data do Caixa Realizado]]="",0,YEAR(TbRegistroEntradas[[#This Row],[Data do Caixa Realizado]]))</f>
        <v>2019</v>
      </c>
      <c r="K185">
        <f>IF(TbRegistroEntradas[[#This Row],[Data da Competência]]="",0,MONTH(TbRegistroEntradas[[#This Row],[Data da Competência]]))</f>
        <v>2</v>
      </c>
      <c r="L185">
        <f>IF(TbRegistroEntradas[[#This Row],[Data da Competência]]="",0,YEAR(TbRegistroEntradas[[#This Row],[Data da Competência]]))</f>
        <v>2019</v>
      </c>
      <c r="M185" s="53">
        <f>IF(TbRegistroEntradas[[#This Row],[Data do Caixa Previsto]]="",0,MONTH(TbRegistroEntradas[[#This Row],[Data do Caixa Previsto]]))</f>
        <v>2</v>
      </c>
      <c r="N185" s="53">
        <f>IF(TbRegistroEntradas[[#This Row],[Data do Caixa Previsto]]="",0,YEAR(TbRegistroEntradas[[#This Row],[Data do Caixa Previsto]]))</f>
        <v>2019</v>
      </c>
      <c r="O185" s="53" t="str">
        <f ca="1">IF(AND(TbRegistroEntradas[[#This Row],[Data do Caixa Previsto]]&lt;TODAY(),TbRegistroEntradas[[#This Row],[Data do Caixa Realizado]]=""),"Vencida","Não Vencida")</f>
        <v>Não Vencida</v>
      </c>
      <c r="P185" s="53" t="str">
        <f>IF(TbRegistroEntradas[[#This Row],[Data da Competência]]=TbRegistroEntradas[[#This Row],[Data do Caixa Previsto]],"Vista","Prazo")</f>
        <v>Prazo</v>
      </c>
      <c r="Q185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86" spans="2:17" x14ac:dyDescent="0.3">
      <c r="B186" s="8">
        <v>43532.824988934779</v>
      </c>
      <c r="C186" s="8">
        <v>43502</v>
      </c>
      <c r="D186" s="8">
        <v>43532.824988934779</v>
      </c>
      <c r="E186" t="s">
        <v>27</v>
      </c>
      <c r="F186" t="s">
        <v>34</v>
      </c>
      <c r="G186" t="s">
        <v>242</v>
      </c>
      <c r="H186" s="14">
        <v>1417</v>
      </c>
      <c r="I186">
        <f>IF(TbRegistroEntradas[[#This Row],[Data do Caixa Realizado]]="",0,MONTH(TbRegistroEntradas[[#This Row],[Data do Caixa Realizado]]))</f>
        <v>3</v>
      </c>
      <c r="J186">
        <f>IF(TbRegistroEntradas[[#This Row],[Data do Caixa Realizado]]="",0,YEAR(TbRegistroEntradas[[#This Row],[Data do Caixa Realizado]]))</f>
        <v>2019</v>
      </c>
      <c r="K186">
        <f>IF(TbRegistroEntradas[[#This Row],[Data da Competência]]="",0,MONTH(TbRegistroEntradas[[#This Row],[Data da Competência]]))</f>
        <v>2</v>
      </c>
      <c r="L186">
        <f>IF(TbRegistroEntradas[[#This Row],[Data da Competência]]="",0,YEAR(TbRegistroEntradas[[#This Row],[Data da Competência]]))</f>
        <v>2019</v>
      </c>
      <c r="M186" s="53">
        <f>IF(TbRegistroEntradas[[#This Row],[Data do Caixa Previsto]]="",0,MONTH(TbRegistroEntradas[[#This Row],[Data do Caixa Previsto]]))</f>
        <v>3</v>
      </c>
      <c r="N186" s="53">
        <f>IF(TbRegistroEntradas[[#This Row],[Data do Caixa Previsto]]="",0,YEAR(TbRegistroEntradas[[#This Row],[Data do Caixa Previsto]]))</f>
        <v>2019</v>
      </c>
      <c r="O186" s="53" t="str">
        <f ca="1">IF(AND(TbRegistroEntradas[[#This Row],[Data do Caixa Previsto]]&lt;TODAY(),TbRegistroEntradas[[#This Row],[Data do Caixa Realizado]]=""),"Vencida","Não Vencida")</f>
        <v>Não Vencida</v>
      </c>
      <c r="P186" s="53" t="str">
        <f>IF(TbRegistroEntradas[[#This Row],[Data da Competência]]=TbRegistroEntradas[[#This Row],[Data do Caixa Previsto]],"Vista","Prazo")</f>
        <v>Prazo</v>
      </c>
      <c r="Q186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87" spans="2:17" x14ac:dyDescent="0.3">
      <c r="B187" s="8">
        <v>43540.311131757786</v>
      </c>
      <c r="C187" s="8">
        <v>43505</v>
      </c>
      <c r="D187" s="8">
        <v>43540.311131757786</v>
      </c>
      <c r="E187" t="s">
        <v>27</v>
      </c>
      <c r="F187" t="s">
        <v>37</v>
      </c>
      <c r="G187" t="s">
        <v>243</v>
      </c>
      <c r="H187" s="14">
        <v>1117</v>
      </c>
      <c r="I187">
        <f>IF(TbRegistroEntradas[[#This Row],[Data do Caixa Realizado]]="",0,MONTH(TbRegistroEntradas[[#This Row],[Data do Caixa Realizado]]))</f>
        <v>3</v>
      </c>
      <c r="J187">
        <f>IF(TbRegistroEntradas[[#This Row],[Data do Caixa Realizado]]="",0,YEAR(TbRegistroEntradas[[#This Row],[Data do Caixa Realizado]]))</f>
        <v>2019</v>
      </c>
      <c r="K187">
        <f>IF(TbRegistroEntradas[[#This Row],[Data da Competência]]="",0,MONTH(TbRegistroEntradas[[#This Row],[Data da Competência]]))</f>
        <v>2</v>
      </c>
      <c r="L187">
        <f>IF(TbRegistroEntradas[[#This Row],[Data da Competência]]="",0,YEAR(TbRegistroEntradas[[#This Row],[Data da Competência]]))</f>
        <v>2019</v>
      </c>
      <c r="M187" s="53">
        <f>IF(TbRegistroEntradas[[#This Row],[Data do Caixa Previsto]]="",0,MONTH(TbRegistroEntradas[[#This Row],[Data do Caixa Previsto]]))</f>
        <v>3</v>
      </c>
      <c r="N187" s="53">
        <f>IF(TbRegistroEntradas[[#This Row],[Data do Caixa Previsto]]="",0,YEAR(TbRegistroEntradas[[#This Row],[Data do Caixa Previsto]]))</f>
        <v>2019</v>
      </c>
      <c r="O187" s="53" t="str">
        <f ca="1">IF(AND(TbRegistroEntradas[[#This Row],[Data do Caixa Previsto]]&lt;TODAY(),TbRegistroEntradas[[#This Row],[Data do Caixa Realizado]]=""),"Vencida","Não Vencida")</f>
        <v>Não Vencida</v>
      </c>
      <c r="P187" s="53" t="str">
        <f>IF(TbRegistroEntradas[[#This Row],[Data da Competência]]=TbRegistroEntradas[[#This Row],[Data do Caixa Previsto]],"Vista","Prazo")</f>
        <v>Prazo</v>
      </c>
      <c r="Q187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88" spans="2:17" x14ac:dyDescent="0.3">
      <c r="B188" s="8">
        <v>43541.652544038297</v>
      </c>
      <c r="C188" s="8">
        <v>43506</v>
      </c>
      <c r="D188" s="8">
        <v>43541.652544038297</v>
      </c>
      <c r="E188" t="s">
        <v>27</v>
      </c>
      <c r="F188" t="s">
        <v>33</v>
      </c>
      <c r="G188" t="s">
        <v>244</v>
      </c>
      <c r="H188" s="14">
        <v>4461</v>
      </c>
      <c r="I188">
        <f>IF(TbRegistroEntradas[[#This Row],[Data do Caixa Realizado]]="",0,MONTH(TbRegistroEntradas[[#This Row],[Data do Caixa Realizado]]))</f>
        <v>3</v>
      </c>
      <c r="J188">
        <f>IF(TbRegistroEntradas[[#This Row],[Data do Caixa Realizado]]="",0,YEAR(TbRegistroEntradas[[#This Row],[Data do Caixa Realizado]]))</f>
        <v>2019</v>
      </c>
      <c r="K188">
        <f>IF(TbRegistroEntradas[[#This Row],[Data da Competência]]="",0,MONTH(TbRegistroEntradas[[#This Row],[Data da Competência]]))</f>
        <v>2</v>
      </c>
      <c r="L188">
        <f>IF(TbRegistroEntradas[[#This Row],[Data da Competência]]="",0,YEAR(TbRegistroEntradas[[#This Row],[Data da Competência]]))</f>
        <v>2019</v>
      </c>
      <c r="M188" s="53">
        <f>IF(TbRegistroEntradas[[#This Row],[Data do Caixa Previsto]]="",0,MONTH(TbRegistroEntradas[[#This Row],[Data do Caixa Previsto]]))</f>
        <v>3</v>
      </c>
      <c r="N188" s="53">
        <f>IF(TbRegistroEntradas[[#This Row],[Data do Caixa Previsto]]="",0,YEAR(TbRegistroEntradas[[#This Row],[Data do Caixa Previsto]]))</f>
        <v>2019</v>
      </c>
      <c r="O188" s="53" t="str">
        <f ca="1">IF(AND(TbRegistroEntradas[[#This Row],[Data do Caixa Previsto]]&lt;TODAY(),TbRegistroEntradas[[#This Row],[Data do Caixa Realizado]]=""),"Vencida","Não Vencida")</f>
        <v>Não Vencida</v>
      </c>
      <c r="P188" s="53" t="str">
        <f>IF(TbRegistroEntradas[[#This Row],[Data da Competência]]=TbRegistroEntradas[[#This Row],[Data do Caixa Previsto]],"Vista","Prazo")</f>
        <v>Prazo</v>
      </c>
      <c r="Q188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89" spans="2:17" x14ac:dyDescent="0.3">
      <c r="B189" s="8">
        <v>43560.051672837129</v>
      </c>
      <c r="C189" s="8">
        <v>43508</v>
      </c>
      <c r="D189" s="8">
        <v>43554.09538121894</v>
      </c>
      <c r="E189" t="s">
        <v>27</v>
      </c>
      <c r="F189" t="s">
        <v>36</v>
      </c>
      <c r="G189" t="s">
        <v>245</v>
      </c>
      <c r="H189" s="14">
        <v>3732</v>
      </c>
      <c r="I189">
        <f>IF(TbRegistroEntradas[[#This Row],[Data do Caixa Realizado]]="",0,MONTH(TbRegistroEntradas[[#This Row],[Data do Caixa Realizado]]))</f>
        <v>4</v>
      </c>
      <c r="J189">
        <f>IF(TbRegistroEntradas[[#This Row],[Data do Caixa Realizado]]="",0,YEAR(TbRegistroEntradas[[#This Row],[Data do Caixa Realizado]]))</f>
        <v>2019</v>
      </c>
      <c r="K189">
        <f>IF(TbRegistroEntradas[[#This Row],[Data da Competência]]="",0,MONTH(TbRegistroEntradas[[#This Row],[Data da Competência]]))</f>
        <v>2</v>
      </c>
      <c r="L189">
        <f>IF(TbRegistroEntradas[[#This Row],[Data da Competência]]="",0,YEAR(TbRegistroEntradas[[#This Row],[Data da Competência]]))</f>
        <v>2019</v>
      </c>
      <c r="M189" s="53">
        <f>IF(TbRegistroEntradas[[#This Row],[Data do Caixa Previsto]]="",0,MONTH(TbRegistroEntradas[[#This Row],[Data do Caixa Previsto]]))</f>
        <v>3</v>
      </c>
      <c r="N189" s="53">
        <f>IF(TbRegistroEntradas[[#This Row],[Data do Caixa Previsto]]="",0,YEAR(TbRegistroEntradas[[#This Row],[Data do Caixa Previsto]]))</f>
        <v>2019</v>
      </c>
      <c r="O189" s="53" t="str">
        <f ca="1">IF(AND(TbRegistroEntradas[[#This Row],[Data do Caixa Previsto]]&lt;TODAY(),TbRegistroEntradas[[#This Row],[Data do Caixa Realizado]]=""),"Vencida","Não Vencida")</f>
        <v>Não Vencida</v>
      </c>
      <c r="P189" s="53" t="str">
        <f>IF(TbRegistroEntradas[[#This Row],[Data da Competência]]=TbRegistroEntradas[[#This Row],[Data do Caixa Previsto]],"Vista","Prazo")</f>
        <v>Prazo</v>
      </c>
      <c r="Q189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5.9562916181894252</v>
      </c>
    </row>
    <row r="190" spans="2:17" x14ac:dyDescent="0.3">
      <c r="B190" s="8">
        <v>43512.426649972214</v>
      </c>
      <c r="C190" s="8">
        <v>43509</v>
      </c>
      <c r="D190" s="8">
        <v>43512.426649972214</v>
      </c>
      <c r="E190" t="s">
        <v>27</v>
      </c>
      <c r="F190" t="s">
        <v>37</v>
      </c>
      <c r="G190" t="s">
        <v>246</v>
      </c>
      <c r="H190" s="14">
        <v>2024</v>
      </c>
      <c r="I190">
        <f>IF(TbRegistroEntradas[[#This Row],[Data do Caixa Realizado]]="",0,MONTH(TbRegistroEntradas[[#This Row],[Data do Caixa Realizado]]))</f>
        <v>2</v>
      </c>
      <c r="J190">
        <f>IF(TbRegistroEntradas[[#This Row],[Data do Caixa Realizado]]="",0,YEAR(TbRegistroEntradas[[#This Row],[Data do Caixa Realizado]]))</f>
        <v>2019</v>
      </c>
      <c r="K190">
        <f>IF(TbRegistroEntradas[[#This Row],[Data da Competência]]="",0,MONTH(TbRegistroEntradas[[#This Row],[Data da Competência]]))</f>
        <v>2</v>
      </c>
      <c r="L190">
        <f>IF(TbRegistroEntradas[[#This Row],[Data da Competência]]="",0,YEAR(TbRegistroEntradas[[#This Row],[Data da Competência]]))</f>
        <v>2019</v>
      </c>
      <c r="M190" s="53">
        <f>IF(TbRegistroEntradas[[#This Row],[Data do Caixa Previsto]]="",0,MONTH(TbRegistroEntradas[[#This Row],[Data do Caixa Previsto]]))</f>
        <v>2</v>
      </c>
      <c r="N190" s="53">
        <f>IF(TbRegistroEntradas[[#This Row],[Data do Caixa Previsto]]="",0,YEAR(TbRegistroEntradas[[#This Row],[Data do Caixa Previsto]]))</f>
        <v>2019</v>
      </c>
      <c r="O190" s="53" t="str">
        <f ca="1">IF(AND(TbRegistroEntradas[[#This Row],[Data do Caixa Previsto]]&lt;TODAY(),TbRegistroEntradas[[#This Row],[Data do Caixa Realizado]]=""),"Vencida","Não Vencida")</f>
        <v>Não Vencida</v>
      </c>
      <c r="P190" s="53" t="str">
        <f>IF(TbRegistroEntradas[[#This Row],[Data da Competência]]=TbRegistroEntradas[[#This Row],[Data do Caixa Previsto]],"Vista","Prazo")</f>
        <v>Prazo</v>
      </c>
      <c r="Q190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91" spans="2:17" x14ac:dyDescent="0.3">
      <c r="B191" s="8" t="s">
        <v>70</v>
      </c>
      <c r="C191" s="8">
        <v>43512</v>
      </c>
      <c r="D191" s="8">
        <v>43570.205876707638</v>
      </c>
      <c r="E191" t="s">
        <v>27</v>
      </c>
      <c r="F191" t="s">
        <v>36</v>
      </c>
      <c r="G191" t="s">
        <v>247</v>
      </c>
      <c r="H191" s="14">
        <v>928</v>
      </c>
      <c r="I191">
        <f>IF(TbRegistroEntradas[[#This Row],[Data do Caixa Realizado]]="",0,MONTH(TbRegistroEntradas[[#This Row],[Data do Caixa Realizado]]))</f>
        <v>0</v>
      </c>
      <c r="J191">
        <f>IF(TbRegistroEntradas[[#This Row],[Data do Caixa Realizado]]="",0,YEAR(TbRegistroEntradas[[#This Row],[Data do Caixa Realizado]]))</f>
        <v>0</v>
      </c>
      <c r="K191">
        <f>IF(TbRegistroEntradas[[#This Row],[Data da Competência]]="",0,MONTH(TbRegistroEntradas[[#This Row],[Data da Competência]]))</f>
        <v>2</v>
      </c>
      <c r="L191">
        <f>IF(TbRegistroEntradas[[#This Row],[Data da Competência]]="",0,YEAR(TbRegistroEntradas[[#This Row],[Data da Competência]]))</f>
        <v>2019</v>
      </c>
      <c r="M191" s="53">
        <f>IF(TbRegistroEntradas[[#This Row],[Data do Caixa Previsto]]="",0,MONTH(TbRegistroEntradas[[#This Row],[Data do Caixa Previsto]]))</f>
        <v>4</v>
      </c>
      <c r="N191" s="53">
        <f>IF(TbRegistroEntradas[[#This Row],[Data do Caixa Previsto]]="",0,YEAR(TbRegistroEntradas[[#This Row],[Data do Caixa Previsto]]))</f>
        <v>2019</v>
      </c>
      <c r="O191" s="53" t="str">
        <f ca="1">IF(AND(TbRegistroEntradas[[#This Row],[Data do Caixa Previsto]]&lt;TODAY(),TbRegistroEntradas[[#This Row],[Data do Caixa Realizado]]=""),"Vencida","Não Vencida")</f>
        <v>Vencida</v>
      </c>
      <c r="P191" s="53" t="str">
        <f>IF(TbRegistroEntradas[[#This Row],[Data da Competência]]=TbRegistroEntradas[[#This Row],[Data do Caixa Previsto]],"Vista","Prazo")</f>
        <v>Prazo</v>
      </c>
      <c r="Q191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2038.7941232923622</v>
      </c>
    </row>
    <row r="192" spans="2:17" x14ac:dyDescent="0.3">
      <c r="B192" s="8">
        <v>43560.066685649028</v>
      </c>
      <c r="C192" s="8">
        <v>43513</v>
      </c>
      <c r="D192" s="8">
        <v>43560.066685649028</v>
      </c>
      <c r="E192" t="s">
        <v>27</v>
      </c>
      <c r="F192" t="s">
        <v>36</v>
      </c>
      <c r="G192" t="s">
        <v>248</v>
      </c>
      <c r="H192" s="14">
        <v>3557</v>
      </c>
      <c r="I192">
        <f>IF(TbRegistroEntradas[[#This Row],[Data do Caixa Realizado]]="",0,MONTH(TbRegistroEntradas[[#This Row],[Data do Caixa Realizado]]))</f>
        <v>4</v>
      </c>
      <c r="J192">
        <f>IF(TbRegistroEntradas[[#This Row],[Data do Caixa Realizado]]="",0,YEAR(TbRegistroEntradas[[#This Row],[Data do Caixa Realizado]]))</f>
        <v>2019</v>
      </c>
      <c r="K192">
        <f>IF(TbRegistroEntradas[[#This Row],[Data da Competência]]="",0,MONTH(TbRegistroEntradas[[#This Row],[Data da Competência]]))</f>
        <v>2</v>
      </c>
      <c r="L192">
        <f>IF(TbRegistroEntradas[[#This Row],[Data da Competência]]="",0,YEAR(TbRegistroEntradas[[#This Row],[Data da Competência]]))</f>
        <v>2019</v>
      </c>
      <c r="M192" s="53">
        <f>IF(TbRegistroEntradas[[#This Row],[Data do Caixa Previsto]]="",0,MONTH(TbRegistroEntradas[[#This Row],[Data do Caixa Previsto]]))</f>
        <v>4</v>
      </c>
      <c r="N192" s="53">
        <f>IF(TbRegistroEntradas[[#This Row],[Data do Caixa Previsto]]="",0,YEAR(TbRegistroEntradas[[#This Row],[Data do Caixa Previsto]]))</f>
        <v>2019</v>
      </c>
      <c r="O192" s="53" t="str">
        <f ca="1">IF(AND(TbRegistroEntradas[[#This Row],[Data do Caixa Previsto]]&lt;TODAY(),TbRegistroEntradas[[#This Row],[Data do Caixa Realizado]]=""),"Vencida","Não Vencida")</f>
        <v>Não Vencida</v>
      </c>
      <c r="P192" s="53" t="str">
        <f>IF(TbRegistroEntradas[[#This Row],[Data da Competência]]=TbRegistroEntradas[[#This Row],[Data do Caixa Previsto]],"Vista","Prazo")</f>
        <v>Prazo</v>
      </c>
      <c r="Q192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93" spans="2:17" x14ac:dyDescent="0.3">
      <c r="B193" s="8">
        <v>43540.820705056554</v>
      </c>
      <c r="C193" s="8">
        <v>43514</v>
      </c>
      <c r="D193" s="8">
        <v>43540.820705056554</v>
      </c>
      <c r="E193" t="s">
        <v>27</v>
      </c>
      <c r="F193" t="s">
        <v>37</v>
      </c>
      <c r="G193" t="s">
        <v>249</v>
      </c>
      <c r="H193" s="14">
        <v>741</v>
      </c>
      <c r="I193">
        <f>IF(TbRegistroEntradas[[#This Row],[Data do Caixa Realizado]]="",0,MONTH(TbRegistroEntradas[[#This Row],[Data do Caixa Realizado]]))</f>
        <v>3</v>
      </c>
      <c r="J193">
        <f>IF(TbRegistroEntradas[[#This Row],[Data do Caixa Realizado]]="",0,YEAR(TbRegistroEntradas[[#This Row],[Data do Caixa Realizado]]))</f>
        <v>2019</v>
      </c>
      <c r="K193">
        <f>IF(TbRegistroEntradas[[#This Row],[Data da Competência]]="",0,MONTH(TbRegistroEntradas[[#This Row],[Data da Competência]]))</f>
        <v>2</v>
      </c>
      <c r="L193">
        <f>IF(TbRegistroEntradas[[#This Row],[Data da Competência]]="",0,YEAR(TbRegistroEntradas[[#This Row],[Data da Competência]]))</f>
        <v>2019</v>
      </c>
      <c r="M193" s="53">
        <f>IF(TbRegistroEntradas[[#This Row],[Data do Caixa Previsto]]="",0,MONTH(TbRegistroEntradas[[#This Row],[Data do Caixa Previsto]]))</f>
        <v>3</v>
      </c>
      <c r="N193" s="53">
        <f>IF(TbRegistroEntradas[[#This Row],[Data do Caixa Previsto]]="",0,YEAR(TbRegistroEntradas[[#This Row],[Data do Caixa Previsto]]))</f>
        <v>2019</v>
      </c>
      <c r="O193" s="53" t="str">
        <f ca="1">IF(AND(TbRegistroEntradas[[#This Row],[Data do Caixa Previsto]]&lt;TODAY(),TbRegistroEntradas[[#This Row],[Data do Caixa Realizado]]=""),"Vencida","Não Vencida")</f>
        <v>Não Vencida</v>
      </c>
      <c r="P193" s="53" t="str">
        <f>IF(TbRegistroEntradas[[#This Row],[Data da Competência]]=TbRegistroEntradas[[#This Row],[Data do Caixa Previsto]],"Vista","Prazo")</f>
        <v>Prazo</v>
      </c>
      <c r="Q193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94" spans="2:17" x14ac:dyDescent="0.3">
      <c r="B194" s="8">
        <v>43548.222942782464</v>
      </c>
      <c r="C194" s="8">
        <v>43517</v>
      </c>
      <c r="D194" s="8">
        <v>43548.222942782464</v>
      </c>
      <c r="E194" t="s">
        <v>27</v>
      </c>
      <c r="F194" t="s">
        <v>37</v>
      </c>
      <c r="G194" t="s">
        <v>250</v>
      </c>
      <c r="H194" s="14">
        <v>850</v>
      </c>
      <c r="I194">
        <f>IF(TbRegistroEntradas[[#This Row],[Data do Caixa Realizado]]="",0,MONTH(TbRegistroEntradas[[#This Row],[Data do Caixa Realizado]]))</f>
        <v>3</v>
      </c>
      <c r="J194">
        <f>IF(TbRegistroEntradas[[#This Row],[Data do Caixa Realizado]]="",0,YEAR(TbRegistroEntradas[[#This Row],[Data do Caixa Realizado]]))</f>
        <v>2019</v>
      </c>
      <c r="K194">
        <f>IF(TbRegistroEntradas[[#This Row],[Data da Competência]]="",0,MONTH(TbRegistroEntradas[[#This Row],[Data da Competência]]))</f>
        <v>2</v>
      </c>
      <c r="L194">
        <f>IF(TbRegistroEntradas[[#This Row],[Data da Competência]]="",0,YEAR(TbRegistroEntradas[[#This Row],[Data da Competência]]))</f>
        <v>2019</v>
      </c>
      <c r="M194" s="53">
        <f>IF(TbRegistroEntradas[[#This Row],[Data do Caixa Previsto]]="",0,MONTH(TbRegistroEntradas[[#This Row],[Data do Caixa Previsto]]))</f>
        <v>3</v>
      </c>
      <c r="N194" s="53">
        <f>IF(TbRegistroEntradas[[#This Row],[Data do Caixa Previsto]]="",0,YEAR(TbRegistroEntradas[[#This Row],[Data do Caixa Previsto]]))</f>
        <v>2019</v>
      </c>
      <c r="O194" s="53" t="str">
        <f ca="1">IF(AND(TbRegistroEntradas[[#This Row],[Data do Caixa Previsto]]&lt;TODAY(),TbRegistroEntradas[[#This Row],[Data do Caixa Realizado]]=""),"Vencida","Não Vencida")</f>
        <v>Não Vencida</v>
      </c>
      <c r="P194" s="53" t="str">
        <f>IF(TbRegistroEntradas[[#This Row],[Data da Competência]]=TbRegistroEntradas[[#This Row],[Data do Caixa Previsto]],"Vista","Prazo")</f>
        <v>Prazo</v>
      </c>
      <c r="Q194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95" spans="2:17" x14ac:dyDescent="0.3">
      <c r="B195" s="8">
        <v>43625.080024605937</v>
      </c>
      <c r="C195" s="8">
        <v>43522</v>
      </c>
      <c r="D195" s="8">
        <v>43563.814201596448</v>
      </c>
      <c r="E195" t="s">
        <v>27</v>
      </c>
      <c r="F195" t="s">
        <v>36</v>
      </c>
      <c r="G195" t="s">
        <v>251</v>
      </c>
      <c r="H195" s="14">
        <v>4741</v>
      </c>
      <c r="I195">
        <f>IF(TbRegistroEntradas[[#This Row],[Data do Caixa Realizado]]="",0,MONTH(TbRegistroEntradas[[#This Row],[Data do Caixa Realizado]]))</f>
        <v>6</v>
      </c>
      <c r="J195">
        <f>IF(TbRegistroEntradas[[#This Row],[Data do Caixa Realizado]]="",0,YEAR(TbRegistroEntradas[[#This Row],[Data do Caixa Realizado]]))</f>
        <v>2019</v>
      </c>
      <c r="K195">
        <f>IF(TbRegistroEntradas[[#This Row],[Data da Competência]]="",0,MONTH(TbRegistroEntradas[[#This Row],[Data da Competência]]))</f>
        <v>2</v>
      </c>
      <c r="L195">
        <f>IF(TbRegistroEntradas[[#This Row],[Data da Competência]]="",0,YEAR(TbRegistroEntradas[[#This Row],[Data da Competência]]))</f>
        <v>2019</v>
      </c>
      <c r="M195" s="53">
        <f>IF(TbRegistroEntradas[[#This Row],[Data do Caixa Previsto]]="",0,MONTH(TbRegistroEntradas[[#This Row],[Data do Caixa Previsto]]))</f>
        <v>4</v>
      </c>
      <c r="N195" s="53">
        <f>IF(TbRegistroEntradas[[#This Row],[Data do Caixa Previsto]]="",0,YEAR(TbRegistroEntradas[[#This Row],[Data do Caixa Previsto]]))</f>
        <v>2019</v>
      </c>
      <c r="O195" s="53" t="str">
        <f ca="1">IF(AND(TbRegistroEntradas[[#This Row],[Data do Caixa Previsto]]&lt;TODAY(),TbRegistroEntradas[[#This Row],[Data do Caixa Realizado]]=""),"Vencida","Não Vencida")</f>
        <v>Não Vencida</v>
      </c>
      <c r="P195" s="53" t="str">
        <f>IF(TbRegistroEntradas[[#This Row],[Data da Competência]]=TbRegistroEntradas[[#This Row],[Data do Caixa Previsto]],"Vista","Prazo")</f>
        <v>Prazo</v>
      </c>
      <c r="Q195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61.265823009489395</v>
      </c>
    </row>
    <row r="196" spans="2:17" x14ac:dyDescent="0.3">
      <c r="B196" s="8">
        <v>43571.459066587013</v>
      </c>
      <c r="C196" s="8">
        <v>43525</v>
      </c>
      <c r="D196" s="8">
        <v>43571.459066587013</v>
      </c>
      <c r="E196" t="s">
        <v>27</v>
      </c>
      <c r="F196" t="s">
        <v>34</v>
      </c>
      <c r="G196" t="s">
        <v>252</v>
      </c>
      <c r="H196" s="14">
        <v>471</v>
      </c>
      <c r="I196">
        <f>IF(TbRegistroEntradas[[#This Row],[Data do Caixa Realizado]]="",0,MONTH(TbRegistroEntradas[[#This Row],[Data do Caixa Realizado]]))</f>
        <v>4</v>
      </c>
      <c r="J196">
        <f>IF(TbRegistroEntradas[[#This Row],[Data do Caixa Realizado]]="",0,YEAR(TbRegistroEntradas[[#This Row],[Data do Caixa Realizado]]))</f>
        <v>2019</v>
      </c>
      <c r="K196">
        <f>IF(TbRegistroEntradas[[#This Row],[Data da Competência]]="",0,MONTH(TbRegistroEntradas[[#This Row],[Data da Competência]]))</f>
        <v>3</v>
      </c>
      <c r="L196">
        <f>IF(TbRegistroEntradas[[#This Row],[Data da Competência]]="",0,YEAR(TbRegistroEntradas[[#This Row],[Data da Competência]]))</f>
        <v>2019</v>
      </c>
      <c r="M196" s="53">
        <f>IF(TbRegistroEntradas[[#This Row],[Data do Caixa Previsto]]="",0,MONTH(TbRegistroEntradas[[#This Row],[Data do Caixa Previsto]]))</f>
        <v>4</v>
      </c>
      <c r="N196" s="53">
        <f>IF(TbRegistroEntradas[[#This Row],[Data do Caixa Previsto]]="",0,YEAR(TbRegistroEntradas[[#This Row],[Data do Caixa Previsto]]))</f>
        <v>2019</v>
      </c>
      <c r="O196" s="53" t="str">
        <f ca="1">IF(AND(TbRegistroEntradas[[#This Row],[Data do Caixa Previsto]]&lt;TODAY(),TbRegistroEntradas[[#This Row],[Data do Caixa Realizado]]=""),"Vencida","Não Vencida")</f>
        <v>Não Vencida</v>
      </c>
      <c r="P196" s="53" t="str">
        <f>IF(TbRegistroEntradas[[#This Row],[Data da Competência]]=TbRegistroEntradas[[#This Row],[Data do Caixa Previsto]],"Vista","Prazo")</f>
        <v>Prazo</v>
      </c>
      <c r="Q196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97" spans="2:17" x14ac:dyDescent="0.3">
      <c r="B197" s="8">
        <v>43590.006789576961</v>
      </c>
      <c r="C197" s="8">
        <v>43527</v>
      </c>
      <c r="D197" s="8">
        <v>43568.716482543525</v>
      </c>
      <c r="E197" t="s">
        <v>27</v>
      </c>
      <c r="F197" t="s">
        <v>34</v>
      </c>
      <c r="G197" t="s">
        <v>253</v>
      </c>
      <c r="H197" s="14">
        <v>517</v>
      </c>
      <c r="I197">
        <f>IF(TbRegistroEntradas[[#This Row],[Data do Caixa Realizado]]="",0,MONTH(TbRegistroEntradas[[#This Row],[Data do Caixa Realizado]]))</f>
        <v>5</v>
      </c>
      <c r="J197">
        <f>IF(TbRegistroEntradas[[#This Row],[Data do Caixa Realizado]]="",0,YEAR(TbRegistroEntradas[[#This Row],[Data do Caixa Realizado]]))</f>
        <v>2019</v>
      </c>
      <c r="K197">
        <f>IF(TbRegistroEntradas[[#This Row],[Data da Competência]]="",0,MONTH(TbRegistroEntradas[[#This Row],[Data da Competência]]))</f>
        <v>3</v>
      </c>
      <c r="L197">
        <f>IF(TbRegistroEntradas[[#This Row],[Data da Competência]]="",0,YEAR(TbRegistroEntradas[[#This Row],[Data da Competência]]))</f>
        <v>2019</v>
      </c>
      <c r="M197" s="53">
        <f>IF(TbRegistroEntradas[[#This Row],[Data do Caixa Previsto]]="",0,MONTH(TbRegistroEntradas[[#This Row],[Data do Caixa Previsto]]))</f>
        <v>4</v>
      </c>
      <c r="N197" s="53">
        <f>IF(TbRegistroEntradas[[#This Row],[Data do Caixa Previsto]]="",0,YEAR(TbRegistroEntradas[[#This Row],[Data do Caixa Previsto]]))</f>
        <v>2019</v>
      </c>
      <c r="O197" s="53" t="str">
        <f ca="1">IF(AND(TbRegistroEntradas[[#This Row],[Data do Caixa Previsto]]&lt;TODAY(),TbRegistroEntradas[[#This Row],[Data do Caixa Realizado]]=""),"Vencida","Não Vencida")</f>
        <v>Não Vencida</v>
      </c>
      <c r="P197" s="53" t="str">
        <f>IF(TbRegistroEntradas[[#This Row],[Data da Competência]]=TbRegistroEntradas[[#This Row],[Data do Caixa Previsto]],"Vista","Prazo")</f>
        <v>Prazo</v>
      </c>
      <c r="Q197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21.290307033435965</v>
      </c>
    </row>
    <row r="198" spans="2:17" x14ac:dyDescent="0.3">
      <c r="B198" s="8">
        <v>43563.221434488092</v>
      </c>
      <c r="C198" s="8">
        <v>43534</v>
      </c>
      <c r="D198" s="8">
        <v>43563.221434488092</v>
      </c>
      <c r="E198" t="s">
        <v>27</v>
      </c>
      <c r="F198" t="s">
        <v>34</v>
      </c>
      <c r="G198" t="s">
        <v>254</v>
      </c>
      <c r="H198" s="14">
        <v>3034</v>
      </c>
      <c r="I198">
        <f>IF(TbRegistroEntradas[[#This Row],[Data do Caixa Realizado]]="",0,MONTH(TbRegistroEntradas[[#This Row],[Data do Caixa Realizado]]))</f>
        <v>4</v>
      </c>
      <c r="J198">
        <f>IF(TbRegistroEntradas[[#This Row],[Data do Caixa Realizado]]="",0,YEAR(TbRegistroEntradas[[#This Row],[Data do Caixa Realizado]]))</f>
        <v>2019</v>
      </c>
      <c r="K198">
        <f>IF(TbRegistroEntradas[[#This Row],[Data da Competência]]="",0,MONTH(TbRegistroEntradas[[#This Row],[Data da Competência]]))</f>
        <v>3</v>
      </c>
      <c r="L198">
        <f>IF(TbRegistroEntradas[[#This Row],[Data da Competência]]="",0,YEAR(TbRegistroEntradas[[#This Row],[Data da Competência]]))</f>
        <v>2019</v>
      </c>
      <c r="M198" s="53">
        <f>IF(TbRegistroEntradas[[#This Row],[Data do Caixa Previsto]]="",0,MONTH(TbRegistroEntradas[[#This Row],[Data do Caixa Previsto]]))</f>
        <v>4</v>
      </c>
      <c r="N198" s="53">
        <f>IF(TbRegistroEntradas[[#This Row],[Data do Caixa Previsto]]="",0,YEAR(TbRegistroEntradas[[#This Row],[Data do Caixa Previsto]]))</f>
        <v>2019</v>
      </c>
      <c r="O198" s="53" t="str">
        <f ca="1">IF(AND(TbRegistroEntradas[[#This Row],[Data do Caixa Previsto]]&lt;TODAY(),TbRegistroEntradas[[#This Row],[Data do Caixa Realizado]]=""),"Vencida","Não Vencida")</f>
        <v>Não Vencida</v>
      </c>
      <c r="P198" s="53" t="str">
        <f>IF(TbRegistroEntradas[[#This Row],[Data da Competência]]=TbRegistroEntradas[[#This Row],[Data do Caixa Previsto]],"Vista","Prazo")</f>
        <v>Prazo</v>
      </c>
      <c r="Q198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99" spans="2:17" x14ac:dyDescent="0.3">
      <c r="B199" s="8">
        <v>43578.576921560554</v>
      </c>
      <c r="C199" s="8">
        <v>43537</v>
      </c>
      <c r="D199" s="8">
        <v>43578.576921560554</v>
      </c>
      <c r="E199" t="s">
        <v>27</v>
      </c>
      <c r="F199" t="s">
        <v>36</v>
      </c>
      <c r="G199" t="s">
        <v>255</v>
      </c>
      <c r="H199" s="14">
        <v>3172</v>
      </c>
      <c r="I199">
        <f>IF(TbRegistroEntradas[[#This Row],[Data do Caixa Realizado]]="",0,MONTH(TbRegistroEntradas[[#This Row],[Data do Caixa Realizado]]))</f>
        <v>4</v>
      </c>
      <c r="J199">
        <f>IF(TbRegistroEntradas[[#This Row],[Data do Caixa Realizado]]="",0,YEAR(TbRegistroEntradas[[#This Row],[Data do Caixa Realizado]]))</f>
        <v>2019</v>
      </c>
      <c r="K199">
        <f>IF(TbRegistroEntradas[[#This Row],[Data da Competência]]="",0,MONTH(TbRegistroEntradas[[#This Row],[Data da Competência]]))</f>
        <v>3</v>
      </c>
      <c r="L199">
        <f>IF(TbRegistroEntradas[[#This Row],[Data da Competência]]="",0,YEAR(TbRegistroEntradas[[#This Row],[Data da Competência]]))</f>
        <v>2019</v>
      </c>
      <c r="M199" s="53">
        <f>IF(TbRegistroEntradas[[#This Row],[Data do Caixa Previsto]]="",0,MONTH(TbRegistroEntradas[[#This Row],[Data do Caixa Previsto]]))</f>
        <v>4</v>
      </c>
      <c r="N199" s="53">
        <f>IF(TbRegistroEntradas[[#This Row],[Data do Caixa Previsto]]="",0,YEAR(TbRegistroEntradas[[#This Row],[Data do Caixa Previsto]]))</f>
        <v>2019</v>
      </c>
      <c r="O199" s="53" t="str">
        <f ca="1">IF(AND(TbRegistroEntradas[[#This Row],[Data do Caixa Previsto]]&lt;TODAY(),TbRegistroEntradas[[#This Row],[Data do Caixa Realizado]]=""),"Vencida","Não Vencida")</f>
        <v>Não Vencida</v>
      </c>
      <c r="P199" s="53" t="str">
        <f>IF(TbRegistroEntradas[[#This Row],[Data da Competência]]=TbRegistroEntradas[[#This Row],[Data do Caixa Previsto]],"Vista","Prazo")</f>
        <v>Prazo</v>
      </c>
      <c r="Q199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200" spans="2:17" x14ac:dyDescent="0.3">
      <c r="B200" s="8">
        <v>43555.68421267363</v>
      </c>
      <c r="C200" s="8">
        <v>43543</v>
      </c>
      <c r="D200" s="8">
        <v>43555.68421267363</v>
      </c>
      <c r="E200" t="s">
        <v>27</v>
      </c>
      <c r="F200" t="s">
        <v>35</v>
      </c>
      <c r="G200" t="s">
        <v>256</v>
      </c>
      <c r="H200" s="14">
        <v>2069</v>
      </c>
      <c r="I200">
        <f>IF(TbRegistroEntradas[[#This Row],[Data do Caixa Realizado]]="",0,MONTH(TbRegistroEntradas[[#This Row],[Data do Caixa Realizado]]))</f>
        <v>3</v>
      </c>
      <c r="J200">
        <f>IF(TbRegistroEntradas[[#This Row],[Data do Caixa Realizado]]="",0,YEAR(TbRegistroEntradas[[#This Row],[Data do Caixa Realizado]]))</f>
        <v>2019</v>
      </c>
      <c r="K200">
        <f>IF(TbRegistroEntradas[[#This Row],[Data da Competência]]="",0,MONTH(TbRegistroEntradas[[#This Row],[Data da Competência]]))</f>
        <v>3</v>
      </c>
      <c r="L200">
        <f>IF(TbRegistroEntradas[[#This Row],[Data da Competência]]="",0,YEAR(TbRegistroEntradas[[#This Row],[Data da Competência]]))</f>
        <v>2019</v>
      </c>
      <c r="M200" s="53">
        <f>IF(TbRegistroEntradas[[#This Row],[Data do Caixa Previsto]]="",0,MONTH(TbRegistroEntradas[[#This Row],[Data do Caixa Previsto]]))</f>
        <v>3</v>
      </c>
      <c r="N200" s="53">
        <f>IF(TbRegistroEntradas[[#This Row],[Data do Caixa Previsto]]="",0,YEAR(TbRegistroEntradas[[#This Row],[Data do Caixa Previsto]]))</f>
        <v>2019</v>
      </c>
      <c r="O200" s="53" t="str">
        <f ca="1">IF(AND(TbRegistroEntradas[[#This Row],[Data do Caixa Previsto]]&lt;TODAY(),TbRegistroEntradas[[#This Row],[Data do Caixa Realizado]]=""),"Vencida","Não Vencida")</f>
        <v>Não Vencida</v>
      </c>
      <c r="P200" s="53" t="str">
        <f>IF(TbRegistroEntradas[[#This Row],[Data da Competência]]=TbRegistroEntradas[[#This Row],[Data do Caixa Previsto]],"Vista","Prazo")</f>
        <v>Prazo</v>
      </c>
      <c r="Q200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201" spans="2:17" x14ac:dyDescent="0.3">
      <c r="B201" s="8">
        <v>43614.347330751698</v>
      </c>
      <c r="C201" s="8">
        <v>43545</v>
      </c>
      <c r="D201" s="8">
        <v>43559.473956858106</v>
      </c>
      <c r="E201" t="s">
        <v>27</v>
      </c>
      <c r="F201" t="s">
        <v>35</v>
      </c>
      <c r="G201" t="s">
        <v>257</v>
      </c>
      <c r="H201" s="14">
        <v>3849</v>
      </c>
      <c r="I201">
        <f>IF(TbRegistroEntradas[[#This Row],[Data do Caixa Realizado]]="",0,MONTH(TbRegistroEntradas[[#This Row],[Data do Caixa Realizado]]))</f>
        <v>5</v>
      </c>
      <c r="J201">
        <f>IF(TbRegistroEntradas[[#This Row],[Data do Caixa Realizado]]="",0,YEAR(TbRegistroEntradas[[#This Row],[Data do Caixa Realizado]]))</f>
        <v>2019</v>
      </c>
      <c r="K201">
        <f>IF(TbRegistroEntradas[[#This Row],[Data da Competência]]="",0,MONTH(TbRegistroEntradas[[#This Row],[Data da Competência]]))</f>
        <v>3</v>
      </c>
      <c r="L201">
        <f>IF(TbRegistroEntradas[[#This Row],[Data da Competência]]="",0,YEAR(TbRegistroEntradas[[#This Row],[Data da Competência]]))</f>
        <v>2019</v>
      </c>
      <c r="M201" s="53">
        <f>IF(TbRegistroEntradas[[#This Row],[Data do Caixa Previsto]]="",0,MONTH(TbRegistroEntradas[[#This Row],[Data do Caixa Previsto]]))</f>
        <v>4</v>
      </c>
      <c r="N201" s="53">
        <f>IF(TbRegistroEntradas[[#This Row],[Data do Caixa Previsto]]="",0,YEAR(TbRegistroEntradas[[#This Row],[Data do Caixa Previsto]]))</f>
        <v>2019</v>
      </c>
      <c r="O201" s="53" t="str">
        <f ca="1">IF(AND(TbRegistroEntradas[[#This Row],[Data do Caixa Previsto]]&lt;TODAY(),TbRegistroEntradas[[#This Row],[Data do Caixa Realizado]]=""),"Vencida","Não Vencida")</f>
        <v>Não Vencida</v>
      </c>
      <c r="P201" s="53" t="str">
        <f>IF(TbRegistroEntradas[[#This Row],[Data da Competência]]=TbRegistroEntradas[[#This Row],[Data do Caixa Previsto]],"Vista","Prazo")</f>
        <v>Prazo</v>
      </c>
      <c r="Q201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54.873373893591634</v>
      </c>
    </row>
    <row r="202" spans="2:17" x14ac:dyDescent="0.3">
      <c r="B202" s="8">
        <v>43622.661194715285</v>
      </c>
      <c r="C202" s="8">
        <v>43551</v>
      </c>
      <c r="D202" s="8">
        <v>43586.046958916726</v>
      </c>
      <c r="E202" t="s">
        <v>27</v>
      </c>
      <c r="F202" t="s">
        <v>37</v>
      </c>
      <c r="G202" t="s">
        <v>258</v>
      </c>
      <c r="H202" s="14">
        <v>4141</v>
      </c>
      <c r="I202">
        <f>IF(TbRegistroEntradas[[#This Row],[Data do Caixa Realizado]]="",0,MONTH(TbRegistroEntradas[[#This Row],[Data do Caixa Realizado]]))</f>
        <v>6</v>
      </c>
      <c r="J202">
        <f>IF(TbRegistroEntradas[[#This Row],[Data do Caixa Realizado]]="",0,YEAR(TbRegistroEntradas[[#This Row],[Data do Caixa Realizado]]))</f>
        <v>2019</v>
      </c>
      <c r="K202">
        <f>IF(TbRegistroEntradas[[#This Row],[Data da Competência]]="",0,MONTH(TbRegistroEntradas[[#This Row],[Data da Competência]]))</f>
        <v>3</v>
      </c>
      <c r="L202">
        <f>IF(TbRegistroEntradas[[#This Row],[Data da Competência]]="",0,YEAR(TbRegistroEntradas[[#This Row],[Data da Competência]]))</f>
        <v>2019</v>
      </c>
      <c r="M202" s="53">
        <f>IF(TbRegistroEntradas[[#This Row],[Data do Caixa Previsto]]="",0,MONTH(TbRegistroEntradas[[#This Row],[Data do Caixa Previsto]]))</f>
        <v>5</v>
      </c>
      <c r="N202" s="53">
        <f>IF(TbRegistroEntradas[[#This Row],[Data do Caixa Previsto]]="",0,YEAR(TbRegistroEntradas[[#This Row],[Data do Caixa Previsto]]))</f>
        <v>2019</v>
      </c>
      <c r="O202" s="53" t="str">
        <f ca="1">IF(AND(TbRegistroEntradas[[#This Row],[Data do Caixa Previsto]]&lt;TODAY(),TbRegistroEntradas[[#This Row],[Data do Caixa Realizado]]=""),"Vencida","Não Vencida")</f>
        <v>Não Vencida</v>
      </c>
      <c r="P202" s="53" t="str">
        <f>IF(TbRegistroEntradas[[#This Row],[Data da Competência]]=TbRegistroEntradas[[#This Row],[Data do Caixa Previsto]],"Vista","Prazo")</f>
        <v>Prazo</v>
      </c>
      <c r="Q202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36.614235798559093</v>
      </c>
    </row>
    <row r="203" spans="2:17" x14ac:dyDescent="0.3">
      <c r="B203" s="8" t="s">
        <v>70</v>
      </c>
      <c r="C203" s="8">
        <v>43552</v>
      </c>
      <c r="D203" s="8">
        <v>43586.891175257784</v>
      </c>
      <c r="E203" t="s">
        <v>27</v>
      </c>
      <c r="F203" t="s">
        <v>37</v>
      </c>
      <c r="G203" t="s">
        <v>259</v>
      </c>
      <c r="H203" s="14">
        <v>1348</v>
      </c>
      <c r="I203">
        <f>IF(TbRegistroEntradas[[#This Row],[Data do Caixa Realizado]]="",0,MONTH(TbRegistroEntradas[[#This Row],[Data do Caixa Realizado]]))</f>
        <v>0</v>
      </c>
      <c r="J203">
        <f>IF(TbRegistroEntradas[[#This Row],[Data do Caixa Realizado]]="",0,YEAR(TbRegistroEntradas[[#This Row],[Data do Caixa Realizado]]))</f>
        <v>0</v>
      </c>
      <c r="K203">
        <f>IF(TbRegistroEntradas[[#This Row],[Data da Competência]]="",0,MONTH(TbRegistroEntradas[[#This Row],[Data da Competência]]))</f>
        <v>3</v>
      </c>
      <c r="L203">
        <f>IF(TbRegistroEntradas[[#This Row],[Data da Competência]]="",0,YEAR(TbRegistroEntradas[[#This Row],[Data da Competência]]))</f>
        <v>2019</v>
      </c>
      <c r="M203" s="53">
        <f>IF(TbRegistroEntradas[[#This Row],[Data do Caixa Previsto]]="",0,MONTH(TbRegistroEntradas[[#This Row],[Data do Caixa Previsto]]))</f>
        <v>5</v>
      </c>
      <c r="N203" s="53">
        <f>IF(TbRegistroEntradas[[#This Row],[Data do Caixa Previsto]]="",0,YEAR(TbRegistroEntradas[[#This Row],[Data do Caixa Previsto]]))</f>
        <v>2019</v>
      </c>
      <c r="O203" s="53" t="str">
        <f ca="1">IF(AND(TbRegistroEntradas[[#This Row],[Data do Caixa Previsto]]&lt;TODAY(),TbRegistroEntradas[[#This Row],[Data do Caixa Realizado]]=""),"Vencida","Não Vencida")</f>
        <v>Vencida</v>
      </c>
      <c r="P203" s="53" t="str">
        <f>IF(TbRegistroEntradas[[#This Row],[Data da Competência]]=TbRegistroEntradas[[#This Row],[Data do Caixa Previsto]],"Vista","Prazo")</f>
        <v>Prazo</v>
      </c>
      <c r="Q203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2022.1088247422158</v>
      </c>
    </row>
    <row r="204" spans="2:17" x14ac:dyDescent="0.3">
      <c r="B204" s="8">
        <v>43579.560843489548</v>
      </c>
      <c r="C204" s="8">
        <v>43558</v>
      </c>
      <c r="D204" s="8">
        <v>43579.560843489548</v>
      </c>
      <c r="E204" t="s">
        <v>27</v>
      </c>
      <c r="F204" t="s">
        <v>36</v>
      </c>
      <c r="G204" t="s">
        <v>260</v>
      </c>
      <c r="H204" s="14">
        <v>1738</v>
      </c>
      <c r="I204">
        <f>IF(TbRegistroEntradas[[#This Row],[Data do Caixa Realizado]]="",0,MONTH(TbRegistroEntradas[[#This Row],[Data do Caixa Realizado]]))</f>
        <v>4</v>
      </c>
      <c r="J204">
        <f>IF(TbRegistroEntradas[[#This Row],[Data do Caixa Realizado]]="",0,YEAR(TbRegistroEntradas[[#This Row],[Data do Caixa Realizado]]))</f>
        <v>2019</v>
      </c>
      <c r="K204">
        <f>IF(TbRegistroEntradas[[#This Row],[Data da Competência]]="",0,MONTH(TbRegistroEntradas[[#This Row],[Data da Competência]]))</f>
        <v>4</v>
      </c>
      <c r="L204">
        <f>IF(TbRegistroEntradas[[#This Row],[Data da Competência]]="",0,YEAR(TbRegistroEntradas[[#This Row],[Data da Competência]]))</f>
        <v>2019</v>
      </c>
      <c r="M204" s="53">
        <f>IF(TbRegistroEntradas[[#This Row],[Data do Caixa Previsto]]="",0,MONTH(TbRegistroEntradas[[#This Row],[Data do Caixa Previsto]]))</f>
        <v>4</v>
      </c>
      <c r="N204" s="53">
        <f>IF(TbRegistroEntradas[[#This Row],[Data do Caixa Previsto]]="",0,YEAR(TbRegistroEntradas[[#This Row],[Data do Caixa Previsto]]))</f>
        <v>2019</v>
      </c>
      <c r="O204" s="53" t="str">
        <f ca="1">IF(AND(TbRegistroEntradas[[#This Row],[Data do Caixa Previsto]]&lt;TODAY(),TbRegistroEntradas[[#This Row],[Data do Caixa Realizado]]=""),"Vencida","Não Vencida")</f>
        <v>Não Vencida</v>
      </c>
      <c r="P204" s="53" t="str">
        <f>IF(TbRegistroEntradas[[#This Row],[Data da Competência]]=TbRegistroEntradas[[#This Row],[Data do Caixa Previsto]],"Vista","Prazo")</f>
        <v>Prazo</v>
      </c>
      <c r="Q204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205" spans="2:17" x14ac:dyDescent="0.3">
      <c r="B205" s="8">
        <v>43616.927767605004</v>
      </c>
      <c r="C205" s="8">
        <v>43561</v>
      </c>
      <c r="D205" s="8">
        <v>43616.927767605004</v>
      </c>
      <c r="E205" t="s">
        <v>27</v>
      </c>
      <c r="F205" t="s">
        <v>36</v>
      </c>
      <c r="G205" t="s">
        <v>261</v>
      </c>
      <c r="H205" s="14">
        <v>732</v>
      </c>
      <c r="I205">
        <f>IF(TbRegistroEntradas[[#This Row],[Data do Caixa Realizado]]="",0,MONTH(TbRegistroEntradas[[#This Row],[Data do Caixa Realizado]]))</f>
        <v>5</v>
      </c>
      <c r="J205">
        <f>IF(TbRegistroEntradas[[#This Row],[Data do Caixa Realizado]]="",0,YEAR(TbRegistroEntradas[[#This Row],[Data do Caixa Realizado]]))</f>
        <v>2019</v>
      </c>
      <c r="K205">
        <f>IF(TbRegistroEntradas[[#This Row],[Data da Competência]]="",0,MONTH(TbRegistroEntradas[[#This Row],[Data da Competência]]))</f>
        <v>4</v>
      </c>
      <c r="L205">
        <f>IF(TbRegistroEntradas[[#This Row],[Data da Competência]]="",0,YEAR(TbRegistroEntradas[[#This Row],[Data da Competência]]))</f>
        <v>2019</v>
      </c>
      <c r="M205" s="53">
        <f>IF(TbRegistroEntradas[[#This Row],[Data do Caixa Previsto]]="",0,MONTH(TbRegistroEntradas[[#This Row],[Data do Caixa Previsto]]))</f>
        <v>5</v>
      </c>
      <c r="N205" s="53">
        <f>IF(TbRegistroEntradas[[#This Row],[Data do Caixa Previsto]]="",0,YEAR(TbRegistroEntradas[[#This Row],[Data do Caixa Previsto]]))</f>
        <v>2019</v>
      </c>
      <c r="O205" s="53" t="str">
        <f ca="1">IF(AND(TbRegistroEntradas[[#This Row],[Data do Caixa Previsto]]&lt;TODAY(),TbRegistroEntradas[[#This Row],[Data do Caixa Realizado]]=""),"Vencida","Não Vencida")</f>
        <v>Não Vencida</v>
      </c>
      <c r="P205" s="53" t="str">
        <f>IF(TbRegistroEntradas[[#This Row],[Data da Competência]]=TbRegistroEntradas[[#This Row],[Data do Caixa Previsto]],"Vista","Prazo")</f>
        <v>Prazo</v>
      </c>
      <c r="Q205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206" spans="2:17" x14ac:dyDescent="0.3">
      <c r="B206" s="8">
        <v>43625.82552449884</v>
      </c>
      <c r="C206" s="8">
        <v>43562</v>
      </c>
      <c r="D206" s="8">
        <v>43586.693447907084</v>
      </c>
      <c r="E206" t="s">
        <v>27</v>
      </c>
      <c r="F206" t="s">
        <v>37</v>
      </c>
      <c r="G206" t="s">
        <v>262</v>
      </c>
      <c r="H206" s="14">
        <v>373</v>
      </c>
      <c r="I206">
        <f>IF(TbRegistroEntradas[[#This Row],[Data do Caixa Realizado]]="",0,MONTH(TbRegistroEntradas[[#This Row],[Data do Caixa Realizado]]))</f>
        <v>6</v>
      </c>
      <c r="J206">
        <f>IF(TbRegistroEntradas[[#This Row],[Data do Caixa Realizado]]="",0,YEAR(TbRegistroEntradas[[#This Row],[Data do Caixa Realizado]]))</f>
        <v>2019</v>
      </c>
      <c r="K206">
        <f>IF(TbRegistroEntradas[[#This Row],[Data da Competência]]="",0,MONTH(TbRegistroEntradas[[#This Row],[Data da Competência]]))</f>
        <v>4</v>
      </c>
      <c r="L206">
        <f>IF(TbRegistroEntradas[[#This Row],[Data da Competência]]="",0,YEAR(TbRegistroEntradas[[#This Row],[Data da Competência]]))</f>
        <v>2019</v>
      </c>
      <c r="M206" s="53">
        <f>IF(TbRegistroEntradas[[#This Row],[Data do Caixa Previsto]]="",0,MONTH(TbRegistroEntradas[[#This Row],[Data do Caixa Previsto]]))</f>
        <v>5</v>
      </c>
      <c r="N206" s="53">
        <f>IF(TbRegistroEntradas[[#This Row],[Data do Caixa Previsto]]="",0,YEAR(TbRegistroEntradas[[#This Row],[Data do Caixa Previsto]]))</f>
        <v>2019</v>
      </c>
      <c r="O206" s="53" t="str">
        <f ca="1">IF(AND(TbRegistroEntradas[[#This Row],[Data do Caixa Previsto]]&lt;TODAY(),TbRegistroEntradas[[#This Row],[Data do Caixa Realizado]]=""),"Vencida","Não Vencida")</f>
        <v>Não Vencida</v>
      </c>
      <c r="P206" s="53" t="str">
        <f>IF(TbRegistroEntradas[[#This Row],[Data da Competência]]=TbRegistroEntradas[[#This Row],[Data do Caixa Previsto]],"Vista","Prazo")</f>
        <v>Prazo</v>
      </c>
      <c r="Q206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39.132076591755322</v>
      </c>
    </row>
    <row r="207" spans="2:17" x14ac:dyDescent="0.3">
      <c r="B207" s="8">
        <v>43680.092544285042</v>
      </c>
      <c r="C207" s="8">
        <v>43564</v>
      </c>
      <c r="D207" s="8">
        <v>43609.201502582175</v>
      </c>
      <c r="E207" t="s">
        <v>27</v>
      </c>
      <c r="F207" t="s">
        <v>34</v>
      </c>
      <c r="G207" t="s">
        <v>263</v>
      </c>
      <c r="H207" s="14">
        <v>609</v>
      </c>
      <c r="I207">
        <f>IF(TbRegistroEntradas[[#This Row],[Data do Caixa Realizado]]="",0,MONTH(TbRegistroEntradas[[#This Row],[Data do Caixa Realizado]]))</f>
        <v>8</v>
      </c>
      <c r="J207">
        <f>IF(TbRegistroEntradas[[#This Row],[Data do Caixa Realizado]]="",0,YEAR(TbRegistroEntradas[[#This Row],[Data do Caixa Realizado]]))</f>
        <v>2019</v>
      </c>
      <c r="K207">
        <f>IF(TbRegistroEntradas[[#This Row],[Data da Competência]]="",0,MONTH(TbRegistroEntradas[[#This Row],[Data da Competência]]))</f>
        <v>4</v>
      </c>
      <c r="L207">
        <f>IF(TbRegistroEntradas[[#This Row],[Data da Competência]]="",0,YEAR(TbRegistroEntradas[[#This Row],[Data da Competência]]))</f>
        <v>2019</v>
      </c>
      <c r="M207" s="53">
        <f>IF(TbRegistroEntradas[[#This Row],[Data do Caixa Previsto]]="",0,MONTH(TbRegistroEntradas[[#This Row],[Data do Caixa Previsto]]))</f>
        <v>5</v>
      </c>
      <c r="N207" s="53">
        <f>IF(TbRegistroEntradas[[#This Row],[Data do Caixa Previsto]]="",0,YEAR(TbRegistroEntradas[[#This Row],[Data do Caixa Previsto]]))</f>
        <v>2019</v>
      </c>
      <c r="O207" s="53" t="str">
        <f ca="1">IF(AND(TbRegistroEntradas[[#This Row],[Data do Caixa Previsto]]&lt;TODAY(),TbRegistroEntradas[[#This Row],[Data do Caixa Realizado]]=""),"Vencida","Não Vencida")</f>
        <v>Não Vencida</v>
      </c>
      <c r="P207" s="53" t="str">
        <f>IF(TbRegistroEntradas[[#This Row],[Data da Competência]]=TbRegistroEntradas[[#This Row],[Data do Caixa Previsto]],"Vista","Prazo")</f>
        <v>Prazo</v>
      </c>
      <c r="Q207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70.891041702867369</v>
      </c>
    </row>
    <row r="208" spans="2:17" x14ac:dyDescent="0.3">
      <c r="B208" s="8">
        <v>43615.075827004257</v>
      </c>
      <c r="C208" s="8">
        <v>43567</v>
      </c>
      <c r="D208" s="8">
        <v>43615.075827004257</v>
      </c>
      <c r="E208" t="s">
        <v>27</v>
      </c>
      <c r="F208" t="s">
        <v>36</v>
      </c>
      <c r="G208" t="s">
        <v>264</v>
      </c>
      <c r="H208" s="14">
        <v>2883</v>
      </c>
      <c r="I208">
        <f>IF(TbRegistroEntradas[[#This Row],[Data do Caixa Realizado]]="",0,MONTH(TbRegistroEntradas[[#This Row],[Data do Caixa Realizado]]))</f>
        <v>5</v>
      </c>
      <c r="J208">
        <f>IF(TbRegistroEntradas[[#This Row],[Data do Caixa Realizado]]="",0,YEAR(TbRegistroEntradas[[#This Row],[Data do Caixa Realizado]]))</f>
        <v>2019</v>
      </c>
      <c r="K208">
        <f>IF(TbRegistroEntradas[[#This Row],[Data da Competência]]="",0,MONTH(TbRegistroEntradas[[#This Row],[Data da Competência]]))</f>
        <v>4</v>
      </c>
      <c r="L208">
        <f>IF(TbRegistroEntradas[[#This Row],[Data da Competência]]="",0,YEAR(TbRegistroEntradas[[#This Row],[Data da Competência]]))</f>
        <v>2019</v>
      </c>
      <c r="M208" s="53">
        <f>IF(TbRegistroEntradas[[#This Row],[Data do Caixa Previsto]]="",0,MONTH(TbRegistroEntradas[[#This Row],[Data do Caixa Previsto]]))</f>
        <v>5</v>
      </c>
      <c r="N208" s="53">
        <f>IF(TbRegistroEntradas[[#This Row],[Data do Caixa Previsto]]="",0,YEAR(TbRegistroEntradas[[#This Row],[Data do Caixa Previsto]]))</f>
        <v>2019</v>
      </c>
      <c r="O208" s="53" t="str">
        <f ca="1">IF(AND(TbRegistroEntradas[[#This Row],[Data do Caixa Previsto]]&lt;TODAY(),TbRegistroEntradas[[#This Row],[Data do Caixa Realizado]]=""),"Vencida","Não Vencida")</f>
        <v>Não Vencida</v>
      </c>
      <c r="P208" s="53" t="str">
        <f>IF(TbRegistroEntradas[[#This Row],[Data da Competência]]=TbRegistroEntradas[[#This Row],[Data do Caixa Previsto]],"Vista","Prazo")</f>
        <v>Prazo</v>
      </c>
      <c r="Q208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209" spans="2:17" x14ac:dyDescent="0.3">
      <c r="B209" s="8">
        <v>43570.769485626974</v>
      </c>
      <c r="C209" s="8">
        <v>43569</v>
      </c>
      <c r="D209" s="8">
        <v>43570.769485626974</v>
      </c>
      <c r="E209" t="s">
        <v>27</v>
      </c>
      <c r="F209" t="s">
        <v>34</v>
      </c>
      <c r="G209" t="s">
        <v>265</v>
      </c>
      <c r="H209" s="14">
        <v>4651</v>
      </c>
      <c r="I209">
        <f>IF(TbRegistroEntradas[[#This Row],[Data do Caixa Realizado]]="",0,MONTH(TbRegistroEntradas[[#This Row],[Data do Caixa Realizado]]))</f>
        <v>4</v>
      </c>
      <c r="J209">
        <f>IF(TbRegistroEntradas[[#This Row],[Data do Caixa Realizado]]="",0,YEAR(TbRegistroEntradas[[#This Row],[Data do Caixa Realizado]]))</f>
        <v>2019</v>
      </c>
      <c r="K209">
        <f>IF(TbRegistroEntradas[[#This Row],[Data da Competência]]="",0,MONTH(TbRegistroEntradas[[#This Row],[Data da Competência]]))</f>
        <v>4</v>
      </c>
      <c r="L209">
        <f>IF(TbRegistroEntradas[[#This Row],[Data da Competência]]="",0,YEAR(TbRegistroEntradas[[#This Row],[Data da Competência]]))</f>
        <v>2019</v>
      </c>
      <c r="M209" s="53">
        <f>IF(TbRegistroEntradas[[#This Row],[Data do Caixa Previsto]]="",0,MONTH(TbRegistroEntradas[[#This Row],[Data do Caixa Previsto]]))</f>
        <v>4</v>
      </c>
      <c r="N209" s="53">
        <f>IF(TbRegistroEntradas[[#This Row],[Data do Caixa Previsto]]="",0,YEAR(TbRegistroEntradas[[#This Row],[Data do Caixa Previsto]]))</f>
        <v>2019</v>
      </c>
      <c r="O209" s="53" t="str">
        <f ca="1">IF(AND(TbRegistroEntradas[[#This Row],[Data do Caixa Previsto]]&lt;TODAY(),TbRegistroEntradas[[#This Row],[Data do Caixa Realizado]]=""),"Vencida","Não Vencida")</f>
        <v>Não Vencida</v>
      </c>
      <c r="P209" s="53" t="str">
        <f>IF(TbRegistroEntradas[[#This Row],[Data da Competência]]=TbRegistroEntradas[[#This Row],[Data do Caixa Previsto]],"Vista","Prazo")</f>
        <v>Prazo</v>
      </c>
      <c r="Q209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210" spans="2:17" x14ac:dyDescent="0.3">
      <c r="B210" s="8">
        <v>43579.931861207129</v>
      </c>
      <c r="C210" s="8">
        <v>43573</v>
      </c>
      <c r="D210" s="8">
        <v>43579.931861207129</v>
      </c>
      <c r="E210" t="s">
        <v>27</v>
      </c>
      <c r="F210" t="s">
        <v>34</v>
      </c>
      <c r="G210" t="s">
        <v>266</v>
      </c>
      <c r="H210" s="14">
        <v>4797</v>
      </c>
      <c r="I210">
        <f>IF(TbRegistroEntradas[[#This Row],[Data do Caixa Realizado]]="",0,MONTH(TbRegistroEntradas[[#This Row],[Data do Caixa Realizado]]))</f>
        <v>4</v>
      </c>
      <c r="J210">
        <f>IF(TbRegistroEntradas[[#This Row],[Data do Caixa Realizado]]="",0,YEAR(TbRegistroEntradas[[#This Row],[Data do Caixa Realizado]]))</f>
        <v>2019</v>
      </c>
      <c r="K210">
        <f>IF(TbRegistroEntradas[[#This Row],[Data da Competência]]="",0,MONTH(TbRegistroEntradas[[#This Row],[Data da Competência]]))</f>
        <v>4</v>
      </c>
      <c r="L210">
        <f>IF(TbRegistroEntradas[[#This Row],[Data da Competência]]="",0,YEAR(TbRegistroEntradas[[#This Row],[Data da Competência]]))</f>
        <v>2019</v>
      </c>
      <c r="M210" s="53">
        <f>IF(TbRegistroEntradas[[#This Row],[Data do Caixa Previsto]]="",0,MONTH(TbRegistroEntradas[[#This Row],[Data do Caixa Previsto]]))</f>
        <v>4</v>
      </c>
      <c r="N210" s="53">
        <f>IF(TbRegistroEntradas[[#This Row],[Data do Caixa Previsto]]="",0,YEAR(TbRegistroEntradas[[#This Row],[Data do Caixa Previsto]]))</f>
        <v>2019</v>
      </c>
      <c r="O210" s="53" t="str">
        <f ca="1">IF(AND(TbRegistroEntradas[[#This Row],[Data do Caixa Previsto]]&lt;TODAY(),TbRegistroEntradas[[#This Row],[Data do Caixa Realizado]]=""),"Vencida","Não Vencida")</f>
        <v>Não Vencida</v>
      </c>
      <c r="P210" s="53" t="str">
        <f>IF(TbRegistroEntradas[[#This Row],[Data da Competência]]=TbRegistroEntradas[[#This Row],[Data do Caixa Previsto]],"Vista","Prazo")</f>
        <v>Prazo</v>
      </c>
      <c r="Q210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211" spans="2:17" x14ac:dyDescent="0.3">
      <c r="B211" s="8">
        <v>43598.937055888804</v>
      </c>
      <c r="C211" s="8">
        <v>43575</v>
      </c>
      <c r="D211" s="8">
        <v>43598.937055888804</v>
      </c>
      <c r="E211" t="s">
        <v>27</v>
      </c>
      <c r="F211" t="s">
        <v>35</v>
      </c>
      <c r="G211" t="s">
        <v>267</v>
      </c>
      <c r="H211" s="14">
        <v>1620</v>
      </c>
      <c r="I211">
        <f>IF(TbRegistroEntradas[[#This Row],[Data do Caixa Realizado]]="",0,MONTH(TbRegistroEntradas[[#This Row],[Data do Caixa Realizado]]))</f>
        <v>5</v>
      </c>
      <c r="J211">
        <f>IF(TbRegistroEntradas[[#This Row],[Data do Caixa Realizado]]="",0,YEAR(TbRegistroEntradas[[#This Row],[Data do Caixa Realizado]]))</f>
        <v>2019</v>
      </c>
      <c r="K211">
        <f>IF(TbRegistroEntradas[[#This Row],[Data da Competência]]="",0,MONTH(TbRegistroEntradas[[#This Row],[Data da Competência]]))</f>
        <v>4</v>
      </c>
      <c r="L211">
        <f>IF(TbRegistroEntradas[[#This Row],[Data da Competência]]="",0,YEAR(TbRegistroEntradas[[#This Row],[Data da Competência]]))</f>
        <v>2019</v>
      </c>
      <c r="M211" s="53">
        <f>IF(TbRegistroEntradas[[#This Row],[Data do Caixa Previsto]]="",0,MONTH(TbRegistroEntradas[[#This Row],[Data do Caixa Previsto]]))</f>
        <v>5</v>
      </c>
      <c r="N211" s="53">
        <f>IF(TbRegistroEntradas[[#This Row],[Data do Caixa Previsto]]="",0,YEAR(TbRegistroEntradas[[#This Row],[Data do Caixa Previsto]]))</f>
        <v>2019</v>
      </c>
      <c r="O211" s="53" t="str">
        <f ca="1">IF(AND(TbRegistroEntradas[[#This Row],[Data do Caixa Previsto]]&lt;TODAY(),TbRegistroEntradas[[#This Row],[Data do Caixa Realizado]]=""),"Vencida","Não Vencida")</f>
        <v>Não Vencida</v>
      </c>
      <c r="P211" s="53" t="str">
        <f>IF(TbRegistroEntradas[[#This Row],[Data da Competência]]=TbRegistroEntradas[[#This Row],[Data do Caixa Previsto]],"Vista","Prazo")</f>
        <v>Prazo</v>
      </c>
      <c r="Q211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212" spans="2:17" x14ac:dyDescent="0.3">
      <c r="B212" s="8">
        <v>43625.868579479997</v>
      </c>
      <c r="C212" s="8">
        <v>43582</v>
      </c>
      <c r="D212" s="8">
        <v>43625.868579479997</v>
      </c>
      <c r="E212" t="s">
        <v>27</v>
      </c>
      <c r="F212" t="s">
        <v>37</v>
      </c>
      <c r="G212" t="s">
        <v>268</v>
      </c>
      <c r="H212" s="14">
        <v>245</v>
      </c>
      <c r="I212">
        <f>IF(TbRegistroEntradas[[#This Row],[Data do Caixa Realizado]]="",0,MONTH(TbRegistroEntradas[[#This Row],[Data do Caixa Realizado]]))</f>
        <v>6</v>
      </c>
      <c r="J212">
        <f>IF(TbRegistroEntradas[[#This Row],[Data do Caixa Realizado]]="",0,YEAR(TbRegistroEntradas[[#This Row],[Data do Caixa Realizado]]))</f>
        <v>2019</v>
      </c>
      <c r="K212">
        <f>IF(TbRegistroEntradas[[#This Row],[Data da Competência]]="",0,MONTH(TbRegistroEntradas[[#This Row],[Data da Competência]]))</f>
        <v>4</v>
      </c>
      <c r="L212">
        <f>IF(TbRegistroEntradas[[#This Row],[Data da Competência]]="",0,YEAR(TbRegistroEntradas[[#This Row],[Data da Competência]]))</f>
        <v>2019</v>
      </c>
      <c r="M212" s="53">
        <f>IF(TbRegistroEntradas[[#This Row],[Data do Caixa Previsto]]="",0,MONTH(TbRegistroEntradas[[#This Row],[Data do Caixa Previsto]]))</f>
        <v>6</v>
      </c>
      <c r="N212" s="53">
        <f>IF(TbRegistroEntradas[[#This Row],[Data do Caixa Previsto]]="",0,YEAR(TbRegistroEntradas[[#This Row],[Data do Caixa Previsto]]))</f>
        <v>2019</v>
      </c>
      <c r="O212" s="53" t="str">
        <f ca="1">IF(AND(TbRegistroEntradas[[#This Row],[Data do Caixa Previsto]]&lt;TODAY(),TbRegistroEntradas[[#This Row],[Data do Caixa Realizado]]=""),"Vencida","Não Vencida")</f>
        <v>Não Vencida</v>
      </c>
      <c r="P212" s="53" t="str">
        <f>IF(TbRegistroEntradas[[#This Row],[Data da Competência]]=TbRegistroEntradas[[#This Row],[Data do Caixa Previsto]],"Vista","Prazo")</f>
        <v>Prazo</v>
      </c>
      <c r="Q212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213" spans="2:17" x14ac:dyDescent="0.3">
      <c r="B213" s="8">
        <v>43595.986786318994</v>
      </c>
      <c r="C213" s="8">
        <v>43584</v>
      </c>
      <c r="D213" s="8">
        <v>43595.986786318994</v>
      </c>
      <c r="E213" t="s">
        <v>27</v>
      </c>
      <c r="F213" t="s">
        <v>36</v>
      </c>
      <c r="G213" t="s">
        <v>269</v>
      </c>
      <c r="H213" s="14">
        <v>2091</v>
      </c>
      <c r="I213">
        <f>IF(TbRegistroEntradas[[#This Row],[Data do Caixa Realizado]]="",0,MONTH(TbRegistroEntradas[[#This Row],[Data do Caixa Realizado]]))</f>
        <v>5</v>
      </c>
      <c r="J213">
        <f>IF(TbRegistroEntradas[[#This Row],[Data do Caixa Realizado]]="",0,YEAR(TbRegistroEntradas[[#This Row],[Data do Caixa Realizado]]))</f>
        <v>2019</v>
      </c>
      <c r="K213">
        <f>IF(TbRegistroEntradas[[#This Row],[Data da Competência]]="",0,MONTH(TbRegistroEntradas[[#This Row],[Data da Competência]]))</f>
        <v>4</v>
      </c>
      <c r="L213">
        <f>IF(TbRegistroEntradas[[#This Row],[Data da Competência]]="",0,YEAR(TbRegistroEntradas[[#This Row],[Data da Competência]]))</f>
        <v>2019</v>
      </c>
      <c r="M213" s="53">
        <f>IF(TbRegistroEntradas[[#This Row],[Data do Caixa Previsto]]="",0,MONTH(TbRegistroEntradas[[#This Row],[Data do Caixa Previsto]]))</f>
        <v>5</v>
      </c>
      <c r="N213" s="53">
        <f>IF(TbRegistroEntradas[[#This Row],[Data do Caixa Previsto]]="",0,YEAR(TbRegistroEntradas[[#This Row],[Data do Caixa Previsto]]))</f>
        <v>2019</v>
      </c>
      <c r="O213" s="53" t="str">
        <f ca="1">IF(AND(TbRegistroEntradas[[#This Row],[Data do Caixa Previsto]]&lt;TODAY(),TbRegistroEntradas[[#This Row],[Data do Caixa Realizado]]=""),"Vencida","Não Vencida")</f>
        <v>Não Vencida</v>
      </c>
      <c r="P213" s="53" t="str">
        <f>IF(TbRegistroEntradas[[#This Row],[Data da Competência]]=TbRegistroEntradas[[#This Row],[Data do Caixa Previsto]],"Vista","Prazo")</f>
        <v>Prazo</v>
      </c>
      <c r="Q213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214" spans="2:17" x14ac:dyDescent="0.3">
      <c r="B214" s="8">
        <v>43594.434933470475</v>
      </c>
      <c r="C214" s="8">
        <v>43585</v>
      </c>
      <c r="D214" s="8">
        <v>43594.434933470475</v>
      </c>
      <c r="E214" t="s">
        <v>27</v>
      </c>
      <c r="F214" t="s">
        <v>36</v>
      </c>
      <c r="G214" t="s">
        <v>270</v>
      </c>
      <c r="H214" s="14">
        <v>3200</v>
      </c>
      <c r="I214">
        <f>IF(TbRegistroEntradas[[#This Row],[Data do Caixa Realizado]]="",0,MONTH(TbRegistroEntradas[[#This Row],[Data do Caixa Realizado]]))</f>
        <v>5</v>
      </c>
      <c r="J214">
        <f>IF(TbRegistroEntradas[[#This Row],[Data do Caixa Realizado]]="",0,YEAR(TbRegistroEntradas[[#This Row],[Data do Caixa Realizado]]))</f>
        <v>2019</v>
      </c>
      <c r="K214">
        <f>IF(TbRegistroEntradas[[#This Row],[Data da Competência]]="",0,MONTH(TbRegistroEntradas[[#This Row],[Data da Competência]]))</f>
        <v>4</v>
      </c>
      <c r="L214">
        <f>IF(TbRegistroEntradas[[#This Row],[Data da Competência]]="",0,YEAR(TbRegistroEntradas[[#This Row],[Data da Competência]]))</f>
        <v>2019</v>
      </c>
      <c r="M214" s="53">
        <f>IF(TbRegistroEntradas[[#This Row],[Data do Caixa Previsto]]="",0,MONTH(TbRegistroEntradas[[#This Row],[Data do Caixa Previsto]]))</f>
        <v>5</v>
      </c>
      <c r="N214" s="53">
        <f>IF(TbRegistroEntradas[[#This Row],[Data do Caixa Previsto]]="",0,YEAR(TbRegistroEntradas[[#This Row],[Data do Caixa Previsto]]))</f>
        <v>2019</v>
      </c>
      <c r="O214" s="53" t="str">
        <f ca="1">IF(AND(TbRegistroEntradas[[#This Row],[Data do Caixa Previsto]]&lt;TODAY(),TbRegistroEntradas[[#This Row],[Data do Caixa Realizado]]=""),"Vencida","Não Vencida")</f>
        <v>Não Vencida</v>
      </c>
      <c r="P214" s="53" t="str">
        <f>IF(TbRegistroEntradas[[#This Row],[Data da Competência]]=TbRegistroEntradas[[#This Row],[Data do Caixa Previsto]],"Vista","Prazo")</f>
        <v>Prazo</v>
      </c>
      <c r="Q214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215" spans="2:17" x14ac:dyDescent="0.3">
      <c r="B215" s="8">
        <v>43604.067998386839</v>
      </c>
      <c r="C215" s="8">
        <v>43587</v>
      </c>
      <c r="D215" s="8">
        <v>43604.067998386839</v>
      </c>
      <c r="E215" t="s">
        <v>27</v>
      </c>
      <c r="F215" t="s">
        <v>37</v>
      </c>
      <c r="G215" t="s">
        <v>271</v>
      </c>
      <c r="H215" s="14">
        <v>583</v>
      </c>
      <c r="I215">
        <f>IF(TbRegistroEntradas[[#This Row],[Data do Caixa Realizado]]="",0,MONTH(TbRegistroEntradas[[#This Row],[Data do Caixa Realizado]]))</f>
        <v>5</v>
      </c>
      <c r="J215">
        <f>IF(TbRegistroEntradas[[#This Row],[Data do Caixa Realizado]]="",0,YEAR(TbRegistroEntradas[[#This Row],[Data do Caixa Realizado]]))</f>
        <v>2019</v>
      </c>
      <c r="K215">
        <f>IF(TbRegistroEntradas[[#This Row],[Data da Competência]]="",0,MONTH(TbRegistroEntradas[[#This Row],[Data da Competência]]))</f>
        <v>5</v>
      </c>
      <c r="L215">
        <f>IF(TbRegistroEntradas[[#This Row],[Data da Competência]]="",0,YEAR(TbRegistroEntradas[[#This Row],[Data da Competência]]))</f>
        <v>2019</v>
      </c>
      <c r="M215" s="53">
        <f>IF(TbRegistroEntradas[[#This Row],[Data do Caixa Previsto]]="",0,MONTH(TbRegistroEntradas[[#This Row],[Data do Caixa Previsto]]))</f>
        <v>5</v>
      </c>
      <c r="N215" s="53">
        <f>IF(TbRegistroEntradas[[#This Row],[Data do Caixa Previsto]]="",0,YEAR(TbRegistroEntradas[[#This Row],[Data do Caixa Previsto]]))</f>
        <v>2019</v>
      </c>
      <c r="O215" s="53" t="str">
        <f ca="1">IF(AND(TbRegistroEntradas[[#This Row],[Data do Caixa Previsto]]&lt;TODAY(),TbRegistroEntradas[[#This Row],[Data do Caixa Realizado]]=""),"Vencida","Não Vencida")</f>
        <v>Não Vencida</v>
      </c>
      <c r="P215" s="53" t="str">
        <f>IF(TbRegistroEntradas[[#This Row],[Data da Competência]]=TbRegistroEntradas[[#This Row],[Data do Caixa Previsto]],"Vista","Prazo")</f>
        <v>Prazo</v>
      </c>
      <c r="Q215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216" spans="2:17" x14ac:dyDescent="0.3">
      <c r="B216" s="8">
        <v>43626.576857263979</v>
      </c>
      <c r="C216" s="8">
        <v>43590</v>
      </c>
      <c r="D216" s="8">
        <v>43626.576857263979</v>
      </c>
      <c r="E216" t="s">
        <v>27</v>
      </c>
      <c r="F216" t="s">
        <v>36</v>
      </c>
      <c r="G216" t="s">
        <v>272</v>
      </c>
      <c r="H216" s="14">
        <v>4505</v>
      </c>
      <c r="I216">
        <f>IF(TbRegistroEntradas[[#This Row],[Data do Caixa Realizado]]="",0,MONTH(TbRegistroEntradas[[#This Row],[Data do Caixa Realizado]]))</f>
        <v>6</v>
      </c>
      <c r="J216">
        <f>IF(TbRegistroEntradas[[#This Row],[Data do Caixa Realizado]]="",0,YEAR(TbRegistroEntradas[[#This Row],[Data do Caixa Realizado]]))</f>
        <v>2019</v>
      </c>
      <c r="K216">
        <f>IF(TbRegistroEntradas[[#This Row],[Data da Competência]]="",0,MONTH(TbRegistroEntradas[[#This Row],[Data da Competência]]))</f>
        <v>5</v>
      </c>
      <c r="L216">
        <f>IF(TbRegistroEntradas[[#This Row],[Data da Competência]]="",0,YEAR(TbRegistroEntradas[[#This Row],[Data da Competência]]))</f>
        <v>2019</v>
      </c>
      <c r="M216" s="53">
        <f>IF(TbRegistroEntradas[[#This Row],[Data do Caixa Previsto]]="",0,MONTH(TbRegistroEntradas[[#This Row],[Data do Caixa Previsto]]))</f>
        <v>6</v>
      </c>
      <c r="N216" s="53">
        <f>IF(TbRegistroEntradas[[#This Row],[Data do Caixa Previsto]]="",0,YEAR(TbRegistroEntradas[[#This Row],[Data do Caixa Previsto]]))</f>
        <v>2019</v>
      </c>
      <c r="O216" s="53" t="str">
        <f ca="1">IF(AND(TbRegistroEntradas[[#This Row],[Data do Caixa Previsto]]&lt;TODAY(),TbRegistroEntradas[[#This Row],[Data do Caixa Realizado]]=""),"Vencida","Não Vencida")</f>
        <v>Não Vencida</v>
      </c>
      <c r="P216" s="53" t="str">
        <f>IF(TbRegistroEntradas[[#This Row],[Data da Competência]]=TbRegistroEntradas[[#This Row],[Data do Caixa Previsto]],"Vista","Prazo")</f>
        <v>Prazo</v>
      </c>
      <c r="Q216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217" spans="2:17" x14ac:dyDescent="0.3">
      <c r="B217" s="8">
        <v>43624.539951944804</v>
      </c>
      <c r="C217" s="8">
        <v>43592</v>
      </c>
      <c r="D217" s="8">
        <v>43609.115059144882</v>
      </c>
      <c r="E217" t="s">
        <v>27</v>
      </c>
      <c r="F217" t="s">
        <v>36</v>
      </c>
      <c r="G217" t="s">
        <v>273</v>
      </c>
      <c r="H217" s="14">
        <v>343</v>
      </c>
      <c r="I217">
        <f>IF(TbRegistroEntradas[[#This Row],[Data do Caixa Realizado]]="",0,MONTH(TbRegistroEntradas[[#This Row],[Data do Caixa Realizado]]))</f>
        <v>6</v>
      </c>
      <c r="J217">
        <f>IF(TbRegistroEntradas[[#This Row],[Data do Caixa Realizado]]="",0,YEAR(TbRegistroEntradas[[#This Row],[Data do Caixa Realizado]]))</f>
        <v>2019</v>
      </c>
      <c r="K217">
        <f>IF(TbRegistroEntradas[[#This Row],[Data da Competência]]="",0,MONTH(TbRegistroEntradas[[#This Row],[Data da Competência]]))</f>
        <v>5</v>
      </c>
      <c r="L217">
        <f>IF(TbRegistroEntradas[[#This Row],[Data da Competência]]="",0,YEAR(TbRegistroEntradas[[#This Row],[Data da Competência]]))</f>
        <v>2019</v>
      </c>
      <c r="M217" s="53">
        <f>IF(TbRegistroEntradas[[#This Row],[Data do Caixa Previsto]]="",0,MONTH(TbRegistroEntradas[[#This Row],[Data do Caixa Previsto]]))</f>
        <v>5</v>
      </c>
      <c r="N217" s="53">
        <f>IF(TbRegistroEntradas[[#This Row],[Data do Caixa Previsto]]="",0,YEAR(TbRegistroEntradas[[#This Row],[Data do Caixa Previsto]]))</f>
        <v>2019</v>
      </c>
      <c r="O217" s="53" t="str">
        <f ca="1">IF(AND(TbRegistroEntradas[[#This Row],[Data do Caixa Previsto]]&lt;TODAY(),TbRegistroEntradas[[#This Row],[Data do Caixa Realizado]]=""),"Vencida","Não Vencida")</f>
        <v>Não Vencida</v>
      </c>
      <c r="P217" s="53" t="str">
        <f>IF(TbRegistroEntradas[[#This Row],[Data da Competência]]=TbRegistroEntradas[[#This Row],[Data do Caixa Previsto]],"Vista","Prazo")</f>
        <v>Prazo</v>
      </c>
      <c r="Q217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15.424892799921508</v>
      </c>
    </row>
    <row r="218" spans="2:17" x14ac:dyDescent="0.3">
      <c r="B218" s="8">
        <v>43603.679990785502</v>
      </c>
      <c r="C218" s="8">
        <v>43593</v>
      </c>
      <c r="D218" s="8">
        <v>43603.679990785502</v>
      </c>
      <c r="E218" t="s">
        <v>27</v>
      </c>
      <c r="F218" t="s">
        <v>34</v>
      </c>
      <c r="G218" t="s">
        <v>274</v>
      </c>
      <c r="H218" s="14">
        <v>4510</v>
      </c>
      <c r="I218">
        <f>IF(TbRegistroEntradas[[#This Row],[Data do Caixa Realizado]]="",0,MONTH(TbRegistroEntradas[[#This Row],[Data do Caixa Realizado]]))</f>
        <v>5</v>
      </c>
      <c r="J218">
        <f>IF(TbRegistroEntradas[[#This Row],[Data do Caixa Realizado]]="",0,YEAR(TbRegistroEntradas[[#This Row],[Data do Caixa Realizado]]))</f>
        <v>2019</v>
      </c>
      <c r="K218">
        <f>IF(TbRegistroEntradas[[#This Row],[Data da Competência]]="",0,MONTH(TbRegistroEntradas[[#This Row],[Data da Competência]]))</f>
        <v>5</v>
      </c>
      <c r="L218">
        <f>IF(TbRegistroEntradas[[#This Row],[Data da Competência]]="",0,YEAR(TbRegistroEntradas[[#This Row],[Data da Competência]]))</f>
        <v>2019</v>
      </c>
      <c r="M218" s="53">
        <f>IF(TbRegistroEntradas[[#This Row],[Data do Caixa Previsto]]="",0,MONTH(TbRegistroEntradas[[#This Row],[Data do Caixa Previsto]]))</f>
        <v>5</v>
      </c>
      <c r="N218" s="53">
        <f>IF(TbRegistroEntradas[[#This Row],[Data do Caixa Previsto]]="",0,YEAR(TbRegistroEntradas[[#This Row],[Data do Caixa Previsto]]))</f>
        <v>2019</v>
      </c>
      <c r="O218" s="53" t="str">
        <f ca="1">IF(AND(TbRegistroEntradas[[#This Row],[Data do Caixa Previsto]]&lt;TODAY(),TbRegistroEntradas[[#This Row],[Data do Caixa Realizado]]=""),"Vencida","Não Vencida")</f>
        <v>Não Vencida</v>
      </c>
      <c r="P218" s="53" t="str">
        <f>IF(TbRegistroEntradas[[#This Row],[Data da Competência]]=TbRegistroEntradas[[#This Row],[Data do Caixa Previsto]],"Vista","Prazo")</f>
        <v>Prazo</v>
      </c>
      <c r="Q218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219" spans="2:17" x14ac:dyDescent="0.3">
      <c r="B219" s="8" t="s">
        <v>70</v>
      </c>
      <c r="C219" s="8">
        <v>43597</v>
      </c>
      <c r="D219" s="8">
        <v>43605.396059977378</v>
      </c>
      <c r="E219" t="s">
        <v>27</v>
      </c>
      <c r="F219" t="s">
        <v>36</v>
      </c>
      <c r="G219" t="s">
        <v>275</v>
      </c>
      <c r="H219" s="14">
        <v>667</v>
      </c>
      <c r="I219">
        <f>IF(TbRegistroEntradas[[#This Row],[Data do Caixa Realizado]]="",0,MONTH(TbRegistroEntradas[[#This Row],[Data do Caixa Realizado]]))</f>
        <v>0</v>
      </c>
      <c r="J219">
        <f>IF(TbRegistroEntradas[[#This Row],[Data do Caixa Realizado]]="",0,YEAR(TbRegistroEntradas[[#This Row],[Data do Caixa Realizado]]))</f>
        <v>0</v>
      </c>
      <c r="K219">
        <f>IF(TbRegistroEntradas[[#This Row],[Data da Competência]]="",0,MONTH(TbRegistroEntradas[[#This Row],[Data da Competência]]))</f>
        <v>5</v>
      </c>
      <c r="L219">
        <f>IF(TbRegistroEntradas[[#This Row],[Data da Competência]]="",0,YEAR(TbRegistroEntradas[[#This Row],[Data da Competência]]))</f>
        <v>2019</v>
      </c>
      <c r="M219" s="53">
        <f>IF(TbRegistroEntradas[[#This Row],[Data do Caixa Previsto]]="",0,MONTH(TbRegistroEntradas[[#This Row],[Data do Caixa Previsto]]))</f>
        <v>5</v>
      </c>
      <c r="N219" s="53">
        <f>IF(TbRegistroEntradas[[#This Row],[Data do Caixa Previsto]]="",0,YEAR(TbRegistroEntradas[[#This Row],[Data do Caixa Previsto]]))</f>
        <v>2019</v>
      </c>
      <c r="O219" s="53" t="str">
        <f ca="1">IF(AND(TbRegistroEntradas[[#This Row],[Data do Caixa Previsto]]&lt;TODAY(),TbRegistroEntradas[[#This Row],[Data do Caixa Realizado]]=""),"Vencida","Não Vencida")</f>
        <v>Vencida</v>
      </c>
      <c r="P219" s="53" t="str">
        <f>IF(TbRegistroEntradas[[#This Row],[Data da Competência]]=TbRegistroEntradas[[#This Row],[Data do Caixa Previsto]],"Vista","Prazo")</f>
        <v>Prazo</v>
      </c>
      <c r="Q219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2003.6039400226218</v>
      </c>
    </row>
    <row r="220" spans="2:17" x14ac:dyDescent="0.3">
      <c r="B220" s="8">
        <v>43631.169319753048</v>
      </c>
      <c r="C220" s="8">
        <v>43600</v>
      </c>
      <c r="D220" s="8">
        <v>43631.169319753048</v>
      </c>
      <c r="E220" t="s">
        <v>27</v>
      </c>
      <c r="F220" t="s">
        <v>36</v>
      </c>
      <c r="G220" t="s">
        <v>276</v>
      </c>
      <c r="H220" s="14">
        <v>1006</v>
      </c>
      <c r="I220">
        <f>IF(TbRegistroEntradas[[#This Row],[Data do Caixa Realizado]]="",0,MONTH(TbRegistroEntradas[[#This Row],[Data do Caixa Realizado]]))</f>
        <v>6</v>
      </c>
      <c r="J220">
        <f>IF(TbRegistroEntradas[[#This Row],[Data do Caixa Realizado]]="",0,YEAR(TbRegistroEntradas[[#This Row],[Data do Caixa Realizado]]))</f>
        <v>2019</v>
      </c>
      <c r="K220">
        <f>IF(TbRegistroEntradas[[#This Row],[Data da Competência]]="",0,MONTH(TbRegistroEntradas[[#This Row],[Data da Competência]]))</f>
        <v>5</v>
      </c>
      <c r="L220">
        <f>IF(TbRegistroEntradas[[#This Row],[Data da Competência]]="",0,YEAR(TbRegistroEntradas[[#This Row],[Data da Competência]]))</f>
        <v>2019</v>
      </c>
      <c r="M220" s="53">
        <f>IF(TbRegistroEntradas[[#This Row],[Data do Caixa Previsto]]="",0,MONTH(TbRegistroEntradas[[#This Row],[Data do Caixa Previsto]]))</f>
        <v>6</v>
      </c>
      <c r="N220" s="53">
        <f>IF(TbRegistroEntradas[[#This Row],[Data do Caixa Previsto]]="",0,YEAR(TbRegistroEntradas[[#This Row],[Data do Caixa Previsto]]))</f>
        <v>2019</v>
      </c>
      <c r="O220" s="53" t="str">
        <f ca="1">IF(AND(TbRegistroEntradas[[#This Row],[Data do Caixa Previsto]]&lt;TODAY(),TbRegistroEntradas[[#This Row],[Data do Caixa Realizado]]=""),"Vencida","Não Vencida")</f>
        <v>Não Vencida</v>
      </c>
      <c r="P220" s="53" t="str">
        <f>IF(TbRegistroEntradas[[#This Row],[Data da Competência]]=TbRegistroEntradas[[#This Row],[Data do Caixa Previsto]],"Vista","Prazo")</f>
        <v>Prazo</v>
      </c>
      <c r="Q220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221" spans="2:17" x14ac:dyDescent="0.3">
      <c r="B221" s="8">
        <v>43686.642670066765</v>
      </c>
      <c r="C221" s="8">
        <v>43604</v>
      </c>
      <c r="D221" s="8">
        <v>43635.878098777197</v>
      </c>
      <c r="E221" t="s">
        <v>27</v>
      </c>
      <c r="F221" t="s">
        <v>37</v>
      </c>
      <c r="G221" t="s">
        <v>277</v>
      </c>
      <c r="H221" s="14">
        <v>1071</v>
      </c>
      <c r="I221">
        <f>IF(TbRegistroEntradas[[#This Row],[Data do Caixa Realizado]]="",0,MONTH(TbRegistroEntradas[[#This Row],[Data do Caixa Realizado]]))</f>
        <v>8</v>
      </c>
      <c r="J221">
        <f>IF(TbRegistroEntradas[[#This Row],[Data do Caixa Realizado]]="",0,YEAR(TbRegistroEntradas[[#This Row],[Data do Caixa Realizado]]))</f>
        <v>2019</v>
      </c>
      <c r="K221">
        <f>IF(TbRegistroEntradas[[#This Row],[Data da Competência]]="",0,MONTH(TbRegistroEntradas[[#This Row],[Data da Competência]]))</f>
        <v>5</v>
      </c>
      <c r="L221">
        <f>IF(TbRegistroEntradas[[#This Row],[Data da Competência]]="",0,YEAR(TbRegistroEntradas[[#This Row],[Data da Competência]]))</f>
        <v>2019</v>
      </c>
      <c r="M221" s="53">
        <f>IF(TbRegistroEntradas[[#This Row],[Data do Caixa Previsto]]="",0,MONTH(TbRegistroEntradas[[#This Row],[Data do Caixa Previsto]]))</f>
        <v>6</v>
      </c>
      <c r="N221" s="53">
        <f>IF(TbRegistroEntradas[[#This Row],[Data do Caixa Previsto]]="",0,YEAR(TbRegistroEntradas[[#This Row],[Data do Caixa Previsto]]))</f>
        <v>2019</v>
      </c>
      <c r="O221" s="53" t="str">
        <f ca="1">IF(AND(TbRegistroEntradas[[#This Row],[Data do Caixa Previsto]]&lt;TODAY(),TbRegistroEntradas[[#This Row],[Data do Caixa Realizado]]=""),"Vencida","Não Vencida")</f>
        <v>Não Vencida</v>
      </c>
      <c r="P221" s="53" t="str">
        <f>IF(TbRegistroEntradas[[#This Row],[Data da Competência]]=TbRegistroEntradas[[#This Row],[Data do Caixa Previsto]],"Vista","Prazo")</f>
        <v>Prazo</v>
      </c>
      <c r="Q221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50.764571289568266</v>
      </c>
    </row>
    <row r="222" spans="2:17" x14ac:dyDescent="0.3">
      <c r="B222" s="8">
        <v>43630.288414733965</v>
      </c>
      <c r="C222" s="8">
        <v>43609</v>
      </c>
      <c r="D222" s="8">
        <v>43630.288414733965</v>
      </c>
      <c r="E222" t="s">
        <v>27</v>
      </c>
      <c r="F222" t="s">
        <v>35</v>
      </c>
      <c r="G222" t="s">
        <v>278</v>
      </c>
      <c r="H222" s="14">
        <v>2194</v>
      </c>
      <c r="I222">
        <f>IF(TbRegistroEntradas[[#This Row],[Data do Caixa Realizado]]="",0,MONTH(TbRegistroEntradas[[#This Row],[Data do Caixa Realizado]]))</f>
        <v>6</v>
      </c>
      <c r="J222">
        <f>IF(TbRegistroEntradas[[#This Row],[Data do Caixa Realizado]]="",0,YEAR(TbRegistroEntradas[[#This Row],[Data do Caixa Realizado]]))</f>
        <v>2019</v>
      </c>
      <c r="K222">
        <f>IF(TbRegistroEntradas[[#This Row],[Data da Competência]]="",0,MONTH(TbRegistroEntradas[[#This Row],[Data da Competência]]))</f>
        <v>5</v>
      </c>
      <c r="L222">
        <f>IF(TbRegistroEntradas[[#This Row],[Data da Competência]]="",0,YEAR(TbRegistroEntradas[[#This Row],[Data da Competência]]))</f>
        <v>2019</v>
      </c>
      <c r="M222" s="53">
        <f>IF(TbRegistroEntradas[[#This Row],[Data do Caixa Previsto]]="",0,MONTH(TbRegistroEntradas[[#This Row],[Data do Caixa Previsto]]))</f>
        <v>6</v>
      </c>
      <c r="N222" s="53">
        <f>IF(TbRegistroEntradas[[#This Row],[Data do Caixa Previsto]]="",0,YEAR(TbRegistroEntradas[[#This Row],[Data do Caixa Previsto]]))</f>
        <v>2019</v>
      </c>
      <c r="O222" s="53" t="str">
        <f ca="1">IF(AND(TbRegistroEntradas[[#This Row],[Data do Caixa Previsto]]&lt;TODAY(),TbRegistroEntradas[[#This Row],[Data do Caixa Realizado]]=""),"Vencida","Não Vencida")</f>
        <v>Não Vencida</v>
      </c>
      <c r="P222" s="53" t="str">
        <f>IF(TbRegistroEntradas[[#This Row],[Data da Competência]]=TbRegistroEntradas[[#This Row],[Data do Caixa Previsto]],"Vista","Prazo")</f>
        <v>Prazo</v>
      </c>
      <c r="Q222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223" spans="2:17" x14ac:dyDescent="0.3">
      <c r="B223" s="8">
        <v>43611.846709635254</v>
      </c>
      <c r="C223" s="8">
        <v>43611</v>
      </c>
      <c r="D223" s="8">
        <v>43611.846709635254</v>
      </c>
      <c r="E223" t="s">
        <v>27</v>
      </c>
      <c r="F223" t="s">
        <v>36</v>
      </c>
      <c r="G223" t="s">
        <v>279</v>
      </c>
      <c r="H223" s="14">
        <v>2531</v>
      </c>
      <c r="I223">
        <f>IF(TbRegistroEntradas[[#This Row],[Data do Caixa Realizado]]="",0,MONTH(TbRegistroEntradas[[#This Row],[Data do Caixa Realizado]]))</f>
        <v>5</v>
      </c>
      <c r="J223">
        <f>IF(TbRegistroEntradas[[#This Row],[Data do Caixa Realizado]]="",0,YEAR(TbRegistroEntradas[[#This Row],[Data do Caixa Realizado]]))</f>
        <v>2019</v>
      </c>
      <c r="K223">
        <f>IF(TbRegistroEntradas[[#This Row],[Data da Competência]]="",0,MONTH(TbRegistroEntradas[[#This Row],[Data da Competência]]))</f>
        <v>5</v>
      </c>
      <c r="L223">
        <f>IF(TbRegistroEntradas[[#This Row],[Data da Competência]]="",0,YEAR(TbRegistroEntradas[[#This Row],[Data da Competência]]))</f>
        <v>2019</v>
      </c>
      <c r="M223" s="53">
        <f>IF(TbRegistroEntradas[[#This Row],[Data do Caixa Previsto]]="",0,MONTH(TbRegistroEntradas[[#This Row],[Data do Caixa Previsto]]))</f>
        <v>5</v>
      </c>
      <c r="N223" s="53">
        <f>IF(TbRegistroEntradas[[#This Row],[Data do Caixa Previsto]]="",0,YEAR(TbRegistroEntradas[[#This Row],[Data do Caixa Previsto]]))</f>
        <v>2019</v>
      </c>
      <c r="O223" s="53" t="str">
        <f ca="1">IF(AND(TbRegistroEntradas[[#This Row],[Data do Caixa Previsto]]&lt;TODAY(),TbRegistroEntradas[[#This Row],[Data do Caixa Realizado]]=""),"Vencida","Não Vencida")</f>
        <v>Não Vencida</v>
      </c>
      <c r="P223" s="53" t="str">
        <f>IF(TbRegistroEntradas[[#This Row],[Data da Competência]]=TbRegistroEntradas[[#This Row],[Data do Caixa Previsto]],"Vista","Prazo")</f>
        <v>Prazo</v>
      </c>
      <c r="Q223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224" spans="2:17" x14ac:dyDescent="0.3">
      <c r="B224" s="8">
        <v>43708.684678024969</v>
      </c>
      <c r="C224" s="8">
        <v>43614</v>
      </c>
      <c r="D224" s="8">
        <v>43655.218374780801</v>
      </c>
      <c r="E224" t="s">
        <v>27</v>
      </c>
      <c r="F224" t="s">
        <v>34</v>
      </c>
      <c r="G224" t="s">
        <v>280</v>
      </c>
      <c r="H224" s="14">
        <v>657</v>
      </c>
      <c r="I224">
        <f>IF(TbRegistroEntradas[[#This Row],[Data do Caixa Realizado]]="",0,MONTH(TbRegistroEntradas[[#This Row],[Data do Caixa Realizado]]))</f>
        <v>8</v>
      </c>
      <c r="J224">
        <f>IF(TbRegistroEntradas[[#This Row],[Data do Caixa Realizado]]="",0,YEAR(TbRegistroEntradas[[#This Row],[Data do Caixa Realizado]]))</f>
        <v>2019</v>
      </c>
      <c r="K224">
        <f>IF(TbRegistroEntradas[[#This Row],[Data da Competência]]="",0,MONTH(TbRegistroEntradas[[#This Row],[Data da Competência]]))</f>
        <v>5</v>
      </c>
      <c r="L224">
        <f>IF(TbRegistroEntradas[[#This Row],[Data da Competência]]="",0,YEAR(TbRegistroEntradas[[#This Row],[Data da Competência]]))</f>
        <v>2019</v>
      </c>
      <c r="M224" s="53">
        <f>IF(TbRegistroEntradas[[#This Row],[Data do Caixa Previsto]]="",0,MONTH(TbRegistroEntradas[[#This Row],[Data do Caixa Previsto]]))</f>
        <v>7</v>
      </c>
      <c r="N224" s="53">
        <f>IF(TbRegistroEntradas[[#This Row],[Data do Caixa Previsto]]="",0,YEAR(TbRegistroEntradas[[#This Row],[Data do Caixa Previsto]]))</f>
        <v>2019</v>
      </c>
      <c r="O224" s="53" t="str">
        <f ca="1">IF(AND(TbRegistroEntradas[[#This Row],[Data do Caixa Previsto]]&lt;TODAY(),TbRegistroEntradas[[#This Row],[Data do Caixa Realizado]]=""),"Vencida","Não Vencida")</f>
        <v>Não Vencida</v>
      </c>
      <c r="P224" s="53" t="str">
        <f>IF(TbRegistroEntradas[[#This Row],[Data da Competência]]=TbRegistroEntradas[[#This Row],[Data do Caixa Previsto]],"Vista","Prazo")</f>
        <v>Prazo</v>
      </c>
      <c r="Q224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53.466303244167648</v>
      </c>
    </row>
    <row r="225" spans="2:17" x14ac:dyDescent="0.3">
      <c r="B225" s="8">
        <v>43648.175451286195</v>
      </c>
      <c r="C225" s="8">
        <v>43615</v>
      </c>
      <c r="D225" s="8">
        <v>43648.175451286195</v>
      </c>
      <c r="E225" t="s">
        <v>27</v>
      </c>
      <c r="F225" t="s">
        <v>33</v>
      </c>
      <c r="G225" t="s">
        <v>281</v>
      </c>
      <c r="H225" s="14">
        <v>4535</v>
      </c>
      <c r="I225">
        <f>IF(TbRegistroEntradas[[#This Row],[Data do Caixa Realizado]]="",0,MONTH(TbRegistroEntradas[[#This Row],[Data do Caixa Realizado]]))</f>
        <v>7</v>
      </c>
      <c r="J225">
        <f>IF(TbRegistroEntradas[[#This Row],[Data do Caixa Realizado]]="",0,YEAR(TbRegistroEntradas[[#This Row],[Data do Caixa Realizado]]))</f>
        <v>2019</v>
      </c>
      <c r="K225">
        <f>IF(TbRegistroEntradas[[#This Row],[Data da Competência]]="",0,MONTH(TbRegistroEntradas[[#This Row],[Data da Competência]]))</f>
        <v>5</v>
      </c>
      <c r="L225">
        <f>IF(TbRegistroEntradas[[#This Row],[Data da Competência]]="",0,YEAR(TbRegistroEntradas[[#This Row],[Data da Competência]]))</f>
        <v>2019</v>
      </c>
      <c r="M225" s="53">
        <f>IF(TbRegistroEntradas[[#This Row],[Data do Caixa Previsto]]="",0,MONTH(TbRegistroEntradas[[#This Row],[Data do Caixa Previsto]]))</f>
        <v>7</v>
      </c>
      <c r="N225" s="53">
        <f>IF(TbRegistroEntradas[[#This Row],[Data do Caixa Previsto]]="",0,YEAR(TbRegistroEntradas[[#This Row],[Data do Caixa Previsto]]))</f>
        <v>2019</v>
      </c>
      <c r="O225" s="53" t="str">
        <f ca="1">IF(AND(TbRegistroEntradas[[#This Row],[Data do Caixa Previsto]]&lt;TODAY(),TbRegistroEntradas[[#This Row],[Data do Caixa Realizado]]=""),"Vencida","Não Vencida")</f>
        <v>Não Vencida</v>
      </c>
      <c r="P225" s="53" t="str">
        <f>IF(TbRegistroEntradas[[#This Row],[Data da Competência]]=TbRegistroEntradas[[#This Row],[Data do Caixa Previsto]],"Vista","Prazo")</f>
        <v>Prazo</v>
      </c>
      <c r="Q225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226" spans="2:17" x14ac:dyDescent="0.3">
      <c r="B226" s="8">
        <v>43667.504857748412</v>
      </c>
      <c r="C226" s="8">
        <v>43620</v>
      </c>
      <c r="D226" s="8">
        <v>43641.616865332398</v>
      </c>
      <c r="E226" t="s">
        <v>27</v>
      </c>
      <c r="F226" t="s">
        <v>36</v>
      </c>
      <c r="G226" t="s">
        <v>282</v>
      </c>
      <c r="H226" s="14">
        <v>1848</v>
      </c>
      <c r="I226">
        <f>IF(TbRegistroEntradas[[#This Row],[Data do Caixa Realizado]]="",0,MONTH(TbRegistroEntradas[[#This Row],[Data do Caixa Realizado]]))</f>
        <v>7</v>
      </c>
      <c r="J226">
        <f>IF(TbRegistroEntradas[[#This Row],[Data do Caixa Realizado]]="",0,YEAR(TbRegistroEntradas[[#This Row],[Data do Caixa Realizado]]))</f>
        <v>2019</v>
      </c>
      <c r="K226">
        <f>IF(TbRegistroEntradas[[#This Row],[Data da Competência]]="",0,MONTH(TbRegistroEntradas[[#This Row],[Data da Competência]]))</f>
        <v>6</v>
      </c>
      <c r="L226">
        <f>IF(TbRegistroEntradas[[#This Row],[Data da Competência]]="",0,YEAR(TbRegistroEntradas[[#This Row],[Data da Competência]]))</f>
        <v>2019</v>
      </c>
      <c r="M226" s="53">
        <f>IF(TbRegistroEntradas[[#This Row],[Data do Caixa Previsto]]="",0,MONTH(TbRegistroEntradas[[#This Row],[Data do Caixa Previsto]]))</f>
        <v>6</v>
      </c>
      <c r="N226" s="53">
        <f>IF(TbRegistroEntradas[[#This Row],[Data do Caixa Previsto]]="",0,YEAR(TbRegistroEntradas[[#This Row],[Data do Caixa Previsto]]))</f>
        <v>2019</v>
      </c>
      <c r="O226" s="53" t="str">
        <f ca="1">IF(AND(TbRegistroEntradas[[#This Row],[Data do Caixa Previsto]]&lt;TODAY(),TbRegistroEntradas[[#This Row],[Data do Caixa Realizado]]=""),"Vencida","Não Vencida")</f>
        <v>Não Vencida</v>
      </c>
      <c r="P226" s="53" t="str">
        <f>IF(TbRegistroEntradas[[#This Row],[Data da Competência]]=TbRegistroEntradas[[#This Row],[Data do Caixa Previsto]],"Vista","Prazo")</f>
        <v>Prazo</v>
      </c>
      <c r="Q226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25.887992416013731</v>
      </c>
    </row>
    <row r="227" spans="2:17" x14ac:dyDescent="0.3">
      <c r="B227" s="8">
        <v>43633.202763509209</v>
      </c>
      <c r="C227" s="8">
        <v>43625</v>
      </c>
      <c r="D227" s="8">
        <v>43632.847420047961</v>
      </c>
      <c r="E227" t="s">
        <v>27</v>
      </c>
      <c r="F227" t="s">
        <v>36</v>
      </c>
      <c r="G227" t="s">
        <v>283</v>
      </c>
      <c r="H227" s="14">
        <v>191</v>
      </c>
      <c r="I227">
        <f>IF(TbRegistroEntradas[[#This Row],[Data do Caixa Realizado]]="",0,MONTH(TbRegistroEntradas[[#This Row],[Data do Caixa Realizado]]))</f>
        <v>6</v>
      </c>
      <c r="J227">
        <f>IF(TbRegistroEntradas[[#This Row],[Data do Caixa Realizado]]="",0,YEAR(TbRegistroEntradas[[#This Row],[Data do Caixa Realizado]]))</f>
        <v>2019</v>
      </c>
      <c r="K227">
        <f>IF(TbRegistroEntradas[[#This Row],[Data da Competência]]="",0,MONTH(TbRegistroEntradas[[#This Row],[Data da Competência]]))</f>
        <v>6</v>
      </c>
      <c r="L227">
        <f>IF(TbRegistroEntradas[[#This Row],[Data da Competência]]="",0,YEAR(TbRegistroEntradas[[#This Row],[Data da Competência]]))</f>
        <v>2019</v>
      </c>
      <c r="M227" s="53">
        <f>IF(TbRegistroEntradas[[#This Row],[Data do Caixa Previsto]]="",0,MONTH(TbRegistroEntradas[[#This Row],[Data do Caixa Previsto]]))</f>
        <v>6</v>
      </c>
      <c r="N227" s="53">
        <f>IF(TbRegistroEntradas[[#This Row],[Data do Caixa Previsto]]="",0,YEAR(TbRegistroEntradas[[#This Row],[Data do Caixa Previsto]]))</f>
        <v>2019</v>
      </c>
      <c r="O227" s="53" t="str">
        <f ca="1">IF(AND(TbRegistroEntradas[[#This Row],[Data do Caixa Previsto]]&lt;TODAY(),TbRegistroEntradas[[#This Row],[Data do Caixa Realizado]]=""),"Vencida","Não Vencida")</f>
        <v>Não Vencida</v>
      </c>
      <c r="P227" s="53" t="str">
        <f>IF(TbRegistroEntradas[[#This Row],[Data da Competência]]=TbRegistroEntradas[[#This Row],[Data do Caixa Previsto]],"Vista","Prazo")</f>
        <v>Prazo</v>
      </c>
      <c r="Q227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0.3553434612476849</v>
      </c>
    </row>
    <row r="228" spans="2:17" x14ac:dyDescent="0.3">
      <c r="B228" s="8" t="s">
        <v>70</v>
      </c>
      <c r="C228" s="8">
        <v>43629</v>
      </c>
      <c r="D228" s="8">
        <v>43668.924870501287</v>
      </c>
      <c r="E228" t="s">
        <v>27</v>
      </c>
      <c r="F228" t="s">
        <v>33</v>
      </c>
      <c r="G228" t="s">
        <v>284</v>
      </c>
      <c r="H228" s="14">
        <v>508</v>
      </c>
      <c r="I228">
        <f>IF(TbRegistroEntradas[[#This Row],[Data do Caixa Realizado]]="",0,MONTH(TbRegistroEntradas[[#This Row],[Data do Caixa Realizado]]))</f>
        <v>0</v>
      </c>
      <c r="J228">
        <f>IF(TbRegistroEntradas[[#This Row],[Data do Caixa Realizado]]="",0,YEAR(TbRegistroEntradas[[#This Row],[Data do Caixa Realizado]]))</f>
        <v>0</v>
      </c>
      <c r="K228">
        <f>IF(TbRegistroEntradas[[#This Row],[Data da Competência]]="",0,MONTH(TbRegistroEntradas[[#This Row],[Data da Competência]]))</f>
        <v>6</v>
      </c>
      <c r="L228">
        <f>IF(TbRegistroEntradas[[#This Row],[Data da Competência]]="",0,YEAR(TbRegistroEntradas[[#This Row],[Data da Competência]]))</f>
        <v>2019</v>
      </c>
      <c r="M228" s="53">
        <f>IF(TbRegistroEntradas[[#This Row],[Data do Caixa Previsto]]="",0,MONTH(TbRegistroEntradas[[#This Row],[Data do Caixa Previsto]]))</f>
        <v>7</v>
      </c>
      <c r="N228" s="53">
        <f>IF(TbRegistroEntradas[[#This Row],[Data do Caixa Previsto]]="",0,YEAR(TbRegistroEntradas[[#This Row],[Data do Caixa Previsto]]))</f>
        <v>2019</v>
      </c>
      <c r="O228" s="53" t="str">
        <f ca="1">IF(AND(TbRegistroEntradas[[#This Row],[Data do Caixa Previsto]]&lt;TODAY(),TbRegistroEntradas[[#This Row],[Data do Caixa Realizado]]=""),"Vencida","Não Vencida")</f>
        <v>Vencida</v>
      </c>
      <c r="P228" s="53" t="str">
        <f>IF(TbRegistroEntradas[[#This Row],[Data da Competência]]=TbRegistroEntradas[[#This Row],[Data do Caixa Previsto]],"Vista","Prazo")</f>
        <v>Prazo</v>
      </c>
      <c r="Q228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1940.0751294987131</v>
      </c>
    </row>
    <row r="229" spans="2:17" x14ac:dyDescent="0.3">
      <c r="B229" s="8">
        <v>43663.604642253973</v>
      </c>
      <c r="C229" s="8">
        <v>43631</v>
      </c>
      <c r="D229" s="8">
        <v>43663.604642253973</v>
      </c>
      <c r="E229" t="s">
        <v>27</v>
      </c>
      <c r="F229" t="s">
        <v>35</v>
      </c>
      <c r="G229" t="s">
        <v>285</v>
      </c>
      <c r="H229" s="14">
        <v>1482</v>
      </c>
      <c r="I229">
        <f>IF(TbRegistroEntradas[[#This Row],[Data do Caixa Realizado]]="",0,MONTH(TbRegistroEntradas[[#This Row],[Data do Caixa Realizado]]))</f>
        <v>7</v>
      </c>
      <c r="J229">
        <f>IF(TbRegistroEntradas[[#This Row],[Data do Caixa Realizado]]="",0,YEAR(TbRegistroEntradas[[#This Row],[Data do Caixa Realizado]]))</f>
        <v>2019</v>
      </c>
      <c r="K229">
        <f>IF(TbRegistroEntradas[[#This Row],[Data da Competência]]="",0,MONTH(TbRegistroEntradas[[#This Row],[Data da Competência]]))</f>
        <v>6</v>
      </c>
      <c r="L229">
        <f>IF(TbRegistroEntradas[[#This Row],[Data da Competência]]="",0,YEAR(TbRegistroEntradas[[#This Row],[Data da Competência]]))</f>
        <v>2019</v>
      </c>
      <c r="M229" s="53">
        <f>IF(TbRegistroEntradas[[#This Row],[Data do Caixa Previsto]]="",0,MONTH(TbRegistroEntradas[[#This Row],[Data do Caixa Previsto]]))</f>
        <v>7</v>
      </c>
      <c r="N229" s="53">
        <f>IF(TbRegistroEntradas[[#This Row],[Data do Caixa Previsto]]="",0,YEAR(TbRegistroEntradas[[#This Row],[Data do Caixa Previsto]]))</f>
        <v>2019</v>
      </c>
      <c r="O229" s="53" t="str">
        <f ca="1">IF(AND(TbRegistroEntradas[[#This Row],[Data do Caixa Previsto]]&lt;TODAY(),TbRegistroEntradas[[#This Row],[Data do Caixa Realizado]]=""),"Vencida","Não Vencida")</f>
        <v>Não Vencida</v>
      </c>
      <c r="P229" s="53" t="str">
        <f>IF(TbRegistroEntradas[[#This Row],[Data da Competência]]=TbRegistroEntradas[[#This Row],[Data do Caixa Previsto]],"Vista","Prazo")</f>
        <v>Prazo</v>
      </c>
      <c r="Q229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230" spans="2:17" x14ac:dyDescent="0.3">
      <c r="B230" s="8">
        <v>43647.603244851816</v>
      </c>
      <c r="C230" s="8">
        <v>43632</v>
      </c>
      <c r="D230" s="8">
        <v>43647.603244851816</v>
      </c>
      <c r="E230" t="s">
        <v>27</v>
      </c>
      <c r="F230" t="s">
        <v>37</v>
      </c>
      <c r="G230" s="22" t="s">
        <v>286</v>
      </c>
      <c r="H230" s="14">
        <v>555</v>
      </c>
      <c r="I230">
        <f>IF(TbRegistroEntradas[[#This Row],[Data do Caixa Realizado]]="",0,MONTH(TbRegistroEntradas[[#This Row],[Data do Caixa Realizado]]))</f>
        <v>7</v>
      </c>
      <c r="J230">
        <f>IF(TbRegistroEntradas[[#This Row],[Data do Caixa Realizado]]="",0,YEAR(TbRegistroEntradas[[#This Row],[Data do Caixa Realizado]]))</f>
        <v>2019</v>
      </c>
      <c r="K230">
        <f>IF(TbRegistroEntradas[[#This Row],[Data da Competência]]="",0,MONTH(TbRegistroEntradas[[#This Row],[Data da Competência]]))</f>
        <v>6</v>
      </c>
      <c r="L230">
        <f>IF(TbRegistroEntradas[[#This Row],[Data da Competência]]="",0,YEAR(TbRegistroEntradas[[#This Row],[Data da Competência]]))</f>
        <v>2019</v>
      </c>
      <c r="M230" s="53">
        <f>IF(TbRegistroEntradas[[#This Row],[Data do Caixa Previsto]]="",0,MONTH(TbRegistroEntradas[[#This Row],[Data do Caixa Previsto]]))</f>
        <v>7</v>
      </c>
      <c r="N230" s="53">
        <f>IF(TbRegistroEntradas[[#This Row],[Data do Caixa Previsto]]="",0,YEAR(TbRegistroEntradas[[#This Row],[Data do Caixa Previsto]]))</f>
        <v>2019</v>
      </c>
      <c r="O230" s="53" t="str">
        <f ca="1">IF(AND(TbRegistroEntradas[[#This Row],[Data do Caixa Previsto]]&lt;TODAY(),TbRegistroEntradas[[#This Row],[Data do Caixa Realizado]]=""),"Vencida","Não Vencida")</f>
        <v>Não Vencida</v>
      </c>
      <c r="P230" s="53" t="str">
        <f>IF(TbRegistroEntradas[[#This Row],[Data da Competência]]=TbRegistroEntradas[[#This Row],[Data do Caixa Previsto]],"Vista","Prazo")</f>
        <v>Prazo</v>
      </c>
      <c r="Q230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231" spans="2:17" x14ac:dyDescent="0.3">
      <c r="B231" s="8">
        <v>43741.143740040614</v>
      </c>
      <c r="C231" s="8">
        <v>43636</v>
      </c>
      <c r="D231" s="8">
        <v>43687.570970311433</v>
      </c>
      <c r="E231" t="s">
        <v>27</v>
      </c>
      <c r="F231" t="s">
        <v>33</v>
      </c>
      <c r="G231" t="s">
        <v>287</v>
      </c>
      <c r="H231" s="14">
        <v>1906</v>
      </c>
      <c r="I231">
        <f>IF(TbRegistroEntradas[[#This Row],[Data do Caixa Realizado]]="",0,MONTH(TbRegistroEntradas[[#This Row],[Data do Caixa Realizado]]))</f>
        <v>10</v>
      </c>
      <c r="J231">
        <f>IF(TbRegistroEntradas[[#This Row],[Data do Caixa Realizado]]="",0,YEAR(TbRegistroEntradas[[#This Row],[Data do Caixa Realizado]]))</f>
        <v>2019</v>
      </c>
      <c r="K231">
        <f>IF(TbRegistroEntradas[[#This Row],[Data da Competência]]="",0,MONTH(TbRegistroEntradas[[#This Row],[Data da Competência]]))</f>
        <v>6</v>
      </c>
      <c r="L231">
        <f>IF(TbRegistroEntradas[[#This Row],[Data da Competência]]="",0,YEAR(TbRegistroEntradas[[#This Row],[Data da Competência]]))</f>
        <v>2019</v>
      </c>
      <c r="M231" s="53">
        <f>IF(TbRegistroEntradas[[#This Row],[Data do Caixa Previsto]]="",0,MONTH(TbRegistroEntradas[[#This Row],[Data do Caixa Previsto]]))</f>
        <v>8</v>
      </c>
      <c r="N231" s="53">
        <f>IF(TbRegistroEntradas[[#This Row],[Data do Caixa Previsto]]="",0,YEAR(TbRegistroEntradas[[#This Row],[Data do Caixa Previsto]]))</f>
        <v>2019</v>
      </c>
      <c r="O231" s="53" t="str">
        <f ca="1">IF(AND(TbRegistroEntradas[[#This Row],[Data do Caixa Previsto]]&lt;TODAY(),TbRegistroEntradas[[#This Row],[Data do Caixa Realizado]]=""),"Vencida","Não Vencida")</f>
        <v>Não Vencida</v>
      </c>
      <c r="P231" s="53" t="str">
        <f>IF(TbRegistroEntradas[[#This Row],[Data da Competência]]=TbRegistroEntradas[[#This Row],[Data do Caixa Previsto]],"Vista","Prazo")</f>
        <v>Prazo</v>
      </c>
      <c r="Q231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53.572769729180436</v>
      </c>
    </row>
    <row r="232" spans="2:17" x14ac:dyDescent="0.3">
      <c r="B232" s="8">
        <v>43645.269692137255</v>
      </c>
      <c r="C232" s="8">
        <v>43641</v>
      </c>
      <c r="D232" s="8">
        <v>43645.269692137255</v>
      </c>
      <c r="E232" t="s">
        <v>27</v>
      </c>
      <c r="F232" t="s">
        <v>33</v>
      </c>
      <c r="G232" t="s">
        <v>288</v>
      </c>
      <c r="H232" s="14">
        <v>450</v>
      </c>
      <c r="I232">
        <f>IF(TbRegistroEntradas[[#This Row],[Data do Caixa Realizado]]="",0,MONTH(TbRegistroEntradas[[#This Row],[Data do Caixa Realizado]]))</f>
        <v>6</v>
      </c>
      <c r="J232">
        <f>IF(TbRegistroEntradas[[#This Row],[Data do Caixa Realizado]]="",0,YEAR(TbRegistroEntradas[[#This Row],[Data do Caixa Realizado]]))</f>
        <v>2019</v>
      </c>
      <c r="K232">
        <f>IF(TbRegistroEntradas[[#This Row],[Data da Competência]]="",0,MONTH(TbRegistroEntradas[[#This Row],[Data da Competência]]))</f>
        <v>6</v>
      </c>
      <c r="L232">
        <f>IF(TbRegistroEntradas[[#This Row],[Data da Competência]]="",0,YEAR(TbRegistroEntradas[[#This Row],[Data da Competência]]))</f>
        <v>2019</v>
      </c>
      <c r="M232" s="53">
        <f>IF(TbRegistroEntradas[[#This Row],[Data do Caixa Previsto]]="",0,MONTH(TbRegistroEntradas[[#This Row],[Data do Caixa Previsto]]))</f>
        <v>6</v>
      </c>
      <c r="N232" s="53">
        <f>IF(TbRegistroEntradas[[#This Row],[Data do Caixa Previsto]]="",0,YEAR(TbRegistroEntradas[[#This Row],[Data do Caixa Previsto]]))</f>
        <v>2019</v>
      </c>
      <c r="O232" s="53" t="str">
        <f ca="1">IF(AND(TbRegistroEntradas[[#This Row],[Data do Caixa Previsto]]&lt;TODAY(),TbRegistroEntradas[[#This Row],[Data do Caixa Realizado]]=""),"Vencida","Não Vencida")</f>
        <v>Não Vencida</v>
      </c>
      <c r="P232" s="53" t="str">
        <f>IF(TbRegistroEntradas[[#This Row],[Data da Competência]]=TbRegistroEntradas[[#This Row],[Data do Caixa Previsto]],"Vista","Prazo")</f>
        <v>Prazo</v>
      </c>
      <c r="Q232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233" spans="2:17" x14ac:dyDescent="0.3">
      <c r="B233" s="8" t="s">
        <v>70</v>
      </c>
      <c r="C233" s="8">
        <v>43644</v>
      </c>
      <c r="D233" s="8">
        <v>43662.268601302756</v>
      </c>
      <c r="E233" t="s">
        <v>27</v>
      </c>
      <c r="F233" t="s">
        <v>36</v>
      </c>
      <c r="G233" t="s">
        <v>289</v>
      </c>
      <c r="H233" s="14">
        <v>1479</v>
      </c>
      <c r="I233">
        <f>IF(TbRegistroEntradas[[#This Row],[Data do Caixa Realizado]]="",0,MONTH(TbRegistroEntradas[[#This Row],[Data do Caixa Realizado]]))</f>
        <v>0</v>
      </c>
      <c r="J233">
        <f>IF(TbRegistroEntradas[[#This Row],[Data do Caixa Realizado]]="",0,YEAR(TbRegistroEntradas[[#This Row],[Data do Caixa Realizado]]))</f>
        <v>0</v>
      </c>
      <c r="K233">
        <f>IF(TbRegistroEntradas[[#This Row],[Data da Competência]]="",0,MONTH(TbRegistroEntradas[[#This Row],[Data da Competência]]))</f>
        <v>6</v>
      </c>
      <c r="L233">
        <f>IF(TbRegistroEntradas[[#This Row],[Data da Competência]]="",0,YEAR(TbRegistroEntradas[[#This Row],[Data da Competência]]))</f>
        <v>2019</v>
      </c>
      <c r="M233" s="53">
        <f>IF(TbRegistroEntradas[[#This Row],[Data do Caixa Previsto]]="",0,MONTH(TbRegistroEntradas[[#This Row],[Data do Caixa Previsto]]))</f>
        <v>7</v>
      </c>
      <c r="N233" s="53">
        <f>IF(TbRegistroEntradas[[#This Row],[Data do Caixa Previsto]]="",0,YEAR(TbRegistroEntradas[[#This Row],[Data do Caixa Previsto]]))</f>
        <v>2019</v>
      </c>
      <c r="O233" s="53" t="str">
        <f ca="1">IF(AND(TbRegistroEntradas[[#This Row],[Data do Caixa Previsto]]&lt;TODAY(),TbRegistroEntradas[[#This Row],[Data do Caixa Realizado]]=""),"Vencida","Não Vencida")</f>
        <v>Vencida</v>
      </c>
      <c r="P233" s="53" t="str">
        <f>IF(TbRegistroEntradas[[#This Row],[Data da Competência]]=TbRegistroEntradas[[#This Row],[Data do Caixa Previsto]],"Vista","Prazo")</f>
        <v>Prazo</v>
      </c>
      <c r="Q233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1946.731398697244</v>
      </c>
    </row>
    <row r="234" spans="2:17" x14ac:dyDescent="0.3">
      <c r="B234" s="8">
        <v>43727.35674683658</v>
      </c>
      <c r="C234" s="8">
        <v>43645</v>
      </c>
      <c r="D234" s="8">
        <v>43647.81451187309</v>
      </c>
      <c r="E234" t="s">
        <v>27</v>
      </c>
      <c r="F234" t="s">
        <v>36</v>
      </c>
      <c r="G234" t="s">
        <v>290</v>
      </c>
      <c r="H234" s="14">
        <v>3446</v>
      </c>
      <c r="I234">
        <f>IF(TbRegistroEntradas[[#This Row],[Data do Caixa Realizado]]="",0,MONTH(TbRegistroEntradas[[#This Row],[Data do Caixa Realizado]]))</f>
        <v>9</v>
      </c>
      <c r="J234">
        <f>IF(TbRegistroEntradas[[#This Row],[Data do Caixa Realizado]]="",0,YEAR(TbRegistroEntradas[[#This Row],[Data do Caixa Realizado]]))</f>
        <v>2019</v>
      </c>
      <c r="K234">
        <f>IF(TbRegistroEntradas[[#This Row],[Data da Competência]]="",0,MONTH(TbRegistroEntradas[[#This Row],[Data da Competência]]))</f>
        <v>6</v>
      </c>
      <c r="L234">
        <f>IF(TbRegistroEntradas[[#This Row],[Data da Competência]]="",0,YEAR(TbRegistroEntradas[[#This Row],[Data da Competência]]))</f>
        <v>2019</v>
      </c>
      <c r="M234" s="53">
        <f>IF(TbRegistroEntradas[[#This Row],[Data do Caixa Previsto]]="",0,MONTH(TbRegistroEntradas[[#This Row],[Data do Caixa Previsto]]))</f>
        <v>7</v>
      </c>
      <c r="N234" s="53">
        <f>IF(TbRegistroEntradas[[#This Row],[Data do Caixa Previsto]]="",0,YEAR(TbRegistroEntradas[[#This Row],[Data do Caixa Previsto]]))</f>
        <v>2019</v>
      </c>
      <c r="O234" s="53" t="str">
        <f ca="1">IF(AND(TbRegistroEntradas[[#This Row],[Data do Caixa Previsto]]&lt;TODAY(),TbRegistroEntradas[[#This Row],[Data do Caixa Realizado]]=""),"Vencida","Não Vencida")</f>
        <v>Não Vencida</v>
      </c>
      <c r="P234" s="53" t="str">
        <f>IF(TbRegistroEntradas[[#This Row],[Data da Competência]]=TbRegistroEntradas[[#This Row],[Data do Caixa Previsto]],"Vista","Prazo")</f>
        <v>Prazo</v>
      </c>
      <c r="Q234" s="53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79.542234963490046</v>
      </c>
    </row>
  </sheetData>
  <dataValidations count="2">
    <dataValidation type="list" allowBlank="1" showInputMessage="1" showErrorMessage="1" sqref="E4:E234" xr:uid="{FB4051CA-CF7F-4040-AE55-C4626FAFE3A2}">
      <formula1>PCEntradasN1_Nível_1</formula1>
    </dataValidation>
    <dataValidation type="list" allowBlank="1" showInputMessage="1" showErrorMessage="1" sqref="F4:F234" xr:uid="{8183EF4B-448B-47A0-87C5-58EB400D83B4}">
      <formula1>OFFSET(PCEntradasN2_Nível_2,MATCH(E4,PCEntradasN2_Nível_1,0)-1,0,COUNTIF(PCEntradasN2_Nível_1,E4))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32"/>
  <sheetViews>
    <sheetView showGridLines="0" workbookViewId="0">
      <pane ySplit="3" topLeftCell="A40" activePane="bottomLeft" state="frozen"/>
      <selection pane="bottomLeft" activeCell="I1" sqref="I1:XFD1048576"/>
    </sheetView>
  </sheetViews>
  <sheetFormatPr defaultColWidth="0" defaultRowHeight="14.4" x14ac:dyDescent="0.3"/>
  <cols>
    <col min="1" max="1" width="2.88671875" customWidth="1"/>
    <col min="2" max="4" width="15.77734375" customWidth="1"/>
    <col min="5" max="5" width="25.77734375" customWidth="1"/>
    <col min="6" max="6" width="39.109375" customWidth="1"/>
    <col min="7" max="7" width="47.88671875" customWidth="1"/>
    <col min="8" max="8" width="25.77734375" style="14" customWidth="1"/>
    <col min="9" max="10" width="10.5546875" hidden="1"/>
    <col min="11" max="12" width="14.33203125" hidden="1"/>
    <col min="13" max="13" width="10" hidden="1"/>
    <col min="14" max="14" width="11.33203125" hidden="1"/>
    <col min="15" max="15" width="11" hidden="1"/>
    <col min="16" max="16384" width="5.77734375" hidden="1"/>
  </cols>
  <sheetData>
    <row r="1" spans="1:15" ht="39.9" customHeight="1" x14ac:dyDescent="0.3">
      <c r="A1" t="s">
        <v>6</v>
      </c>
      <c r="B1" s="3" t="s">
        <v>1</v>
      </c>
      <c r="C1" s="1"/>
      <c r="D1" s="1"/>
      <c r="E1" s="1"/>
      <c r="F1" s="1"/>
      <c r="G1" s="1"/>
      <c r="H1" s="12" t="s">
        <v>13</v>
      </c>
    </row>
    <row r="2" spans="1:15" ht="39.9" customHeight="1" x14ac:dyDescent="0.3">
      <c r="B2" s="5"/>
      <c r="C2" s="5"/>
      <c r="D2" s="5"/>
      <c r="E2" s="5"/>
      <c r="F2" s="5"/>
      <c r="G2" s="5"/>
      <c r="H2" s="13"/>
      <c r="I2" s="55"/>
      <c r="J2" s="55"/>
      <c r="K2" s="55"/>
      <c r="L2" s="55"/>
    </row>
    <row r="3" spans="1:15" ht="52.2" customHeight="1" thickBot="1" x14ac:dyDescent="0.35">
      <c r="B3" s="19" t="s">
        <v>53</v>
      </c>
      <c r="C3" s="19" t="s">
        <v>54</v>
      </c>
      <c r="D3" s="19" t="s">
        <v>55</v>
      </c>
      <c r="E3" s="20" t="s">
        <v>56</v>
      </c>
      <c r="F3" s="20" t="s">
        <v>57</v>
      </c>
      <c r="G3" s="20" t="s">
        <v>58</v>
      </c>
      <c r="H3" s="21" t="s">
        <v>59</v>
      </c>
      <c r="I3" s="20" t="s">
        <v>538</v>
      </c>
      <c r="J3" s="20" t="s">
        <v>539</v>
      </c>
      <c r="K3" s="20" t="s">
        <v>540</v>
      </c>
      <c r="L3" s="20" t="s">
        <v>541</v>
      </c>
      <c r="M3" s="20" t="s">
        <v>550</v>
      </c>
      <c r="N3" s="20" t="s">
        <v>549</v>
      </c>
      <c r="O3" s="20" t="s">
        <v>610</v>
      </c>
    </row>
    <row r="4" spans="1:15" ht="20.100000000000001" customHeight="1" x14ac:dyDescent="0.3">
      <c r="B4" s="8">
        <v>43015.689099944895</v>
      </c>
      <c r="C4" s="8">
        <v>42957</v>
      </c>
      <c r="D4" s="8">
        <v>43015.689099944895</v>
      </c>
      <c r="E4" t="s">
        <v>39</v>
      </c>
      <c r="F4" t="s">
        <v>37</v>
      </c>
      <c r="G4" t="s">
        <v>291</v>
      </c>
      <c r="H4" s="14">
        <v>4021</v>
      </c>
      <c r="I4">
        <f>IF(TbRegistroSaídas[[#This Row],[Data do Caixa Realizado]]="",0,MONTH(TbRegistroSaídas[[#This Row],[Data do Caixa Realizado]]))</f>
        <v>10</v>
      </c>
      <c r="J4">
        <f>IF(TbRegistroSaídas[[#This Row],[Data do Caixa Realizado]]="",0,YEAR(TbRegistroSaídas[[#This Row],[Data do Caixa Realizado]]))</f>
        <v>2017</v>
      </c>
      <c r="K4">
        <f>IF(TbRegistroSaídas[[#This Row],[Data da Competência]]="",0,MONTH(TbRegistroSaídas[[#This Row],[Data da Competência]]))</f>
        <v>8</v>
      </c>
      <c r="L4">
        <f>IF(TbRegistroSaídas[[#This Row],[Data da Competência]]="",0,YEAR(TbRegistroSaídas[[#This Row],[Data da Competência]]))</f>
        <v>2017</v>
      </c>
      <c r="M4" s="53">
        <f>IF(TbRegistroSaídas[[#This Row],[Data do Caixa Previsto]]="",0,MONTH(TbRegistroSaídas[[#This Row],[Data do Caixa Previsto]]))</f>
        <v>10</v>
      </c>
      <c r="N4" s="53">
        <f>IF(TbRegistroSaídas[[#This Row],[Data do Caixa Previsto]]="",0,YEAR(TbRegistroSaídas[[#This Row],[Data do Caixa Previsto]]))</f>
        <v>2017</v>
      </c>
      <c r="O4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5" spans="1:15" ht="20.100000000000001" customHeight="1" x14ac:dyDescent="0.3">
      <c r="B5" s="8">
        <v>42995.83151981284</v>
      </c>
      <c r="C5" s="8">
        <v>42960</v>
      </c>
      <c r="D5" s="8">
        <v>42995.83151981284</v>
      </c>
      <c r="E5" t="s">
        <v>39</v>
      </c>
      <c r="F5" t="s">
        <v>46</v>
      </c>
      <c r="G5" t="s">
        <v>292</v>
      </c>
      <c r="H5" s="14">
        <v>651</v>
      </c>
      <c r="I5">
        <f>IF(TbRegistroSaídas[[#This Row],[Data do Caixa Realizado]]="",0,MONTH(TbRegistroSaídas[[#This Row],[Data do Caixa Realizado]]))</f>
        <v>9</v>
      </c>
      <c r="J5">
        <f>IF(TbRegistroSaídas[[#This Row],[Data do Caixa Realizado]]="",0,YEAR(TbRegistroSaídas[[#This Row],[Data do Caixa Realizado]]))</f>
        <v>2017</v>
      </c>
      <c r="K5">
        <f>IF(TbRegistroSaídas[[#This Row],[Data da Competência]]="",0,MONTH(TbRegistroSaídas[[#This Row],[Data da Competência]]))</f>
        <v>8</v>
      </c>
      <c r="L5">
        <f>IF(TbRegistroSaídas[[#This Row],[Data da Competência]]="",0,YEAR(TbRegistroSaídas[[#This Row],[Data da Competência]]))</f>
        <v>2017</v>
      </c>
      <c r="M5" s="53">
        <f>IF(TbRegistroSaídas[[#This Row],[Data do Caixa Previsto]]="",0,MONTH(TbRegistroSaídas[[#This Row],[Data do Caixa Previsto]]))</f>
        <v>9</v>
      </c>
      <c r="N5" s="53">
        <f>IF(TbRegistroSaídas[[#This Row],[Data do Caixa Previsto]]="",0,YEAR(TbRegistroSaídas[[#This Row],[Data do Caixa Previsto]]))</f>
        <v>2017</v>
      </c>
      <c r="O5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6" spans="1:15" ht="20.100000000000001" customHeight="1" x14ac:dyDescent="0.3">
      <c r="B6" s="8">
        <v>42983.821864178215</v>
      </c>
      <c r="C6" s="8">
        <v>42965</v>
      </c>
      <c r="D6" s="8">
        <v>42983.821864178215</v>
      </c>
      <c r="E6" t="s">
        <v>39</v>
      </c>
      <c r="F6" t="s">
        <v>37</v>
      </c>
      <c r="G6" t="s">
        <v>293</v>
      </c>
      <c r="H6" s="14">
        <v>131</v>
      </c>
      <c r="I6">
        <f>IF(TbRegistroSaídas[[#This Row],[Data do Caixa Realizado]]="",0,MONTH(TbRegistroSaídas[[#This Row],[Data do Caixa Realizado]]))</f>
        <v>9</v>
      </c>
      <c r="J6">
        <f>IF(TbRegistroSaídas[[#This Row],[Data do Caixa Realizado]]="",0,YEAR(TbRegistroSaídas[[#This Row],[Data do Caixa Realizado]]))</f>
        <v>2017</v>
      </c>
      <c r="K6">
        <f>IF(TbRegistroSaídas[[#This Row],[Data da Competência]]="",0,MONTH(TbRegistroSaídas[[#This Row],[Data da Competência]]))</f>
        <v>8</v>
      </c>
      <c r="L6">
        <f>IF(TbRegistroSaídas[[#This Row],[Data da Competência]]="",0,YEAR(TbRegistroSaídas[[#This Row],[Data da Competência]]))</f>
        <v>2017</v>
      </c>
      <c r="M6" s="53">
        <f>IF(TbRegistroSaídas[[#This Row],[Data do Caixa Previsto]]="",0,MONTH(TbRegistroSaídas[[#This Row],[Data do Caixa Previsto]]))</f>
        <v>9</v>
      </c>
      <c r="N6" s="53">
        <f>IF(TbRegistroSaídas[[#This Row],[Data do Caixa Previsto]]="",0,YEAR(TbRegistroSaídas[[#This Row],[Data do Caixa Previsto]]))</f>
        <v>2017</v>
      </c>
      <c r="O6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7" spans="1:15" ht="20.100000000000001" customHeight="1" x14ac:dyDescent="0.3">
      <c r="B7" s="8">
        <v>43004.400385589004</v>
      </c>
      <c r="C7" s="8">
        <v>42970</v>
      </c>
      <c r="D7" s="8">
        <v>43004.400385589004</v>
      </c>
      <c r="E7" t="s">
        <v>39</v>
      </c>
      <c r="F7" t="s">
        <v>37</v>
      </c>
      <c r="G7" t="s">
        <v>294</v>
      </c>
      <c r="H7" s="14">
        <v>803</v>
      </c>
      <c r="I7">
        <f>IF(TbRegistroSaídas[[#This Row],[Data do Caixa Realizado]]="",0,MONTH(TbRegistroSaídas[[#This Row],[Data do Caixa Realizado]]))</f>
        <v>9</v>
      </c>
      <c r="J7">
        <f>IF(TbRegistroSaídas[[#This Row],[Data do Caixa Realizado]]="",0,YEAR(TbRegistroSaídas[[#This Row],[Data do Caixa Realizado]]))</f>
        <v>2017</v>
      </c>
      <c r="K7">
        <f>IF(TbRegistroSaídas[[#This Row],[Data da Competência]]="",0,MONTH(TbRegistroSaídas[[#This Row],[Data da Competência]]))</f>
        <v>8</v>
      </c>
      <c r="L7">
        <f>IF(TbRegistroSaídas[[#This Row],[Data da Competência]]="",0,YEAR(TbRegistroSaídas[[#This Row],[Data da Competência]]))</f>
        <v>2017</v>
      </c>
      <c r="M7" s="53">
        <f>IF(TbRegistroSaídas[[#This Row],[Data do Caixa Previsto]]="",0,MONTH(TbRegistroSaídas[[#This Row],[Data do Caixa Previsto]]))</f>
        <v>9</v>
      </c>
      <c r="N7" s="53">
        <f>IF(TbRegistroSaídas[[#This Row],[Data do Caixa Previsto]]="",0,YEAR(TbRegistroSaídas[[#This Row],[Data do Caixa Previsto]]))</f>
        <v>2017</v>
      </c>
      <c r="O7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8" spans="1:15" ht="20.100000000000001" customHeight="1" x14ac:dyDescent="0.3">
      <c r="B8" s="8">
        <v>43002.058153394239</v>
      </c>
      <c r="C8" s="8">
        <v>42971</v>
      </c>
      <c r="D8" s="8">
        <v>43002.058153394239</v>
      </c>
      <c r="E8" t="s">
        <v>39</v>
      </c>
      <c r="F8" t="s">
        <v>46</v>
      </c>
      <c r="G8" t="s">
        <v>295</v>
      </c>
      <c r="H8" s="14">
        <v>4460</v>
      </c>
      <c r="I8">
        <f>IF(TbRegistroSaídas[[#This Row],[Data do Caixa Realizado]]="",0,MONTH(TbRegistroSaídas[[#This Row],[Data do Caixa Realizado]]))</f>
        <v>9</v>
      </c>
      <c r="J8">
        <f>IF(TbRegistroSaídas[[#This Row],[Data do Caixa Realizado]]="",0,YEAR(TbRegistroSaídas[[#This Row],[Data do Caixa Realizado]]))</f>
        <v>2017</v>
      </c>
      <c r="K8">
        <f>IF(TbRegistroSaídas[[#This Row],[Data da Competência]]="",0,MONTH(TbRegistroSaídas[[#This Row],[Data da Competência]]))</f>
        <v>8</v>
      </c>
      <c r="L8">
        <f>IF(TbRegistroSaídas[[#This Row],[Data da Competência]]="",0,YEAR(TbRegistroSaídas[[#This Row],[Data da Competência]]))</f>
        <v>2017</v>
      </c>
      <c r="M8" s="53">
        <f>IF(TbRegistroSaídas[[#This Row],[Data do Caixa Previsto]]="",0,MONTH(TbRegistroSaídas[[#This Row],[Data do Caixa Previsto]]))</f>
        <v>9</v>
      </c>
      <c r="N8" s="53">
        <f>IF(TbRegistroSaídas[[#This Row],[Data do Caixa Previsto]]="",0,YEAR(TbRegistroSaídas[[#This Row],[Data do Caixa Previsto]]))</f>
        <v>2017</v>
      </c>
      <c r="O8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9" spans="1:15" ht="20.100000000000001" customHeight="1" x14ac:dyDescent="0.3">
      <c r="B9" s="8">
        <v>42980.358785052202</v>
      </c>
      <c r="C9" s="8">
        <v>42972</v>
      </c>
      <c r="D9" s="8">
        <v>42980.358785052202</v>
      </c>
      <c r="E9" t="s">
        <v>39</v>
      </c>
      <c r="F9" t="s">
        <v>34</v>
      </c>
      <c r="G9" t="s">
        <v>296</v>
      </c>
      <c r="H9" s="14">
        <v>299</v>
      </c>
      <c r="I9">
        <f>IF(TbRegistroSaídas[[#This Row],[Data do Caixa Realizado]]="",0,MONTH(TbRegistroSaídas[[#This Row],[Data do Caixa Realizado]]))</f>
        <v>9</v>
      </c>
      <c r="J9">
        <f>IF(TbRegistroSaídas[[#This Row],[Data do Caixa Realizado]]="",0,YEAR(TbRegistroSaídas[[#This Row],[Data do Caixa Realizado]]))</f>
        <v>2017</v>
      </c>
      <c r="K9">
        <f>IF(TbRegistroSaídas[[#This Row],[Data da Competência]]="",0,MONTH(TbRegistroSaídas[[#This Row],[Data da Competência]]))</f>
        <v>8</v>
      </c>
      <c r="L9">
        <f>IF(TbRegistroSaídas[[#This Row],[Data da Competência]]="",0,YEAR(TbRegistroSaídas[[#This Row],[Data da Competência]]))</f>
        <v>2017</v>
      </c>
      <c r="M9" s="53">
        <f>IF(TbRegistroSaídas[[#This Row],[Data do Caixa Previsto]]="",0,MONTH(TbRegistroSaídas[[#This Row],[Data do Caixa Previsto]]))</f>
        <v>9</v>
      </c>
      <c r="N9" s="53">
        <f>IF(TbRegistroSaídas[[#This Row],[Data do Caixa Previsto]]="",0,YEAR(TbRegistroSaídas[[#This Row],[Data do Caixa Previsto]]))</f>
        <v>2017</v>
      </c>
      <c r="O9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0" spans="1:15" ht="20.100000000000001" customHeight="1" x14ac:dyDescent="0.3">
      <c r="B10" s="8">
        <v>43014.597468673528</v>
      </c>
      <c r="C10" s="8">
        <v>42976</v>
      </c>
      <c r="D10" s="8">
        <v>43014.597468673528</v>
      </c>
      <c r="E10" t="s">
        <v>39</v>
      </c>
      <c r="F10" t="s">
        <v>46</v>
      </c>
      <c r="G10" t="s">
        <v>297</v>
      </c>
      <c r="H10" s="14">
        <v>618</v>
      </c>
      <c r="I10">
        <f>IF(TbRegistroSaídas[[#This Row],[Data do Caixa Realizado]]="",0,MONTH(TbRegistroSaídas[[#This Row],[Data do Caixa Realizado]]))</f>
        <v>10</v>
      </c>
      <c r="J10">
        <f>IF(TbRegistroSaídas[[#This Row],[Data do Caixa Realizado]]="",0,YEAR(TbRegistroSaídas[[#This Row],[Data do Caixa Realizado]]))</f>
        <v>2017</v>
      </c>
      <c r="K10">
        <f>IF(TbRegistroSaídas[[#This Row],[Data da Competência]]="",0,MONTH(TbRegistroSaídas[[#This Row],[Data da Competência]]))</f>
        <v>8</v>
      </c>
      <c r="L10">
        <f>IF(TbRegistroSaídas[[#This Row],[Data da Competência]]="",0,YEAR(TbRegistroSaídas[[#This Row],[Data da Competência]]))</f>
        <v>2017</v>
      </c>
      <c r="M10" s="53">
        <f>IF(TbRegistroSaídas[[#This Row],[Data do Caixa Previsto]]="",0,MONTH(TbRegistroSaídas[[#This Row],[Data do Caixa Previsto]]))</f>
        <v>10</v>
      </c>
      <c r="N10" s="53">
        <f>IF(TbRegistroSaídas[[#This Row],[Data do Caixa Previsto]]="",0,YEAR(TbRegistroSaídas[[#This Row],[Data do Caixa Previsto]]))</f>
        <v>2017</v>
      </c>
      <c r="O10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1" spans="1:15" ht="20.100000000000001" customHeight="1" x14ac:dyDescent="0.3">
      <c r="B11" s="8">
        <v>42990.1117348099</v>
      </c>
      <c r="C11" s="8">
        <v>42979</v>
      </c>
      <c r="D11" s="8">
        <v>42980.556611132772</v>
      </c>
      <c r="E11" t="s">
        <v>39</v>
      </c>
      <c r="F11" t="s">
        <v>46</v>
      </c>
      <c r="G11" t="s">
        <v>117</v>
      </c>
      <c r="H11" s="14">
        <v>2505</v>
      </c>
      <c r="I11">
        <f>IF(TbRegistroSaídas[[#This Row],[Data do Caixa Realizado]]="",0,MONTH(TbRegistroSaídas[[#This Row],[Data do Caixa Realizado]]))</f>
        <v>9</v>
      </c>
      <c r="J11">
        <f>IF(TbRegistroSaídas[[#This Row],[Data do Caixa Realizado]]="",0,YEAR(TbRegistroSaídas[[#This Row],[Data do Caixa Realizado]]))</f>
        <v>2017</v>
      </c>
      <c r="K11">
        <f>IF(TbRegistroSaídas[[#This Row],[Data da Competência]]="",0,MONTH(TbRegistroSaídas[[#This Row],[Data da Competência]]))</f>
        <v>9</v>
      </c>
      <c r="L11">
        <f>IF(TbRegistroSaídas[[#This Row],[Data da Competência]]="",0,YEAR(TbRegistroSaídas[[#This Row],[Data da Competência]]))</f>
        <v>2017</v>
      </c>
      <c r="M11" s="53">
        <f>IF(TbRegistroSaídas[[#This Row],[Data do Caixa Previsto]]="",0,MONTH(TbRegistroSaídas[[#This Row],[Data do Caixa Previsto]]))</f>
        <v>9</v>
      </c>
      <c r="N11" s="53">
        <f>IF(TbRegistroSaídas[[#This Row],[Data do Caixa Previsto]]="",0,YEAR(TbRegistroSaídas[[#This Row],[Data do Caixa Previsto]]))</f>
        <v>2017</v>
      </c>
      <c r="O11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9.5551236771279946</v>
      </c>
    </row>
    <row r="12" spans="1:15" ht="20.100000000000001" customHeight="1" x14ac:dyDescent="0.3">
      <c r="B12" s="8">
        <v>42987.417576127409</v>
      </c>
      <c r="C12" s="8">
        <v>42982</v>
      </c>
      <c r="D12" s="8">
        <v>42987.417576127409</v>
      </c>
      <c r="E12" t="s">
        <v>39</v>
      </c>
      <c r="F12" t="s">
        <v>37</v>
      </c>
      <c r="G12" t="s">
        <v>298</v>
      </c>
      <c r="H12" s="14">
        <v>817</v>
      </c>
      <c r="I12">
        <f>IF(TbRegistroSaídas[[#This Row],[Data do Caixa Realizado]]="",0,MONTH(TbRegistroSaídas[[#This Row],[Data do Caixa Realizado]]))</f>
        <v>9</v>
      </c>
      <c r="J12">
        <f>IF(TbRegistroSaídas[[#This Row],[Data do Caixa Realizado]]="",0,YEAR(TbRegistroSaídas[[#This Row],[Data do Caixa Realizado]]))</f>
        <v>2017</v>
      </c>
      <c r="K12">
        <f>IF(TbRegistroSaídas[[#This Row],[Data da Competência]]="",0,MONTH(TbRegistroSaídas[[#This Row],[Data da Competência]]))</f>
        <v>9</v>
      </c>
      <c r="L12">
        <f>IF(TbRegistroSaídas[[#This Row],[Data da Competência]]="",0,YEAR(TbRegistroSaídas[[#This Row],[Data da Competência]]))</f>
        <v>2017</v>
      </c>
      <c r="M12" s="53">
        <f>IF(TbRegistroSaídas[[#This Row],[Data do Caixa Previsto]]="",0,MONTH(TbRegistroSaídas[[#This Row],[Data do Caixa Previsto]]))</f>
        <v>9</v>
      </c>
      <c r="N12" s="53">
        <f>IF(TbRegistroSaídas[[#This Row],[Data do Caixa Previsto]]="",0,YEAR(TbRegistroSaídas[[#This Row],[Data do Caixa Previsto]]))</f>
        <v>2017</v>
      </c>
      <c r="O12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3" spans="1:15" ht="20.100000000000001" customHeight="1" x14ac:dyDescent="0.3">
      <c r="B13" s="8" t="s">
        <v>70</v>
      </c>
      <c r="C13" s="8">
        <v>42984</v>
      </c>
      <c r="D13" s="8">
        <v>42984.703005901203</v>
      </c>
      <c r="E13" t="s">
        <v>39</v>
      </c>
      <c r="F13" t="s">
        <v>34</v>
      </c>
      <c r="G13" t="s">
        <v>299</v>
      </c>
      <c r="H13" s="14">
        <v>1565</v>
      </c>
      <c r="I13">
        <f>IF(TbRegistroSaídas[[#This Row],[Data do Caixa Realizado]]="",0,MONTH(TbRegistroSaídas[[#This Row],[Data do Caixa Realizado]]))</f>
        <v>0</v>
      </c>
      <c r="J13">
        <f>IF(TbRegistroSaídas[[#This Row],[Data do Caixa Realizado]]="",0,YEAR(TbRegistroSaídas[[#This Row],[Data do Caixa Realizado]]))</f>
        <v>0</v>
      </c>
      <c r="K13">
        <f>IF(TbRegistroSaídas[[#This Row],[Data da Competência]]="",0,MONTH(TbRegistroSaídas[[#This Row],[Data da Competência]]))</f>
        <v>9</v>
      </c>
      <c r="L13">
        <f>IF(TbRegistroSaídas[[#This Row],[Data da Competência]]="",0,YEAR(TbRegistroSaídas[[#This Row],[Data da Competência]]))</f>
        <v>2017</v>
      </c>
      <c r="M13" s="53">
        <f>IF(TbRegistroSaídas[[#This Row],[Data do Caixa Previsto]]="",0,MONTH(TbRegistroSaídas[[#This Row],[Data do Caixa Previsto]]))</f>
        <v>9</v>
      </c>
      <c r="N13" s="53">
        <f>IF(TbRegistroSaídas[[#This Row],[Data do Caixa Previsto]]="",0,YEAR(TbRegistroSaídas[[#This Row],[Data do Caixa Previsto]]))</f>
        <v>2017</v>
      </c>
      <c r="O13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2624.2969940987969</v>
      </c>
    </row>
    <row r="14" spans="1:15" ht="20.100000000000001" customHeight="1" x14ac:dyDescent="0.3">
      <c r="B14" s="8" t="s">
        <v>70</v>
      </c>
      <c r="C14" s="8">
        <v>42990</v>
      </c>
      <c r="D14" s="8">
        <v>43020.233591992961</v>
      </c>
      <c r="E14" t="s">
        <v>39</v>
      </c>
      <c r="F14" t="s">
        <v>35</v>
      </c>
      <c r="G14" t="s">
        <v>300</v>
      </c>
      <c r="H14" s="14">
        <v>1357</v>
      </c>
      <c r="I14">
        <f>IF(TbRegistroSaídas[[#This Row],[Data do Caixa Realizado]]="",0,MONTH(TbRegistroSaídas[[#This Row],[Data do Caixa Realizado]]))</f>
        <v>0</v>
      </c>
      <c r="J14">
        <f>IF(TbRegistroSaídas[[#This Row],[Data do Caixa Realizado]]="",0,YEAR(TbRegistroSaídas[[#This Row],[Data do Caixa Realizado]]))</f>
        <v>0</v>
      </c>
      <c r="K14">
        <f>IF(TbRegistroSaídas[[#This Row],[Data da Competência]]="",0,MONTH(TbRegistroSaídas[[#This Row],[Data da Competência]]))</f>
        <v>9</v>
      </c>
      <c r="L14">
        <f>IF(TbRegistroSaídas[[#This Row],[Data da Competência]]="",0,YEAR(TbRegistroSaídas[[#This Row],[Data da Competência]]))</f>
        <v>2017</v>
      </c>
      <c r="M14" s="53">
        <f>IF(TbRegistroSaídas[[#This Row],[Data do Caixa Previsto]]="",0,MONTH(TbRegistroSaídas[[#This Row],[Data do Caixa Previsto]]))</f>
        <v>10</v>
      </c>
      <c r="N14" s="53">
        <f>IF(TbRegistroSaídas[[#This Row],[Data do Caixa Previsto]]="",0,YEAR(TbRegistroSaídas[[#This Row],[Data do Caixa Previsto]]))</f>
        <v>2017</v>
      </c>
      <c r="O14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2588.766408007039</v>
      </c>
    </row>
    <row r="15" spans="1:15" ht="20.100000000000001" customHeight="1" x14ac:dyDescent="0.3">
      <c r="B15" s="8">
        <v>43025.32782899923</v>
      </c>
      <c r="C15" s="8">
        <v>42991</v>
      </c>
      <c r="D15" s="8">
        <v>43025.32782899923</v>
      </c>
      <c r="E15" t="s">
        <v>39</v>
      </c>
      <c r="F15" t="s">
        <v>35</v>
      </c>
      <c r="G15" t="s">
        <v>301</v>
      </c>
      <c r="H15" s="14">
        <v>4739</v>
      </c>
      <c r="I15">
        <f>IF(TbRegistroSaídas[[#This Row],[Data do Caixa Realizado]]="",0,MONTH(TbRegistroSaídas[[#This Row],[Data do Caixa Realizado]]))</f>
        <v>10</v>
      </c>
      <c r="J15">
        <f>IF(TbRegistroSaídas[[#This Row],[Data do Caixa Realizado]]="",0,YEAR(TbRegistroSaídas[[#This Row],[Data do Caixa Realizado]]))</f>
        <v>2017</v>
      </c>
      <c r="K15">
        <f>IF(TbRegistroSaídas[[#This Row],[Data da Competência]]="",0,MONTH(TbRegistroSaídas[[#This Row],[Data da Competência]]))</f>
        <v>9</v>
      </c>
      <c r="L15">
        <f>IF(TbRegistroSaídas[[#This Row],[Data da Competência]]="",0,YEAR(TbRegistroSaídas[[#This Row],[Data da Competência]]))</f>
        <v>2017</v>
      </c>
      <c r="M15" s="53">
        <f>IF(TbRegistroSaídas[[#This Row],[Data do Caixa Previsto]]="",0,MONTH(TbRegistroSaídas[[#This Row],[Data do Caixa Previsto]]))</f>
        <v>10</v>
      </c>
      <c r="N15" s="53">
        <f>IF(TbRegistroSaídas[[#This Row],[Data do Caixa Previsto]]="",0,YEAR(TbRegistroSaídas[[#This Row],[Data do Caixa Previsto]]))</f>
        <v>2017</v>
      </c>
      <c r="O15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6" spans="1:15" ht="20.100000000000001" customHeight="1" x14ac:dyDescent="0.3">
      <c r="B16" s="8">
        <v>43008.599150206064</v>
      </c>
      <c r="C16" s="8">
        <v>42992</v>
      </c>
      <c r="D16" s="8">
        <v>43008.599150206064</v>
      </c>
      <c r="E16" t="s">
        <v>39</v>
      </c>
      <c r="F16" t="s">
        <v>37</v>
      </c>
      <c r="G16" t="s">
        <v>302</v>
      </c>
      <c r="H16" s="14">
        <v>4675</v>
      </c>
      <c r="I16">
        <f>IF(TbRegistroSaídas[[#This Row],[Data do Caixa Realizado]]="",0,MONTH(TbRegistroSaídas[[#This Row],[Data do Caixa Realizado]]))</f>
        <v>9</v>
      </c>
      <c r="J16">
        <f>IF(TbRegistroSaídas[[#This Row],[Data do Caixa Realizado]]="",0,YEAR(TbRegistroSaídas[[#This Row],[Data do Caixa Realizado]]))</f>
        <v>2017</v>
      </c>
      <c r="K16">
        <f>IF(TbRegistroSaídas[[#This Row],[Data da Competência]]="",0,MONTH(TbRegistroSaídas[[#This Row],[Data da Competência]]))</f>
        <v>9</v>
      </c>
      <c r="L16">
        <f>IF(TbRegistroSaídas[[#This Row],[Data da Competência]]="",0,YEAR(TbRegistroSaídas[[#This Row],[Data da Competência]]))</f>
        <v>2017</v>
      </c>
      <c r="M16" s="53">
        <f>IF(TbRegistroSaídas[[#This Row],[Data do Caixa Previsto]]="",0,MONTH(TbRegistroSaídas[[#This Row],[Data do Caixa Previsto]]))</f>
        <v>9</v>
      </c>
      <c r="N16" s="53">
        <f>IF(TbRegistroSaídas[[#This Row],[Data do Caixa Previsto]]="",0,YEAR(TbRegistroSaídas[[#This Row],[Data do Caixa Previsto]]))</f>
        <v>2017</v>
      </c>
      <c r="O16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7" spans="2:15" ht="20.100000000000001" customHeight="1" x14ac:dyDescent="0.3">
      <c r="B17" s="8">
        <v>43004.132052173023</v>
      </c>
      <c r="C17" s="8">
        <v>42997</v>
      </c>
      <c r="D17" s="8">
        <v>43004.132052173023</v>
      </c>
      <c r="E17" t="s">
        <v>39</v>
      </c>
      <c r="F17" t="s">
        <v>46</v>
      </c>
      <c r="G17" t="s">
        <v>303</v>
      </c>
      <c r="H17" s="14">
        <v>1797</v>
      </c>
      <c r="I17">
        <f>IF(TbRegistroSaídas[[#This Row],[Data do Caixa Realizado]]="",0,MONTH(TbRegistroSaídas[[#This Row],[Data do Caixa Realizado]]))</f>
        <v>9</v>
      </c>
      <c r="J17">
        <f>IF(TbRegistroSaídas[[#This Row],[Data do Caixa Realizado]]="",0,YEAR(TbRegistroSaídas[[#This Row],[Data do Caixa Realizado]]))</f>
        <v>2017</v>
      </c>
      <c r="K17">
        <f>IF(TbRegistroSaídas[[#This Row],[Data da Competência]]="",0,MONTH(TbRegistroSaídas[[#This Row],[Data da Competência]]))</f>
        <v>9</v>
      </c>
      <c r="L17">
        <f>IF(TbRegistroSaídas[[#This Row],[Data da Competência]]="",0,YEAR(TbRegistroSaídas[[#This Row],[Data da Competência]]))</f>
        <v>2017</v>
      </c>
      <c r="M17" s="53">
        <f>IF(TbRegistroSaídas[[#This Row],[Data do Caixa Previsto]]="",0,MONTH(TbRegistroSaídas[[#This Row],[Data do Caixa Previsto]]))</f>
        <v>9</v>
      </c>
      <c r="N17" s="53">
        <f>IF(TbRegistroSaídas[[#This Row],[Data do Caixa Previsto]]="",0,YEAR(TbRegistroSaídas[[#This Row],[Data do Caixa Previsto]]))</f>
        <v>2017</v>
      </c>
      <c r="O17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8" spans="2:15" x14ac:dyDescent="0.3">
      <c r="B18" s="8">
        <v>43043.977578613987</v>
      </c>
      <c r="C18" s="8">
        <v>43002</v>
      </c>
      <c r="D18" s="8">
        <v>43043.977578613987</v>
      </c>
      <c r="E18" t="s">
        <v>39</v>
      </c>
      <c r="F18" t="s">
        <v>35</v>
      </c>
      <c r="G18" t="s">
        <v>304</v>
      </c>
      <c r="H18" s="14">
        <v>888</v>
      </c>
      <c r="I18">
        <f>IF(TbRegistroSaídas[[#This Row],[Data do Caixa Realizado]]="",0,MONTH(TbRegistroSaídas[[#This Row],[Data do Caixa Realizado]]))</f>
        <v>11</v>
      </c>
      <c r="J18">
        <f>IF(TbRegistroSaídas[[#This Row],[Data do Caixa Realizado]]="",0,YEAR(TbRegistroSaídas[[#This Row],[Data do Caixa Realizado]]))</f>
        <v>2017</v>
      </c>
      <c r="K18">
        <f>IF(TbRegistroSaídas[[#This Row],[Data da Competência]]="",0,MONTH(TbRegistroSaídas[[#This Row],[Data da Competência]]))</f>
        <v>9</v>
      </c>
      <c r="L18">
        <f>IF(TbRegistroSaídas[[#This Row],[Data da Competência]]="",0,YEAR(TbRegistroSaídas[[#This Row],[Data da Competência]]))</f>
        <v>2017</v>
      </c>
      <c r="M18" s="53">
        <f>IF(TbRegistroSaídas[[#This Row],[Data do Caixa Previsto]]="",0,MONTH(TbRegistroSaídas[[#This Row],[Data do Caixa Previsto]]))</f>
        <v>11</v>
      </c>
      <c r="N18" s="53">
        <f>IF(TbRegistroSaídas[[#This Row],[Data do Caixa Previsto]]="",0,YEAR(TbRegistroSaídas[[#This Row],[Data do Caixa Previsto]]))</f>
        <v>2017</v>
      </c>
      <c r="O18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9" spans="2:15" x14ac:dyDescent="0.3">
      <c r="B19" s="8">
        <v>43015.898045269183</v>
      </c>
      <c r="C19" s="8">
        <v>43003</v>
      </c>
      <c r="D19" s="8">
        <v>43015.898045269183</v>
      </c>
      <c r="E19" t="s">
        <v>39</v>
      </c>
      <c r="F19" t="s">
        <v>46</v>
      </c>
      <c r="G19" t="s">
        <v>305</v>
      </c>
      <c r="H19" s="14">
        <v>2784</v>
      </c>
      <c r="I19">
        <f>IF(TbRegistroSaídas[[#This Row],[Data do Caixa Realizado]]="",0,MONTH(TbRegistroSaídas[[#This Row],[Data do Caixa Realizado]]))</f>
        <v>10</v>
      </c>
      <c r="J19">
        <f>IF(TbRegistroSaídas[[#This Row],[Data do Caixa Realizado]]="",0,YEAR(TbRegistroSaídas[[#This Row],[Data do Caixa Realizado]]))</f>
        <v>2017</v>
      </c>
      <c r="K19">
        <f>IF(TbRegistroSaídas[[#This Row],[Data da Competência]]="",0,MONTH(TbRegistroSaídas[[#This Row],[Data da Competência]]))</f>
        <v>9</v>
      </c>
      <c r="L19">
        <f>IF(TbRegistroSaídas[[#This Row],[Data da Competência]]="",0,YEAR(TbRegistroSaídas[[#This Row],[Data da Competência]]))</f>
        <v>2017</v>
      </c>
      <c r="M19" s="53">
        <f>IF(TbRegistroSaídas[[#This Row],[Data do Caixa Previsto]]="",0,MONTH(TbRegistroSaídas[[#This Row],[Data do Caixa Previsto]]))</f>
        <v>10</v>
      </c>
      <c r="N19" s="53">
        <f>IF(TbRegistroSaídas[[#This Row],[Data do Caixa Previsto]]="",0,YEAR(TbRegistroSaídas[[#This Row],[Data do Caixa Previsto]]))</f>
        <v>2017</v>
      </c>
      <c r="O19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20" spans="2:15" x14ac:dyDescent="0.3">
      <c r="B20" s="8">
        <v>43010.944524159138</v>
      </c>
      <c r="C20" s="8">
        <v>43003</v>
      </c>
      <c r="D20" s="8">
        <v>43010.944524159138</v>
      </c>
      <c r="E20" t="s">
        <v>39</v>
      </c>
      <c r="F20" t="s">
        <v>34</v>
      </c>
      <c r="G20" t="s">
        <v>306</v>
      </c>
      <c r="H20" s="14">
        <v>707</v>
      </c>
      <c r="I20">
        <f>IF(TbRegistroSaídas[[#This Row],[Data do Caixa Realizado]]="",0,MONTH(TbRegistroSaídas[[#This Row],[Data do Caixa Realizado]]))</f>
        <v>10</v>
      </c>
      <c r="J20">
        <f>IF(TbRegistroSaídas[[#This Row],[Data do Caixa Realizado]]="",0,YEAR(TbRegistroSaídas[[#This Row],[Data do Caixa Realizado]]))</f>
        <v>2017</v>
      </c>
      <c r="K20">
        <f>IF(TbRegistroSaídas[[#This Row],[Data da Competência]]="",0,MONTH(TbRegistroSaídas[[#This Row],[Data da Competência]]))</f>
        <v>9</v>
      </c>
      <c r="L20">
        <f>IF(TbRegistroSaídas[[#This Row],[Data da Competência]]="",0,YEAR(TbRegistroSaídas[[#This Row],[Data da Competência]]))</f>
        <v>2017</v>
      </c>
      <c r="M20" s="53">
        <f>IF(TbRegistroSaídas[[#This Row],[Data do Caixa Previsto]]="",0,MONTH(TbRegistroSaídas[[#This Row],[Data do Caixa Previsto]]))</f>
        <v>10</v>
      </c>
      <c r="N20" s="53">
        <f>IF(TbRegistroSaídas[[#This Row],[Data do Caixa Previsto]]="",0,YEAR(TbRegistroSaídas[[#This Row],[Data do Caixa Previsto]]))</f>
        <v>2017</v>
      </c>
      <c r="O20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21" spans="2:15" x14ac:dyDescent="0.3">
      <c r="B21" s="8">
        <v>43118.867552272008</v>
      </c>
      <c r="C21" s="8">
        <v>43006</v>
      </c>
      <c r="D21" s="8">
        <v>43042.600768911587</v>
      </c>
      <c r="E21" t="s">
        <v>39</v>
      </c>
      <c r="F21" t="s">
        <v>34</v>
      </c>
      <c r="G21" t="s">
        <v>307</v>
      </c>
      <c r="H21" s="14">
        <v>229</v>
      </c>
      <c r="I21">
        <f>IF(TbRegistroSaídas[[#This Row],[Data do Caixa Realizado]]="",0,MONTH(TbRegistroSaídas[[#This Row],[Data do Caixa Realizado]]))</f>
        <v>1</v>
      </c>
      <c r="J21">
        <f>IF(TbRegistroSaídas[[#This Row],[Data do Caixa Realizado]]="",0,YEAR(TbRegistroSaídas[[#This Row],[Data do Caixa Realizado]]))</f>
        <v>2018</v>
      </c>
      <c r="K21">
        <f>IF(TbRegistroSaídas[[#This Row],[Data da Competência]]="",0,MONTH(TbRegistroSaídas[[#This Row],[Data da Competência]]))</f>
        <v>9</v>
      </c>
      <c r="L21">
        <f>IF(TbRegistroSaídas[[#This Row],[Data da Competência]]="",0,YEAR(TbRegistroSaídas[[#This Row],[Data da Competência]]))</f>
        <v>2017</v>
      </c>
      <c r="M21" s="53">
        <f>IF(TbRegistroSaídas[[#This Row],[Data do Caixa Previsto]]="",0,MONTH(TbRegistroSaídas[[#This Row],[Data do Caixa Previsto]]))</f>
        <v>11</v>
      </c>
      <c r="N21" s="53">
        <f>IF(TbRegistroSaídas[[#This Row],[Data do Caixa Previsto]]="",0,YEAR(TbRegistroSaídas[[#This Row],[Data do Caixa Previsto]]))</f>
        <v>2017</v>
      </c>
      <c r="O21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76.266783360420959</v>
      </c>
    </row>
    <row r="22" spans="2:15" x14ac:dyDescent="0.3">
      <c r="B22" s="8">
        <v>43059.310583292005</v>
      </c>
      <c r="C22" s="8">
        <v>43009</v>
      </c>
      <c r="D22" s="8">
        <v>43059.310583292005</v>
      </c>
      <c r="E22" t="s">
        <v>39</v>
      </c>
      <c r="F22" t="s">
        <v>46</v>
      </c>
      <c r="G22" t="s">
        <v>308</v>
      </c>
      <c r="H22" s="14">
        <v>2894</v>
      </c>
      <c r="I22">
        <f>IF(TbRegistroSaídas[[#This Row],[Data do Caixa Realizado]]="",0,MONTH(TbRegistroSaídas[[#This Row],[Data do Caixa Realizado]]))</f>
        <v>11</v>
      </c>
      <c r="J22">
        <f>IF(TbRegistroSaídas[[#This Row],[Data do Caixa Realizado]]="",0,YEAR(TbRegistroSaídas[[#This Row],[Data do Caixa Realizado]]))</f>
        <v>2017</v>
      </c>
      <c r="K22">
        <f>IF(TbRegistroSaídas[[#This Row],[Data da Competência]]="",0,MONTH(TbRegistroSaídas[[#This Row],[Data da Competência]]))</f>
        <v>10</v>
      </c>
      <c r="L22">
        <f>IF(TbRegistroSaídas[[#This Row],[Data da Competência]]="",0,YEAR(TbRegistroSaídas[[#This Row],[Data da Competência]]))</f>
        <v>2017</v>
      </c>
      <c r="M22" s="53">
        <f>IF(TbRegistroSaídas[[#This Row],[Data do Caixa Previsto]]="",0,MONTH(TbRegistroSaídas[[#This Row],[Data do Caixa Previsto]]))</f>
        <v>11</v>
      </c>
      <c r="N22" s="53">
        <f>IF(TbRegistroSaídas[[#This Row],[Data do Caixa Previsto]]="",0,YEAR(TbRegistroSaídas[[#This Row],[Data do Caixa Previsto]]))</f>
        <v>2017</v>
      </c>
      <c r="O22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23" spans="2:15" x14ac:dyDescent="0.3">
      <c r="B23" s="8" t="s">
        <v>70</v>
      </c>
      <c r="C23" s="8">
        <v>43012</v>
      </c>
      <c r="D23" s="8">
        <v>43030.293823546323</v>
      </c>
      <c r="E23" t="s">
        <v>39</v>
      </c>
      <c r="F23" t="s">
        <v>35</v>
      </c>
      <c r="G23" t="s">
        <v>309</v>
      </c>
      <c r="H23" s="14">
        <v>4516</v>
      </c>
      <c r="I23">
        <f>IF(TbRegistroSaídas[[#This Row],[Data do Caixa Realizado]]="",0,MONTH(TbRegistroSaídas[[#This Row],[Data do Caixa Realizado]]))</f>
        <v>0</v>
      </c>
      <c r="J23">
        <f>IF(TbRegistroSaídas[[#This Row],[Data do Caixa Realizado]]="",0,YEAR(TbRegistroSaídas[[#This Row],[Data do Caixa Realizado]]))</f>
        <v>0</v>
      </c>
      <c r="K23">
        <f>IF(TbRegistroSaídas[[#This Row],[Data da Competência]]="",0,MONTH(TbRegistroSaídas[[#This Row],[Data da Competência]]))</f>
        <v>10</v>
      </c>
      <c r="L23">
        <f>IF(TbRegistroSaídas[[#This Row],[Data da Competência]]="",0,YEAR(TbRegistroSaídas[[#This Row],[Data da Competência]]))</f>
        <v>2017</v>
      </c>
      <c r="M23" s="53">
        <f>IF(TbRegistroSaídas[[#This Row],[Data do Caixa Previsto]]="",0,MONTH(TbRegistroSaídas[[#This Row],[Data do Caixa Previsto]]))</f>
        <v>10</v>
      </c>
      <c r="N23" s="53">
        <f>IF(TbRegistroSaídas[[#This Row],[Data do Caixa Previsto]]="",0,YEAR(TbRegistroSaídas[[#This Row],[Data do Caixa Previsto]]))</f>
        <v>2017</v>
      </c>
      <c r="O23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2578.7061764536775</v>
      </c>
    </row>
    <row r="24" spans="2:15" x14ac:dyDescent="0.3">
      <c r="B24" s="8">
        <v>43031.057901657718</v>
      </c>
      <c r="C24" s="8">
        <v>43014</v>
      </c>
      <c r="D24" s="8">
        <v>43031.057901657718</v>
      </c>
      <c r="E24" t="s">
        <v>39</v>
      </c>
      <c r="F24" t="s">
        <v>35</v>
      </c>
      <c r="G24" t="s">
        <v>310</v>
      </c>
      <c r="H24" s="14">
        <v>885</v>
      </c>
      <c r="I24">
        <f>IF(TbRegistroSaídas[[#This Row],[Data do Caixa Realizado]]="",0,MONTH(TbRegistroSaídas[[#This Row],[Data do Caixa Realizado]]))</f>
        <v>10</v>
      </c>
      <c r="J24">
        <f>IF(TbRegistroSaídas[[#This Row],[Data do Caixa Realizado]]="",0,YEAR(TbRegistroSaídas[[#This Row],[Data do Caixa Realizado]]))</f>
        <v>2017</v>
      </c>
      <c r="K24">
        <f>IF(TbRegistroSaídas[[#This Row],[Data da Competência]]="",0,MONTH(TbRegistroSaídas[[#This Row],[Data da Competência]]))</f>
        <v>10</v>
      </c>
      <c r="L24">
        <f>IF(TbRegistroSaídas[[#This Row],[Data da Competência]]="",0,YEAR(TbRegistroSaídas[[#This Row],[Data da Competência]]))</f>
        <v>2017</v>
      </c>
      <c r="M24" s="53">
        <f>IF(TbRegistroSaídas[[#This Row],[Data do Caixa Previsto]]="",0,MONTH(TbRegistroSaídas[[#This Row],[Data do Caixa Previsto]]))</f>
        <v>10</v>
      </c>
      <c r="N24" s="53">
        <f>IF(TbRegistroSaídas[[#This Row],[Data do Caixa Previsto]]="",0,YEAR(TbRegistroSaídas[[#This Row],[Data do Caixa Previsto]]))</f>
        <v>2017</v>
      </c>
      <c r="O24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25" spans="2:15" x14ac:dyDescent="0.3">
      <c r="B25" s="8">
        <v>43051.580861965143</v>
      </c>
      <c r="C25" s="8">
        <v>43017</v>
      </c>
      <c r="D25" s="8">
        <v>43046.987199176881</v>
      </c>
      <c r="E25" t="s">
        <v>39</v>
      </c>
      <c r="F25" t="s">
        <v>33</v>
      </c>
      <c r="G25" t="s">
        <v>311</v>
      </c>
      <c r="H25" s="14">
        <v>1509</v>
      </c>
      <c r="I25">
        <f>IF(TbRegistroSaídas[[#This Row],[Data do Caixa Realizado]]="",0,MONTH(TbRegistroSaídas[[#This Row],[Data do Caixa Realizado]]))</f>
        <v>11</v>
      </c>
      <c r="J25">
        <f>IF(TbRegistroSaídas[[#This Row],[Data do Caixa Realizado]]="",0,YEAR(TbRegistroSaídas[[#This Row],[Data do Caixa Realizado]]))</f>
        <v>2017</v>
      </c>
      <c r="K25">
        <f>IF(TbRegistroSaídas[[#This Row],[Data da Competência]]="",0,MONTH(TbRegistroSaídas[[#This Row],[Data da Competência]]))</f>
        <v>10</v>
      </c>
      <c r="L25">
        <f>IF(TbRegistroSaídas[[#This Row],[Data da Competência]]="",0,YEAR(TbRegistroSaídas[[#This Row],[Data da Competência]]))</f>
        <v>2017</v>
      </c>
      <c r="M25" s="53">
        <f>IF(TbRegistroSaídas[[#This Row],[Data do Caixa Previsto]]="",0,MONTH(TbRegistroSaídas[[#This Row],[Data do Caixa Previsto]]))</f>
        <v>11</v>
      </c>
      <c r="N25" s="53">
        <f>IF(TbRegistroSaídas[[#This Row],[Data do Caixa Previsto]]="",0,YEAR(TbRegistroSaídas[[#This Row],[Data do Caixa Previsto]]))</f>
        <v>2017</v>
      </c>
      <c r="O25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4.5936627882620087</v>
      </c>
    </row>
    <row r="26" spans="2:15" x14ac:dyDescent="0.3">
      <c r="B26" s="8">
        <v>43134.239961092644</v>
      </c>
      <c r="C26" s="8">
        <v>43022</v>
      </c>
      <c r="D26" s="8">
        <v>43045.041972262814</v>
      </c>
      <c r="E26" t="s">
        <v>39</v>
      </c>
      <c r="F26" t="s">
        <v>46</v>
      </c>
      <c r="G26" t="s">
        <v>312</v>
      </c>
      <c r="H26" s="14">
        <v>145</v>
      </c>
      <c r="I26">
        <f>IF(TbRegistroSaídas[[#This Row],[Data do Caixa Realizado]]="",0,MONTH(TbRegistroSaídas[[#This Row],[Data do Caixa Realizado]]))</f>
        <v>2</v>
      </c>
      <c r="J26">
        <f>IF(TbRegistroSaídas[[#This Row],[Data do Caixa Realizado]]="",0,YEAR(TbRegistroSaídas[[#This Row],[Data do Caixa Realizado]]))</f>
        <v>2018</v>
      </c>
      <c r="K26">
        <f>IF(TbRegistroSaídas[[#This Row],[Data da Competência]]="",0,MONTH(TbRegistroSaídas[[#This Row],[Data da Competência]]))</f>
        <v>10</v>
      </c>
      <c r="L26">
        <f>IF(TbRegistroSaídas[[#This Row],[Data da Competência]]="",0,YEAR(TbRegistroSaídas[[#This Row],[Data da Competência]]))</f>
        <v>2017</v>
      </c>
      <c r="M26" s="53">
        <f>IF(TbRegistroSaídas[[#This Row],[Data do Caixa Previsto]]="",0,MONTH(TbRegistroSaídas[[#This Row],[Data do Caixa Previsto]]))</f>
        <v>11</v>
      </c>
      <c r="N26" s="53">
        <f>IF(TbRegistroSaídas[[#This Row],[Data do Caixa Previsto]]="",0,YEAR(TbRegistroSaídas[[#This Row],[Data do Caixa Previsto]]))</f>
        <v>2017</v>
      </c>
      <c r="O26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89.197988829830138</v>
      </c>
    </row>
    <row r="27" spans="2:15" x14ac:dyDescent="0.3">
      <c r="B27" s="8">
        <v>43051.301144712357</v>
      </c>
      <c r="C27" s="8">
        <v>43024</v>
      </c>
      <c r="D27" s="8">
        <v>43031.245493844843</v>
      </c>
      <c r="E27" t="s">
        <v>39</v>
      </c>
      <c r="F27" t="s">
        <v>46</v>
      </c>
      <c r="G27" t="s">
        <v>313</v>
      </c>
      <c r="H27" s="14">
        <v>1311</v>
      </c>
      <c r="I27">
        <f>IF(TbRegistroSaídas[[#This Row],[Data do Caixa Realizado]]="",0,MONTH(TbRegistroSaídas[[#This Row],[Data do Caixa Realizado]]))</f>
        <v>11</v>
      </c>
      <c r="J27">
        <f>IF(TbRegistroSaídas[[#This Row],[Data do Caixa Realizado]]="",0,YEAR(TbRegistroSaídas[[#This Row],[Data do Caixa Realizado]]))</f>
        <v>2017</v>
      </c>
      <c r="K27">
        <f>IF(TbRegistroSaídas[[#This Row],[Data da Competência]]="",0,MONTH(TbRegistroSaídas[[#This Row],[Data da Competência]]))</f>
        <v>10</v>
      </c>
      <c r="L27">
        <f>IF(TbRegistroSaídas[[#This Row],[Data da Competência]]="",0,YEAR(TbRegistroSaídas[[#This Row],[Data da Competência]]))</f>
        <v>2017</v>
      </c>
      <c r="M27" s="53">
        <f>IF(TbRegistroSaídas[[#This Row],[Data do Caixa Previsto]]="",0,MONTH(TbRegistroSaídas[[#This Row],[Data do Caixa Previsto]]))</f>
        <v>10</v>
      </c>
      <c r="N27" s="53">
        <f>IF(TbRegistroSaídas[[#This Row],[Data do Caixa Previsto]]="",0,YEAR(TbRegistroSaídas[[#This Row],[Data do Caixa Previsto]]))</f>
        <v>2017</v>
      </c>
      <c r="O27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20.055650867514487</v>
      </c>
    </row>
    <row r="28" spans="2:15" x14ac:dyDescent="0.3">
      <c r="B28" s="8">
        <v>43059.361635124777</v>
      </c>
      <c r="C28" s="8">
        <v>43026</v>
      </c>
      <c r="D28" s="8">
        <v>43059.361635124777</v>
      </c>
      <c r="E28" t="s">
        <v>39</v>
      </c>
      <c r="F28" t="s">
        <v>46</v>
      </c>
      <c r="G28" t="s">
        <v>314</v>
      </c>
      <c r="H28" s="14">
        <v>4182</v>
      </c>
      <c r="I28">
        <f>IF(TbRegistroSaídas[[#This Row],[Data do Caixa Realizado]]="",0,MONTH(TbRegistroSaídas[[#This Row],[Data do Caixa Realizado]]))</f>
        <v>11</v>
      </c>
      <c r="J28">
        <f>IF(TbRegistroSaídas[[#This Row],[Data do Caixa Realizado]]="",0,YEAR(TbRegistroSaídas[[#This Row],[Data do Caixa Realizado]]))</f>
        <v>2017</v>
      </c>
      <c r="K28">
        <f>IF(TbRegistroSaídas[[#This Row],[Data da Competência]]="",0,MONTH(TbRegistroSaídas[[#This Row],[Data da Competência]]))</f>
        <v>10</v>
      </c>
      <c r="L28">
        <f>IF(TbRegistroSaídas[[#This Row],[Data da Competência]]="",0,YEAR(TbRegistroSaídas[[#This Row],[Data da Competência]]))</f>
        <v>2017</v>
      </c>
      <c r="M28" s="53">
        <f>IF(TbRegistroSaídas[[#This Row],[Data do Caixa Previsto]]="",0,MONTH(TbRegistroSaídas[[#This Row],[Data do Caixa Previsto]]))</f>
        <v>11</v>
      </c>
      <c r="N28" s="53">
        <f>IF(TbRegistroSaídas[[#This Row],[Data do Caixa Previsto]]="",0,YEAR(TbRegistroSaídas[[#This Row],[Data do Caixa Previsto]]))</f>
        <v>2017</v>
      </c>
      <c r="O28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29" spans="2:15" x14ac:dyDescent="0.3">
      <c r="B29" s="8">
        <v>43037.396901300337</v>
      </c>
      <c r="C29" s="8">
        <v>43032</v>
      </c>
      <c r="D29" s="8">
        <v>43037.396901300337</v>
      </c>
      <c r="E29" t="s">
        <v>39</v>
      </c>
      <c r="F29" t="s">
        <v>34</v>
      </c>
      <c r="G29" t="s">
        <v>315</v>
      </c>
      <c r="H29" s="14">
        <v>339</v>
      </c>
      <c r="I29">
        <f>IF(TbRegistroSaídas[[#This Row],[Data do Caixa Realizado]]="",0,MONTH(TbRegistroSaídas[[#This Row],[Data do Caixa Realizado]]))</f>
        <v>10</v>
      </c>
      <c r="J29">
        <f>IF(TbRegistroSaídas[[#This Row],[Data do Caixa Realizado]]="",0,YEAR(TbRegistroSaídas[[#This Row],[Data do Caixa Realizado]]))</f>
        <v>2017</v>
      </c>
      <c r="K29">
        <f>IF(TbRegistroSaídas[[#This Row],[Data da Competência]]="",0,MONTH(TbRegistroSaídas[[#This Row],[Data da Competência]]))</f>
        <v>10</v>
      </c>
      <c r="L29">
        <f>IF(TbRegistroSaídas[[#This Row],[Data da Competência]]="",0,YEAR(TbRegistroSaídas[[#This Row],[Data da Competência]]))</f>
        <v>2017</v>
      </c>
      <c r="M29" s="53">
        <f>IF(TbRegistroSaídas[[#This Row],[Data do Caixa Previsto]]="",0,MONTH(TbRegistroSaídas[[#This Row],[Data do Caixa Previsto]]))</f>
        <v>10</v>
      </c>
      <c r="N29" s="53">
        <f>IF(TbRegistroSaídas[[#This Row],[Data do Caixa Previsto]]="",0,YEAR(TbRegistroSaídas[[#This Row],[Data do Caixa Previsto]]))</f>
        <v>2017</v>
      </c>
      <c r="O29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30" spans="2:15" x14ac:dyDescent="0.3">
      <c r="B30" s="8">
        <v>43130.980668733508</v>
      </c>
      <c r="C30" s="8">
        <v>43037</v>
      </c>
      <c r="D30" s="8">
        <v>43068.17516674153</v>
      </c>
      <c r="E30" t="s">
        <v>39</v>
      </c>
      <c r="F30" t="s">
        <v>33</v>
      </c>
      <c r="G30" t="s">
        <v>316</v>
      </c>
      <c r="H30" s="14">
        <v>1788</v>
      </c>
      <c r="I30">
        <f>IF(TbRegistroSaídas[[#This Row],[Data do Caixa Realizado]]="",0,MONTH(TbRegistroSaídas[[#This Row],[Data do Caixa Realizado]]))</f>
        <v>1</v>
      </c>
      <c r="J30">
        <f>IF(TbRegistroSaídas[[#This Row],[Data do Caixa Realizado]]="",0,YEAR(TbRegistroSaídas[[#This Row],[Data do Caixa Realizado]]))</f>
        <v>2018</v>
      </c>
      <c r="K30">
        <f>IF(TbRegistroSaídas[[#This Row],[Data da Competência]]="",0,MONTH(TbRegistroSaídas[[#This Row],[Data da Competência]]))</f>
        <v>10</v>
      </c>
      <c r="L30">
        <f>IF(TbRegistroSaídas[[#This Row],[Data da Competência]]="",0,YEAR(TbRegistroSaídas[[#This Row],[Data da Competência]]))</f>
        <v>2017</v>
      </c>
      <c r="M30" s="53">
        <f>IF(TbRegistroSaídas[[#This Row],[Data do Caixa Previsto]]="",0,MONTH(TbRegistroSaídas[[#This Row],[Data do Caixa Previsto]]))</f>
        <v>11</v>
      </c>
      <c r="N30" s="53">
        <f>IF(TbRegistroSaídas[[#This Row],[Data do Caixa Previsto]]="",0,YEAR(TbRegistroSaídas[[#This Row],[Data do Caixa Previsto]]))</f>
        <v>2017</v>
      </c>
      <c r="O30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62.805501991977508</v>
      </c>
    </row>
    <row r="31" spans="2:15" x14ac:dyDescent="0.3">
      <c r="B31" s="8">
        <v>43089.045976990965</v>
      </c>
      <c r="C31" s="8">
        <v>43042</v>
      </c>
      <c r="D31" s="8">
        <v>43089.045976990965</v>
      </c>
      <c r="E31" t="s">
        <v>39</v>
      </c>
      <c r="F31" t="s">
        <v>35</v>
      </c>
      <c r="G31" t="s">
        <v>317</v>
      </c>
      <c r="H31" s="14">
        <v>1171</v>
      </c>
      <c r="I31">
        <f>IF(TbRegistroSaídas[[#This Row],[Data do Caixa Realizado]]="",0,MONTH(TbRegistroSaídas[[#This Row],[Data do Caixa Realizado]]))</f>
        <v>12</v>
      </c>
      <c r="J31">
        <f>IF(TbRegistroSaídas[[#This Row],[Data do Caixa Realizado]]="",0,YEAR(TbRegistroSaídas[[#This Row],[Data do Caixa Realizado]]))</f>
        <v>2017</v>
      </c>
      <c r="K31">
        <f>IF(TbRegistroSaídas[[#This Row],[Data da Competência]]="",0,MONTH(TbRegistroSaídas[[#This Row],[Data da Competência]]))</f>
        <v>11</v>
      </c>
      <c r="L31">
        <f>IF(TbRegistroSaídas[[#This Row],[Data da Competência]]="",0,YEAR(TbRegistroSaídas[[#This Row],[Data da Competência]]))</f>
        <v>2017</v>
      </c>
      <c r="M31" s="53">
        <f>IF(TbRegistroSaídas[[#This Row],[Data do Caixa Previsto]]="",0,MONTH(TbRegistroSaídas[[#This Row],[Data do Caixa Previsto]]))</f>
        <v>12</v>
      </c>
      <c r="N31" s="53">
        <f>IF(TbRegistroSaídas[[#This Row],[Data do Caixa Previsto]]="",0,YEAR(TbRegistroSaídas[[#This Row],[Data do Caixa Previsto]]))</f>
        <v>2017</v>
      </c>
      <c r="O31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32" spans="2:15" x14ac:dyDescent="0.3">
      <c r="B32" s="8">
        <v>43053.799831016353</v>
      </c>
      <c r="C32" s="8">
        <v>43044</v>
      </c>
      <c r="D32" s="8">
        <v>43053.799831016353</v>
      </c>
      <c r="E32" t="s">
        <v>39</v>
      </c>
      <c r="F32" t="s">
        <v>46</v>
      </c>
      <c r="G32" t="s">
        <v>318</v>
      </c>
      <c r="H32" s="14">
        <v>4059</v>
      </c>
      <c r="I32">
        <f>IF(TbRegistroSaídas[[#This Row],[Data do Caixa Realizado]]="",0,MONTH(TbRegistroSaídas[[#This Row],[Data do Caixa Realizado]]))</f>
        <v>11</v>
      </c>
      <c r="J32">
        <f>IF(TbRegistroSaídas[[#This Row],[Data do Caixa Realizado]]="",0,YEAR(TbRegistroSaídas[[#This Row],[Data do Caixa Realizado]]))</f>
        <v>2017</v>
      </c>
      <c r="K32">
        <f>IF(TbRegistroSaídas[[#This Row],[Data da Competência]]="",0,MONTH(TbRegistroSaídas[[#This Row],[Data da Competência]]))</f>
        <v>11</v>
      </c>
      <c r="L32">
        <f>IF(TbRegistroSaídas[[#This Row],[Data da Competência]]="",0,YEAR(TbRegistroSaídas[[#This Row],[Data da Competência]]))</f>
        <v>2017</v>
      </c>
      <c r="M32" s="53">
        <f>IF(TbRegistroSaídas[[#This Row],[Data do Caixa Previsto]]="",0,MONTH(TbRegistroSaídas[[#This Row],[Data do Caixa Previsto]]))</f>
        <v>11</v>
      </c>
      <c r="N32" s="53">
        <f>IF(TbRegistroSaídas[[#This Row],[Data do Caixa Previsto]]="",0,YEAR(TbRegistroSaídas[[#This Row],[Data do Caixa Previsto]]))</f>
        <v>2017</v>
      </c>
      <c r="O32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33" spans="2:15" x14ac:dyDescent="0.3">
      <c r="B33" s="8">
        <v>43080.068251063065</v>
      </c>
      <c r="C33" s="8">
        <v>43047</v>
      </c>
      <c r="D33" s="8">
        <v>43080.068251063065</v>
      </c>
      <c r="E33" t="s">
        <v>39</v>
      </c>
      <c r="F33" t="s">
        <v>37</v>
      </c>
      <c r="G33" t="s">
        <v>319</v>
      </c>
      <c r="H33" s="14">
        <v>4919</v>
      </c>
      <c r="I33">
        <f>IF(TbRegistroSaídas[[#This Row],[Data do Caixa Realizado]]="",0,MONTH(TbRegistroSaídas[[#This Row],[Data do Caixa Realizado]]))</f>
        <v>12</v>
      </c>
      <c r="J33">
        <f>IF(TbRegistroSaídas[[#This Row],[Data do Caixa Realizado]]="",0,YEAR(TbRegistroSaídas[[#This Row],[Data do Caixa Realizado]]))</f>
        <v>2017</v>
      </c>
      <c r="K33">
        <f>IF(TbRegistroSaídas[[#This Row],[Data da Competência]]="",0,MONTH(TbRegistroSaídas[[#This Row],[Data da Competência]]))</f>
        <v>11</v>
      </c>
      <c r="L33">
        <f>IF(TbRegistroSaídas[[#This Row],[Data da Competência]]="",0,YEAR(TbRegistroSaídas[[#This Row],[Data da Competência]]))</f>
        <v>2017</v>
      </c>
      <c r="M33" s="53">
        <f>IF(TbRegistroSaídas[[#This Row],[Data do Caixa Previsto]]="",0,MONTH(TbRegistroSaídas[[#This Row],[Data do Caixa Previsto]]))</f>
        <v>12</v>
      </c>
      <c r="N33" s="53">
        <f>IF(TbRegistroSaídas[[#This Row],[Data do Caixa Previsto]]="",0,YEAR(TbRegistroSaídas[[#This Row],[Data do Caixa Previsto]]))</f>
        <v>2017</v>
      </c>
      <c r="O33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34" spans="2:15" x14ac:dyDescent="0.3">
      <c r="B34" s="8">
        <v>43097.450419750799</v>
      </c>
      <c r="C34" s="8">
        <v>43051</v>
      </c>
      <c r="D34" s="8">
        <v>43087.512329668702</v>
      </c>
      <c r="E34" t="s">
        <v>39</v>
      </c>
      <c r="F34" t="s">
        <v>46</v>
      </c>
      <c r="G34" t="s">
        <v>320</v>
      </c>
      <c r="H34" s="14">
        <v>3224</v>
      </c>
      <c r="I34">
        <f>IF(TbRegistroSaídas[[#This Row],[Data do Caixa Realizado]]="",0,MONTH(TbRegistroSaídas[[#This Row],[Data do Caixa Realizado]]))</f>
        <v>12</v>
      </c>
      <c r="J34">
        <f>IF(TbRegistroSaídas[[#This Row],[Data do Caixa Realizado]]="",0,YEAR(TbRegistroSaídas[[#This Row],[Data do Caixa Realizado]]))</f>
        <v>2017</v>
      </c>
      <c r="K34">
        <f>IF(TbRegistroSaídas[[#This Row],[Data da Competência]]="",0,MONTH(TbRegistroSaídas[[#This Row],[Data da Competência]]))</f>
        <v>11</v>
      </c>
      <c r="L34">
        <f>IF(TbRegistroSaídas[[#This Row],[Data da Competência]]="",0,YEAR(TbRegistroSaídas[[#This Row],[Data da Competência]]))</f>
        <v>2017</v>
      </c>
      <c r="M34" s="53">
        <f>IF(TbRegistroSaídas[[#This Row],[Data do Caixa Previsto]]="",0,MONTH(TbRegistroSaídas[[#This Row],[Data do Caixa Previsto]]))</f>
        <v>12</v>
      </c>
      <c r="N34" s="53">
        <f>IF(TbRegistroSaídas[[#This Row],[Data do Caixa Previsto]]="",0,YEAR(TbRegistroSaídas[[#This Row],[Data do Caixa Previsto]]))</f>
        <v>2017</v>
      </c>
      <c r="O34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9.938090082097915</v>
      </c>
    </row>
    <row r="35" spans="2:15" x14ac:dyDescent="0.3">
      <c r="B35" s="8">
        <v>43095.145797073659</v>
      </c>
      <c r="C35" s="8">
        <v>43054</v>
      </c>
      <c r="D35" s="8">
        <v>43095.145797073659</v>
      </c>
      <c r="E35" t="s">
        <v>39</v>
      </c>
      <c r="F35" t="s">
        <v>35</v>
      </c>
      <c r="G35" t="s">
        <v>321</v>
      </c>
      <c r="H35" s="14">
        <v>3725</v>
      </c>
      <c r="I35">
        <f>IF(TbRegistroSaídas[[#This Row],[Data do Caixa Realizado]]="",0,MONTH(TbRegistroSaídas[[#This Row],[Data do Caixa Realizado]]))</f>
        <v>12</v>
      </c>
      <c r="J35">
        <f>IF(TbRegistroSaídas[[#This Row],[Data do Caixa Realizado]]="",0,YEAR(TbRegistroSaídas[[#This Row],[Data do Caixa Realizado]]))</f>
        <v>2017</v>
      </c>
      <c r="K35">
        <f>IF(TbRegistroSaídas[[#This Row],[Data da Competência]]="",0,MONTH(TbRegistroSaídas[[#This Row],[Data da Competência]]))</f>
        <v>11</v>
      </c>
      <c r="L35">
        <f>IF(TbRegistroSaídas[[#This Row],[Data da Competência]]="",0,YEAR(TbRegistroSaídas[[#This Row],[Data da Competência]]))</f>
        <v>2017</v>
      </c>
      <c r="M35" s="53">
        <f>IF(TbRegistroSaídas[[#This Row],[Data do Caixa Previsto]]="",0,MONTH(TbRegistroSaídas[[#This Row],[Data do Caixa Previsto]]))</f>
        <v>12</v>
      </c>
      <c r="N35" s="53">
        <f>IF(TbRegistroSaídas[[#This Row],[Data do Caixa Previsto]]="",0,YEAR(TbRegistroSaídas[[#This Row],[Data do Caixa Previsto]]))</f>
        <v>2017</v>
      </c>
      <c r="O35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36" spans="2:15" x14ac:dyDescent="0.3">
      <c r="B36" s="8">
        <v>43085.287677276574</v>
      </c>
      <c r="C36" s="8">
        <v>43056</v>
      </c>
      <c r="D36" s="8">
        <v>43085.287677276574</v>
      </c>
      <c r="E36" t="s">
        <v>39</v>
      </c>
      <c r="F36" t="s">
        <v>35</v>
      </c>
      <c r="G36" t="s">
        <v>322</v>
      </c>
      <c r="H36" s="14">
        <v>312</v>
      </c>
      <c r="I36">
        <f>IF(TbRegistroSaídas[[#This Row],[Data do Caixa Realizado]]="",0,MONTH(TbRegistroSaídas[[#This Row],[Data do Caixa Realizado]]))</f>
        <v>12</v>
      </c>
      <c r="J36">
        <f>IF(TbRegistroSaídas[[#This Row],[Data do Caixa Realizado]]="",0,YEAR(TbRegistroSaídas[[#This Row],[Data do Caixa Realizado]]))</f>
        <v>2017</v>
      </c>
      <c r="K36">
        <f>IF(TbRegistroSaídas[[#This Row],[Data da Competência]]="",0,MONTH(TbRegistroSaídas[[#This Row],[Data da Competência]]))</f>
        <v>11</v>
      </c>
      <c r="L36">
        <f>IF(TbRegistroSaídas[[#This Row],[Data da Competência]]="",0,YEAR(TbRegistroSaídas[[#This Row],[Data da Competência]]))</f>
        <v>2017</v>
      </c>
      <c r="M36" s="53">
        <f>IF(TbRegistroSaídas[[#This Row],[Data do Caixa Previsto]]="",0,MONTH(TbRegistroSaídas[[#This Row],[Data do Caixa Previsto]]))</f>
        <v>12</v>
      </c>
      <c r="N36" s="53">
        <f>IF(TbRegistroSaídas[[#This Row],[Data do Caixa Previsto]]="",0,YEAR(TbRegistroSaídas[[#This Row],[Data do Caixa Previsto]]))</f>
        <v>2017</v>
      </c>
      <c r="O36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37" spans="2:15" x14ac:dyDescent="0.3">
      <c r="B37" s="8">
        <v>43112.669025156058</v>
      </c>
      <c r="C37" s="8">
        <v>43057</v>
      </c>
      <c r="D37" s="8">
        <v>43112.669025156058</v>
      </c>
      <c r="E37" t="s">
        <v>39</v>
      </c>
      <c r="F37" t="s">
        <v>46</v>
      </c>
      <c r="G37" t="s">
        <v>323</v>
      </c>
      <c r="H37" s="14">
        <v>4773</v>
      </c>
      <c r="I37">
        <f>IF(TbRegistroSaídas[[#This Row],[Data do Caixa Realizado]]="",0,MONTH(TbRegistroSaídas[[#This Row],[Data do Caixa Realizado]]))</f>
        <v>1</v>
      </c>
      <c r="J37">
        <f>IF(TbRegistroSaídas[[#This Row],[Data do Caixa Realizado]]="",0,YEAR(TbRegistroSaídas[[#This Row],[Data do Caixa Realizado]]))</f>
        <v>2018</v>
      </c>
      <c r="K37">
        <f>IF(TbRegistroSaídas[[#This Row],[Data da Competência]]="",0,MONTH(TbRegistroSaídas[[#This Row],[Data da Competência]]))</f>
        <v>11</v>
      </c>
      <c r="L37">
        <f>IF(TbRegistroSaídas[[#This Row],[Data da Competência]]="",0,YEAR(TbRegistroSaídas[[#This Row],[Data da Competência]]))</f>
        <v>2017</v>
      </c>
      <c r="M37" s="53">
        <f>IF(TbRegistroSaídas[[#This Row],[Data do Caixa Previsto]]="",0,MONTH(TbRegistroSaídas[[#This Row],[Data do Caixa Previsto]]))</f>
        <v>1</v>
      </c>
      <c r="N37" s="53">
        <f>IF(TbRegistroSaídas[[#This Row],[Data do Caixa Previsto]]="",0,YEAR(TbRegistroSaídas[[#This Row],[Data do Caixa Previsto]]))</f>
        <v>2018</v>
      </c>
      <c r="O37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38" spans="2:15" x14ac:dyDescent="0.3">
      <c r="B38" s="8">
        <v>43076.636591836308</v>
      </c>
      <c r="C38" s="8">
        <v>43058</v>
      </c>
      <c r="D38" s="8">
        <v>43076.636591836308</v>
      </c>
      <c r="E38" t="s">
        <v>39</v>
      </c>
      <c r="F38" t="s">
        <v>37</v>
      </c>
      <c r="G38" t="s">
        <v>324</v>
      </c>
      <c r="H38" s="14">
        <v>228</v>
      </c>
      <c r="I38">
        <f>IF(TbRegistroSaídas[[#This Row],[Data do Caixa Realizado]]="",0,MONTH(TbRegistroSaídas[[#This Row],[Data do Caixa Realizado]]))</f>
        <v>12</v>
      </c>
      <c r="J38">
        <f>IF(TbRegistroSaídas[[#This Row],[Data do Caixa Realizado]]="",0,YEAR(TbRegistroSaídas[[#This Row],[Data do Caixa Realizado]]))</f>
        <v>2017</v>
      </c>
      <c r="K38">
        <f>IF(TbRegistroSaídas[[#This Row],[Data da Competência]]="",0,MONTH(TbRegistroSaídas[[#This Row],[Data da Competência]]))</f>
        <v>11</v>
      </c>
      <c r="L38">
        <f>IF(TbRegistroSaídas[[#This Row],[Data da Competência]]="",0,YEAR(TbRegistroSaídas[[#This Row],[Data da Competência]]))</f>
        <v>2017</v>
      </c>
      <c r="M38" s="53">
        <f>IF(TbRegistroSaídas[[#This Row],[Data do Caixa Previsto]]="",0,MONTH(TbRegistroSaídas[[#This Row],[Data do Caixa Previsto]]))</f>
        <v>12</v>
      </c>
      <c r="N38" s="53">
        <f>IF(TbRegistroSaídas[[#This Row],[Data do Caixa Previsto]]="",0,YEAR(TbRegistroSaídas[[#This Row],[Data do Caixa Previsto]]))</f>
        <v>2017</v>
      </c>
      <c r="O38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39" spans="2:15" x14ac:dyDescent="0.3">
      <c r="B39" s="8">
        <v>43097.776800296095</v>
      </c>
      <c r="C39" s="8">
        <v>43061</v>
      </c>
      <c r="D39" s="8">
        <v>43097.776800296095</v>
      </c>
      <c r="E39" t="s">
        <v>39</v>
      </c>
      <c r="F39" t="s">
        <v>46</v>
      </c>
      <c r="G39" t="s">
        <v>325</v>
      </c>
      <c r="H39" s="14">
        <v>450</v>
      </c>
      <c r="I39">
        <f>IF(TbRegistroSaídas[[#This Row],[Data do Caixa Realizado]]="",0,MONTH(TbRegistroSaídas[[#This Row],[Data do Caixa Realizado]]))</f>
        <v>12</v>
      </c>
      <c r="J39">
        <f>IF(TbRegistroSaídas[[#This Row],[Data do Caixa Realizado]]="",0,YEAR(TbRegistroSaídas[[#This Row],[Data do Caixa Realizado]]))</f>
        <v>2017</v>
      </c>
      <c r="K39">
        <f>IF(TbRegistroSaídas[[#This Row],[Data da Competência]]="",0,MONTH(TbRegistroSaídas[[#This Row],[Data da Competência]]))</f>
        <v>11</v>
      </c>
      <c r="L39">
        <f>IF(TbRegistroSaídas[[#This Row],[Data da Competência]]="",0,YEAR(TbRegistroSaídas[[#This Row],[Data da Competência]]))</f>
        <v>2017</v>
      </c>
      <c r="M39" s="53">
        <f>IF(TbRegistroSaídas[[#This Row],[Data do Caixa Previsto]]="",0,MONTH(TbRegistroSaídas[[#This Row],[Data do Caixa Previsto]]))</f>
        <v>12</v>
      </c>
      <c r="N39" s="53">
        <f>IF(TbRegistroSaídas[[#This Row],[Data do Caixa Previsto]]="",0,YEAR(TbRegistroSaídas[[#This Row],[Data do Caixa Previsto]]))</f>
        <v>2017</v>
      </c>
      <c r="O39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40" spans="2:15" x14ac:dyDescent="0.3">
      <c r="B40" s="8" t="s">
        <v>70</v>
      </c>
      <c r="C40" s="8">
        <v>43062</v>
      </c>
      <c r="D40" s="8">
        <v>43103.4086174822</v>
      </c>
      <c r="E40" t="s">
        <v>39</v>
      </c>
      <c r="F40" t="s">
        <v>46</v>
      </c>
      <c r="G40" t="s">
        <v>326</v>
      </c>
      <c r="H40" s="14">
        <v>1155</v>
      </c>
      <c r="I40">
        <f>IF(TbRegistroSaídas[[#This Row],[Data do Caixa Realizado]]="",0,MONTH(TbRegistroSaídas[[#This Row],[Data do Caixa Realizado]]))</f>
        <v>0</v>
      </c>
      <c r="J40">
        <f>IF(TbRegistroSaídas[[#This Row],[Data do Caixa Realizado]]="",0,YEAR(TbRegistroSaídas[[#This Row],[Data do Caixa Realizado]]))</f>
        <v>0</v>
      </c>
      <c r="K40">
        <f>IF(TbRegistroSaídas[[#This Row],[Data da Competência]]="",0,MONTH(TbRegistroSaídas[[#This Row],[Data da Competência]]))</f>
        <v>11</v>
      </c>
      <c r="L40">
        <f>IF(TbRegistroSaídas[[#This Row],[Data da Competência]]="",0,YEAR(TbRegistroSaídas[[#This Row],[Data da Competência]]))</f>
        <v>2017</v>
      </c>
      <c r="M40" s="53">
        <f>IF(TbRegistroSaídas[[#This Row],[Data do Caixa Previsto]]="",0,MONTH(TbRegistroSaídas[[#This Row],[Data do Caixa Previsto]]))</f>
        <v>1</v>
      </c>
      <c r="N40" s="53">
        <f>IF(TbRegistroSaídas[[#This Row],[Data do Caixa Previsto]]="",0,YEAR(TbRegistroSaídas[[#This Row],[Data do Caixa Previsto]]))</f>
        <v>2018</v>
      </c>
      <c r="O40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2505.5913825177995</v>
      </c>
    </row>
    <row r="41" spans="2:15" x14ac:dyDescent="0.3">
      <c r="B41" s="8" t="s">
        <v>70</v>
      </c>
      <c r="C41" s="8">
        <v>43069</v>
      </c>
      <c r="D41" s="8">
        <v>43070.024697534791</v>
      </c>
      <c r="E41" t="s">
        <v>39</v>
      </c>
      <c r="F41" t="s">
        <v>46</v>
      </c>
      <c r="G41" t="s">
        <v>295</v>
      </c>
      <c r="H41" s="14">
        <v>1967</v>
      </c>
      <c r="I41">
        <f>IF(TbRegistroSaídas[[#This Row],[Data do Caixa Realizado]]="",0,MONTH(TbRegistroSaídas[[#This Row],[Data do Caixa Realizado]]))</f>
        <v>0</v>
      </c>
      <c r="J41">
        <f>IF(TbRegistroSaídas[[#This Row],[Data do Caixa Realizado]]="",0,YEAR(TbRegistroSaídas[[#This Row],[Data do Caixa Realizado]]))</f>
        <v>0</v>
      </c>
      <c r="K41">
        <f>IF(TbRegistroSaídas[[#This Row],[Data da Competência]]="",0,MONTH(TbRegistroSaídas[[#This Row],[Data da Competência]]))</f>
        <v>11</v>
      </c>
      <c r="L41">
        <f>IF(TbRegistroSaídas[[#This Row],[Data da Competência]]="",0,YEAR(TbRegistroSaídas[[#This Row],[Data da Competência]]))</f>
        <v>2017</v>
      </c>
      <c r="M41" s="53">
        <f>IF(TbRegistroSaídas[[#This Row],[Data do Caixa Previsto]]="",0,MONTH(TbRegistroSaídas[[#This Row],[Data do Caixa Previsto]]))</f>
        <v>12</v>
      </c>
      <c r="N41" s="53">
        <f>IF(TbRegistroSaídas[[#This Row],[Data do Caixa Previsto]]="",0,YEAR(TbRegistroSaídas[[#This Row],[Data do Caixa Previsto]]))</f>
        <v>2017</v>
      </c>
      <c r="O41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2538.9753024652091</v>
      </c>
    </row>
    <row r="42" spans="2:15" x14ac:dyDescent="0.3">
      <c r="B42" s="8">
        <v>43159.922520357031</v>
      </c>
      <c r="C42" s="8">
        <v>43070</v>
      </c>
      <c r="D42" s="8">
        <v>43096.096100611438</v>
      </c>
      <c r="E42" t="s">
        <v>39</v>
      </c>
      <c r="F42" t="s">
        <v>33</v>
      </c>
      <c r="G42" t="s">
        <v>327</v>
      </c>
      <c r="H42" s="14">
        <v>2741</v>
      </c>
      <c r="I42">
        <f>IF(TbRegistroSaídas[[#This Row],[Data do Caixa Realizado]]="",0,MONTH(TbRegistroSaídas[[#This Row],[Data do Caixa Realizado]]))</f>
        <v>2</v>
      </c>
      <c r="J42">
        <f>IF(TbRegistroSaídas[[#This Row],[Data do Caixa Realizado]]="",0,YEAR(TbRegistroSaídas[[#This Row],[Data do Caixa Realizado]]))</f>
        <v>2018</v>
      </c>
      <c r="K42">
        <f>IF(TbRegistroSaídas[[#This Row],[Data da Competência]]="",0,MONTH(TbRegistroSaídas[[#This Row],[Data da Competência]]))</f>
        <v>12</v>
      </c>
      <c r="L42">
        <f>IF(TbRegistroSaídas[[#This Row],[Data da Competência]]="",0,YEAR(TbRegistroSaídas[[#This Row],[Data da Competência]]))</f>
        <v>2017</v>
      </c>
      <c r="M42" s="53">
        <f>IF(TbRegistroSaídas[[#This Row],[Data do Caixa Previsto]]="",0,MONTH(TbRegistroSaídas[[#This Row],[Data do Caixa Previsto]]))</f>
        <v>12</v>
      </c>
      <c r="N42" s="53">
        <f>IF(TbRegistroSaídas[[#This Row],[Data do Caixa Previsto]]="",0,YEAR(TbRegistroSaídas[[#This Row],[Data do Caixa Previsto]]))</f>
        <v>2017</v>
      </c>
      <c r="O42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63.826419745593739</v>
      </c>
    </row>
    <row r="43" spans="2:15" x14ac:dyDescent="0.3">
      <c r="B43" s="8">
        <v>43125.34551811625</v>
      </c>
      <c r="C43" s="8">
        <v>43071</v>
      </c>
      <c r="D43" s="8">
        <v>43125.34551811625</v>
      </c>
      <c r="E43" t="s">
        <v>39</v>
      </c>
      <c r="F43" t="s">
        <v>34</v>
      </c>
      <c r="G43" t="s">
        <v>328</v>
      </c>
      <c r="H43" s="14">
        <v>1130</v>
      </c>
      <c r="I43">
        <f>IF(TbRegistroSaídas[[#This Row],[Data do Caixa Realizado]]="",0,MONTH(TbRegistroSaídas[[#This Row],[Data do Caixa Realizado]]))</f>
        <v>1</v>
      </c>
      <c r="J43">
        <f>IF(TbRegistroSaídas[[#This Row],[Data do Caixa Realizado]]="",0,YEAR(TbRegistroSaídas[[#This Row],[Data do Caixa Realizado]]))</f>
        <v>2018</v>
      </c>
      <c r="K43">
        <f>IF(TbRegistroSaídas[[#This Row],[Data da Competência]]="",0,MONTH(TbRegistroSaídas[[#This Row],[Data da Competência]]))</f>
        <v>12</v>
      </c>
      <c r="L43">
        <f>IF(TbRegistroSaídas[[#This Row],[Data da Competência]]="",0,YEAR(TbRegistroSaídas[[#This Row],[Data da Competência]]))</f>
        <v>2017</v>
      </c>
      <c r="M43" s="53">
        <f>IF(TbRegistroSaídas[[#This Row],[Data do Caixa Previsto]]="",0,MONTH(TbRegistroSaídas[[#This Row],[Data do Caixa Previsto]]))</f>
        <v>1</v>
      </c>
      <c r="N43" s="53">
        <f>IF(TbRegistroSaídas[[#This Row],[Data do Caixa Previsto]]="",0,YEAR(TbRegistroSaídas[[#This Row],[Data do Caixa Previsto]]))</f>
        <v>2018</v>
      </c>
      <c r="O43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44" spans="2:15" x14ac:dyDescent="0.3">
      <c r="B44" s="8">
        <v>43118.533892290689</v>
      </c>
      <c r="C44" s="8">
        <v>43075</v>
      </c>
      <c r="D44" s="8">
        <v>43118.533892290689</v>
      </c>
      <c r="E44" t="s">
        <v>39</v>
      </c>
      <c r="F44" t="s">
        <v>35</v>
      </c>
      <c r="G44" t="s">
        <v>329</v>
      </c>
      <c r="H44" s="14">
        <v>4835</v>
      </c>
      <c r="I44">
        <f>IF(TbRegistroSaídas[[#This Row],[Data do Caixa Realizado]]="",0,MONTH(TbRegistroSaídas[[#This Row],[Data do Caixa Realizado]]))</f>
        <v>1</v>
      </c>
      <c r="J44">
        <f>IF(TbRegistroSaídas[[#This Row],[Data do Caixa Realizado]]="",0,YEAR(TbRegistroSaídas[[#This Row],[Data do Caixa Realizado]]))</f>
        <v>2018</v>
      </c>
      <c r="K44">
        <f>IF(TbRegistroSaídas[[#This Row],[Data da Competência]]="",0,MONTH(TbRegistroSaídas[[#This Row],[Data da Competência]]))</f>
        <v>12</v>
      </c>
      <c r="L44">
        <f>IF(TbRegistroSaídas[[#This Row],[Data da Competência]]="",0,YEAR(TbRegistroSaídas[[#This Row],[Data da Competência]]))</f>
        <v>2017</v>
      </c>
      <c r="M44" s="53">
        <f>IF(TbRegistroSaídas[[#This Row],[Data do Caixa Previsto]]="",0,MONTH(TbRegistroSaídas[[#This Row],[Data do Caixa Previsto]]))</f>
        <v>1</v>
      </c>
      <c r="N44" s="53">
        <f>IF(TbRegistroSaídas[[#This Row],[Data do Caixa Previsto]]="",0,YEAR(TbRegistroSaídas[[#This Row],[Data do Caixa Previsto]]))</f>
        <v>2018</v>
      </c>
      <c r="O44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45" spans="2:15" x14ac:dyDescent="0.3">
      <c r="B45" s="8">
        <v>43129.076273391656</v>
      </c>
      <c r="C45" s="8">
        <v>43077</v>
      </c>
      <c r="D45" s="8">
        <v>43129.076273391656</v>
      </c>
      <c r="E45" t="s">
        <v>39</v>
      </c>
      <c r="F45" t="s">
        <v>33</v>
      </c>
      <c r="G45" t="s">
        <v>291</v>
      </c>
      <c r="H45" s="14">
        <v>1411</v>
      </c>
      <c r="I45">
        <f>IF(TbRegistroSaídas[[#This Row],[Data do Caixa Realizado]]="",0,MONTH(TbRegistroSaídas[[#This Row],[Data do Caixa Realizado]]))</f>
        <v>1</v>
      </c>
      <c r="J45">
        <f>IF(TbRegistroSaídas[[#This Row],[Data do Caixa Realizado]]="",0,YEAR(TbRegistroSaídas[[#This Row],[Data do Caixa Realizado]]))</f>
        <v>2018</v>
      </c>
      <c r="K45">
        <f>IF(TbRegistroSaídas[[#This Row],[Data da Competência]]="",0,MONTH(TbRegistroSaídas[[#This Row],[Data da Competência]]))</f>
        <v>12</v>
      </c>
      <c r="L45">
        <f>IF(TbRegistroSaídas[[#This Row],[Data da Competência]]="",0,YEAR(TbRegistroSaídas[[#This Row],[Data da Competência]]))</f>
        <v>2017</v>
      </c>
      <c r="M45" s="53">
        <f>IF(TbRegistroSaídas[[#This Row],[Data do Caixa Previsto]]="",0,MONTH(TbRegistroSaídas[[#This Row],[Data do Caixa Previsto]]))</f>
        <v>1</v>
      </c>
      <c r="N45" s="53">
        <f>IF(TbRegistroSaídas[[#This Row],[Data do Caixa Previsto]]="",0,YEAR(TbRegistroSaídas[[#This Row],[Data do Caixa Previsto]]))</f>
        <v>2018</v>
      </c>
      <c r="O45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46" spans="2:15" x14ac:dyDescent="0.3">
      <c r="B46" s="8">
        <v>43099.632017726879</v>
      </c>
      <c r="C46" s="8">
        <v>43079</v>
      </c>
      <c r="D46" s="8">
        <v>43099.632017726879</v>
      </c>
      <c r="E46" t="s">
        <v>39</v>
      </c>
      <c r="F46" t="s">
        <v>46</v>
      </c>
      <c r="G46" t="s">
        <v>330</v>
      </c>
      <c r="H46" s="14">
        <v>457</v>
      </c>
      <c r="I46">
        <f>IF(TbRegistroSaídas[[#This Row],[Data do Caixa Realizado]]="",0,MONTH(TbRegistroSaídas[[#This Row],[Data do Caixa Realizado]]))</f>
        <v>12</v>
      </c>
      <c r="J46">
        <f>IF(TbRegistroSaídas[[#This Row],[Data do Caixa Realizado]]="",0,YEAR(TbRegistroSaídas[[#This Row],[Data do Caixa Realizado]]))</f>
        <v>2017</v>
      </c>
      <c r="K46">
        <f>IF(TbRegistroSaídas[[#This Row],[Data da Competência]]="",0,MONTH(TbRegistroSaídas[[#This Row],[Data da Competência]]))</f>
        <v>12</v>
      </c>
      <c r="L46">
        <f>IF(TbRegistroSaídas[[#This Row],[Data da Competência]]="",0,YEAR(TbRegistroSaídas[[#This Row],[Data da Competência]]))</f>
        <v>2017</v>
      </c>
      <c r="M46" s="53">
        <f>IF(TbRegistroSaídas[[#This Row],[Data do Caixa Previsto]]="",0,MONTH(TbRegistroSaídas[[#This Row],[Data do Caixa Previsto]]))</f>
        <v>12</v>
      </c>
      <c r="N46" s="53">
        <f>IF(TbRegistroSaídas[[#This Row],[Data do Caixa Previsto]]="",0,YEAR(TbRegistroSaídas[[#This Row],[Data do Caixa Previsto]]))</f>
        <v>2017</v>
      </c>
      <c r="O46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47" spans="2:15" x14ac:dyDescent="0.3">
      <c r="B47" s="8">
        <v>43142.610706080763</v>
      </c>
      <c r="C47" s="8">
        <v>43084</v>
      </c>
      <c r="D47" s="8">
        <v>43142.610706080763</v>
      </c>
      <c r="E47" t="s">
        <v>39</v>
      </c>
      <c r="F47" t="s">
        <v>34</v>
      </c>
      <c r="G47" t="s">
        <v>331</v>
      </c>
      <c r="H47" s="14">
        <v>2623</v>
      </c>
      <c r="I47">
        <f>IF(TbRegistroSaídas[[#This Row],[Data do Caixa Realizado]]="",0,MONTH(TbRegistroSaídas[[#This Row],[Data do Caixa Realizado]]))</f>
        <v>2</v>
      </c>
      <c r="J47">
        <f>IF(TbRegistroSaídas[[#This Row],[Data do Caixa Realizado]]="",0,YEAR(TbRegistroSaídas[[#This Row],[Data do Caixa Realizado]]))</f>
        <v>2018</v>
      </c>
      <c r="K47">
        <f>IF(TbRegistroSaídas[[#This Row],[Data da Competência]]="",0,MONTH(TbRegistroSaídas[[#This Row],[Data da Competência]]))</f>
        <v>12</v>
      </c>
      <c r="L47">
        <f>IF(TbRegistroSaídas[[#This Row],[Data da Competência]]="",0,YEAR(TbRegistroSaídas[[#This Row],[Data da Competência]]))</f>
        <v>2017</v>
      </c>
      <c r="M47" s="53">
        <f>IF(TbRegistroSaídas[[#This Row],[Data do Caixa Previsto]]="",0,MONTH(TbRegistroSaídas[[#This Row],[Data do Caixa Previsto]]))</f>
        <v>2</v>
      </c>
      <c r="N47" s="53">
        <f>IF(TbRegistroSaídas[[#This Row],[Data do Caixa Previsto]]="",0,YEAR(TbRegistroSaídas[[#This Row],[Data do Caixa Previsto]]))</f>
        <v>2018</v>
      </c>
      <c r="O47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48" spans="2:15" x14ac:dyDescent="0.3">
      <c r="B48" s="8">
        <v>43098.200846805485</v>
      </c>
      <c r="C48" s="8">
        <v>43086</v>
      </c>
      <c r="D48" s="8">
        <v>43098.200846805485</v>
      </c>
      <c r="E48" t="s">
        <v>39</v>
      </c>
      <c r="F48" t="s">
        <v>33</v>
      </c>
      <c r="G48" t="s">
        <v>332</v>
      </c>
      <c r="H48" s="14">
        <v>3440</v>
      </c>
      <c r="I48">
        <f>IF(TbRegistroSaídas[[#This Row],[Data do Caixa Realizado]]="",0,MONTH(TbRegistroSaídas[[#This Row],[Data do Caixa Realizado]]))</f>
        <v>12</v>
      </c>
      <c r="J48">
        <f>IF(TbRegistroSaídas[[#This Row],[Data do Caixa Realizado]]="",0,YEAR(TbRegistroSaídas[[#This Row],[Data do Caixa Realizado]]))</f>
        <v>2017</v>
      </c>
      <c r="K48">
        <f>IF(TbRegistroSaídas[[#This Row],[Data da Competência]]="",0,MONTH(TbRegistroSaídas[[#This Row],[Data da Competência]]))</f>
        <v>12</v>
      </c>
      <c r="L48">
        <f>IF(TbRegistroSaídas[[#This Row],[Data da Competência]]="",0,YEAR(TbRegistroSaídas[[#This Row],[Data da Competência]]))</f>
        <v>2017</v>
      </c>
      <c r="M48" s="53">
        <f>IF(TbRegistroSaídas[[#This Row],[Data do Caixa Previsto]]="",0,MONTH(TbRegistroSaídas[[#This Row],[Data do Caixa Previsto]]))</f>
        <v>12</v>
      </c>
      <c r="N48" s="53">
        <f>IF(TbRegistroSaídas[[#This Row],[Data do Caixa Previsto]]="",0,YEAR(TbRegistroSaídas[[#This Row],[Data do Caixa Previsto]]))</f>
        <v>2017</v>
      </c>
      <c r="O48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49" spans="2:15" x14ac:dyDescent="0.3">
      <c r="B49" s="8">
        <v>43111.046742717648</v>
      </c>
      <c r="C49" s="8">
        <v>43089</v>
      </c>
      <c r="D49" s="8">
        <v>43111.046742717648</v>
      </c>
      <c r="E49" t="s">
        <v>39</v>
      </c>
      <c r="F49" t="s">
        <v>46</v>
      </c>
      <c r="G49" t="s">
        <v>333</v>
      </c>
      <c r="H49" s="14">
        <v>3993</v>
      </c>
      <c r="I49">
        <f>IF(TbRegistroSaídas[[#This Row],[Data do Caixa Realizado]]="",0,MONTH(TbRegistroSaídas[[#This Row],[Data do Caixa Realizado]]))</f>
        <v>1</v>
      </c>
      <c r="J49">
        <f>IF(TbRegistroSaídas[[#This Row],[Data do Caixa Realizado]]="",0,YEAR(TbRegistroSaídas[[#This Row],[Data do Caixa Realizado]]))</f>
        <v>2018</v>
      </c>
      <c r="K49">
        <f>IF(TbRegistroSaídas[[#This Row],[Data da Competência]]="",0,MONTH(TbRegistroSaídas[[#This Row],[Data da Competência]]))</f>
        <v>12</v>
      </c>
      <c r="L49">
        <f>IF(TbRegistroSaídas[[#This Row],[Data da Competência]]="",0,YEAR(TbRegistroSaídas[[#This Row],[Data da Competência]]))</f>
        <v>2017</v>
      </c>
      <c r="M49" s="53">
        <f>IF(TbRegistroSaídas[[#This Row],[Data do Caixa Previsto]]="",0,MONTH(TbRegistroSaídas[[#This Row],[Data do Caixa Previsto]]))</f>
        <v>1</v>
      </c>
      <c r="N49" s="53">
        <f>IF(TbRegistroSaídas[[#This Row],[Data do Caixa Previsto]]="",0,YEAR(TbRegistroSaídas[[#This Row],[Data do Caixa Previsto]]))</f>
        <v>2018</v>
      </c>
      <c r="O49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50" spans="2:15" x14ac:dyDescent="0.3">
      <c r="B50" s="8">
        <v>43148.048932403181</v>
      </c>
      <c r="C50" s="8">
        <v>43090</v>
      </c>
      <c r="D50" s="8">
        <v>43148.048932403181</v>
      </c>
      <c r="E50" t="s">
        <v>39</v>
      </c>
      <c r="F50" t="s">
        <v>46</v>
      </c>
      <c r="G50" t="s">
        <v>334</v>
      </c>
      <c r="H50" s="14">
        <v>3273</v>
      </c>
      <c r="I50">
        <f>IF(TbRegistroSaídas[[#This Row],[Data do Caixa Realizado]]="",0,MONTH(TbRegistroSaídas[[#This Row],[Data do Caixa Realizado]]))</f>
        <v>2</v>
      </c>
      <c r="J50">
        <f>IF(TbRegistroSaídas[[#This Row],[Data do Caixa Realizado]]="",0,YEAR(TbRegistroSaídas[[#This Row],[Data do Caixa Realizado]]))</f>
        <v>2018</v>
      </c>
      <c r="K50">
        <f>IF(TbRegistroSaídas[[#This Row],[Data da Competência]]="",0,MONTH(TbRegistroSaídas[[#This Row],[Data da Competência]]))</f>
        <v>12</v>
      </c>
      <c r="L50">
        <f>IF(TbRegistroSaídas[[#This Row],[Data da Competência]]="",0,YEAR(TbRegistroSaídas[[#This Row],[Data da Competência]]))</f>
        <v>2017</v>
      </c>
      <c r="M50" s="53">
        <f>IF(TbRegistroSaídas[[#This Row],[Data do Caixa Previsto]]="",0,MONTH(TbRegistroSaídas[[#This Row],[Data do Caixa Previsto]]))</f>
        <v>2</v>
      </c>
      <c r="N50" s="53">
        <f>IF(TbRegistroSaídas[[#This Row],[Data do Caixa Previsto]]="",0,YEAR(TbRegistroSaídas[[#This Row],[Data do Caixa Previsto]]))</f>
        <v>2018</v>
      </c>
      <c r="O50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51" spans="2:15" x14ac:dyDescent="0.3">
      <c r="B51" s="8">
        <v>43135.265910262075</v>
      </c>
      <c r="C51" s="8">
        <v>43094</v>
      </c>
      <c r="D51" s="8">
        <v>43135.265910262075</v>
      </c>
      <c r="E51" t="s">
        <v>39</v>
      </c>
      <c r="F51" t="s">
        <v>33</v>
      </c>
      <c r="G51" t="s">
        <v>335</v>
      </c>
      <c r="H51" s="14">
        <v>4494</v>
      </c>
      <c r="I51">
        <f>IF(TbRegistroSaídas[[#This Row],[Data do Caixa Realizado]]="",0,MONTH(TbRegistroSaídas[[#This Row],[Data do Caixa Realizado]]))</f>
        <v>2</v>
      </c>
      <c r="J51">
        <f>IF(TbRegistroSaídas[[#This Row],[Data do Caixa Realizado]]="",0,YEAR(TbRegistroSaídas[[#This Row],[Data do Caixa Realizado]]))</f>
        <v>2018</v>
      </c>
      <c r="K51">
        <f>IF(TbRegistroSaídas[[#This Row],[Data da Competência]]="",0,MONTH(TbRegistroSaídas[[#This Row],[Data da Competência]]))</f>
        <v>12</v>
      </c>
      <c r="L51">
        <f>IF(TbRegistroSaídas[[#This Row],[Data da Competência]]="",0,YEAR(TbRegistroSaídas[[#This Row],[Data da Competência]]))</f>
        <v>2017</v>
      </c>
      <c r="M51" s="53">
        <f>IF(TbRegistroSaídas[[#This Row],[Data do Caixa Previsto]]="",0,MONTH(TbRegistroSaídas[[#This Row],[Data do Caixa Previsto]]))</f>
        <v>2</v>
      </c>
      <c r="N51" s="53">
        <f>IF(TbRegistroSaídas[[#This Row],[Data do Caixa Previsto]]="",0,YEAR(TbRegistroSaídas[[#This Row],[Data do Caixa Previsto]]))</f>
        <v>2018</v>
      </c>
      <c r="O51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52" spans="2:15" x14ac:dyDescent="0.3">
      <c r="B52" s="8">
        <v>43124.925483598126</v>
      </c>
      <c r="C52" s="8">
        <v>43096</v>
      </c>
      <c r="D52" s="8">
        <v>43124.925483598126</v>
      </c>
      <c r="E52" t="s">
        <v>39</v>
      </c>
      <c r="F52" t="s">
        <v>37</v>
      </c>
      <c r="G52" t="s">
        <v>336</v>
      </c>
      <c r="H52" s="14">
        <v>2511</v>
      </c>
      <c r="I52">
        <f>IF(TbRegistroSaídas[[#This Row],[Data do Caixa Realizado]]="",0,MONTH(TbRegistroSaídas[[#This Row],[Data do Caixa Realizado]]))</f>
        <v>1</v>
      </c>
      <c r="J52">
        <f>IF(TbRegistroSaídas[[#This Row],[Data do Caixa Realizado]]="",0,YEAR(TbRegistroSaídas[[#This Row],[Data do Caixa Realizado]]))</f>
        <v>2018</v>
      </c>
      <c r="K52">
        <f>IF(TbRegistroSaídas[[#This Row],[Data da Competência]]="",0,MONTH(TbRegistroSaídas[[#This Row],[Data da Competência]]))</f>
        <v>12</v>
      </c>
      <c r="L52">
        <f>IF(TbRegistroSaídas[[#This Row],[Data da Competência]]="",0,YEAR(TbRegistroSaídas[[#This Row],[Data da Competência]]))</f>
        <v>2017</v>
      </c>
      <c r="M52" s="53">
        <f>IF(TbRegistroSaídas[[#This Row],[Data do Caixa Previsto]]="",0,MONTH(TbRegistroSaídas[[#This Row],[Data do Caixa Previsto]]))</f>
        <v>1</v>
      </c>
      <c r="N52" s="53">
        <f>IF(TbRegistroSaídas[[#This Row],[Data do Caixa Previsto]]="",0,YEAR(TbRegistroSaídas[[#This Row],[Data do Caixa Previsto]]))</f>
        <v>2018</v>
      </c>
      <c r="O52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53" spans="2:15" x14ac:dyDescent="0.3">
      <c r="B53" s="8">
        <v>43143.989919163403</v>
      </c>
      <c r="C53" s="8">
        <v>43098</v>
      </c>
      <c r="D53" s="8">
        <v>43143.989919163403</v>
      </c>
      <c r="E53" t="s">
        <v>39</v>
      </c>
      <c r="F53" t="s">
        <v>34</v>
      </c>
      <c r="G53" t="s">
        <v>337</v>
      </c>
      <c r="H53" s="14">
        <v>2015</v>
      </c>
      <c r="I53">
        <f>IF(TbRegistroSaídas[[#This Row],[Data do Caixa Realizado]]="",0,MONTH(TbRegistroSaídas[[#This Row],[Data do Caixa Realizado]]))</f>
        <v>2</v>
      </c>
      <c r="J53">
        <f>IF(TbRegistroSaídas[[#This Row],[Data do Caixa Realizado]]="",0,YEAR(TbRegistroSaídas[[#This Row],[Data do Caixa Realizado]]))</f>
        <v>2018</v>
      </c>
      <c r="K53">
        <f>IF(TbRegistroSaídas[[#This Row],[Data da Competência]]="",0,MONTH(TbRegistroSaídas[[#This Row],[Data da Competência]]))</f>
        <v>12</v>
      </c>
      <c r="L53">
        <f>IF(TbRegistroSaídas[[#This Row],[Data da Competência]]="",0,YEAR(TbRegistroSaídas[[#This Row],[Data da Competência]]))</f>
        <v>2017</v>
      </c>
      <c r="M53" s="53">
        <f>IF(TbRegistroSaídas[[#This Row],[Data do Caixa Previsto]]="",0,MONTH(TbRegistroSaídas[[#This Row],[Data do Caixa Previsto]]))</f>
        <v>2</v>
      </c>
      <c r="N53" s="53">
        <f>IF(TbRegistroSaídas[[#This Row],[Data do Caixa Previsto]]="",0,YEAR(TbRegistroSaídas[[#This Row],[Data do Caixa Previsto]]))</f>
        <v>2018</v>
      </c>
      <c r="O53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54" spans="2:15" x14ac:dyDescent="0.3">
      <c r="B54" s="8">
        <v>43180.312256585908</v>
      </c>
      <c r="C54" s="8">
        <v>43100</v>
      </c>
      <c r="D54" s="8">
        <v>43151.353970851676</v>
      </c>
      <c r="E54" t="s">
        <v>39</v>
      </c>
      <c r="F54" t="s">
        <v>35</v>
      </c>
      <c r="G54" t="s">
        <v>338</v>
      </c>
      <c r="H54" s="14">
        <v>3413</v>
      </c>
      <c r="I54">
        <f>IF(TbRegistroSaídas[[#This Row],[Data do Caixa Realizado]]="",0,MONTH(TbRegistroSaídas[[#This Row],[Data do Caixa Realizado]]))</f>
        <v>3</v>
      </c>
      <c r="J54">
        <f>IF(TbRegistroSaídas[[#This Row],[Data do Caixa Realizado]]="",0,YEAR(TbRegistroSaídas[[#This Row],[Data do Caixa Realizado]]))</f>
        <v>2018</v>
      </c>
      <c r="K54">
        <f>IF(TbRegistroSaídas[[#This Row],[Data da Competência]]="",0,MONTH(TbRegistroSaídas[[#This Row],[Data da Competência]]))</f>
        <v>12</v>
      </c>
      <c r="L54">
        <f>IF(TbRegistroSaídas[[#This Row],[Data da Competência]]="",0,YEAR(TbRegistroSaídas[[#This Row],[Data da Competência]]))</f>
        <v>2017</v>
      </c>
      <c r="M54" s="53">
        <f>IF(TbRegistroSaídas[[#This Row],[Data do Caixa Previsto]]="",0,MONTH(TbRegistroSaídas[[#This Row],[Data do Caixa Previsto]]))</f>
        <v>2</v>
      </c>
      <c r="N54" s="53">
        <f>IF(TbRegistroSaídas[[#This Row],[Data do Caixa Previsto]]="",0,YEAR(TbRegistroSaídas[[#This Row],[Data do Caixa Previsto]]))</f>
        <v>2018</v>
      </c>
      <c r="O54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28.958285734232049</v>
      </c>
    </row>
    <row r="55" spans="2:15" x14ac:dyDescent="0.3">
      <c r="B55" s="8">
        <v>43144.795115927831</v>
      </c>
      <c r="C55" s="8">
        <v>43103</v>
      </c>
      <c r="D55" s="8">
        <v>43108.84859147996</v>
      </c>
      <c r="E55" t="s">
        <v>39</v>
      </c>
      <c r="F55" t="s">
        <v>37</v>
      </c>
      <c r="G55" t="s">
        <v>339</v>
      </c>
      <c r="H55" s="14">
        <v>4087</v>
      </c>
      <c r="I55">
        <f>IF(TbRegistroSaídas[[#This Row],[Data do Caixa Realizado]]="",0,MONTH(TbRegistroSaídas[[#This Row],[Data do Caixa Realizado]]))</f>
        <v>2</v>
      </c>
      <c r="J55">
        <f>IF(TbRegistroSaídas[[#This Row],[Data do Caixa Realizado]]="",0,YEAR(TbRegistroSaídas[[#This Row],[Data do Caixa Realizado]]))</f>
        <v>2018</v>
      </c>
      <c r="K55">
        <f>IF(TbRegistroSaídas[[#This Row],[Data da Competência]]="",0,MONTH(TbRegistroSaídas[[#This Row],[Data da Competência]]))</f>
        <v>1</v>
      </c>
      <c r="L55">
        <f>IF(TbRegistroSaídas[[#This Row],[Data da Competência]]="",0,YEAR(TbRegistroSaídas[[#This Row],[Data da Competência]]))</f>
        <v>2018</v>
      </c>
      <c r="M55" s="53">
        <f>IF(TbRegistroSaídas[[#This Row],[Data do Caixa Previsto]]="",0,MONTH(TbRegistroSaídas[[#This Row],[Data do Caixa Previsto]]))</f>
        <v>1</v>
      </c>
      <c r="N55" s="53">
        <f>IF(TbRegistroSaídas[[#This Row],[Data do Caixa Previsto]]="",0,YEAR(TbRegistroSaídas[[#This Row],[Data do Caixa Previsto]]))</f>
        <v>2018</v>
      </c>
      <c r="O55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35.946524447870615</v>
      </c>
    </row>
    <row r="56" spans="2:15" x14ac:dyDescent="0.3">
      <c r="B56" s="8">
        <v>43117.371907988454</v>
      </c>
      <c r="C56" s="8">
        <v>43106</v>
      </c>
      <c r="D56" s="8">
        <v>43117.371907988454</v>
      </c>
      <c r="E56" t="s">
        <v>39</v>
      </c>
      <c r="F56" t="s">
        <v>46</v>
      </c>
      <c r="G56" t="s">
        <v>340</v>
      </c>
      <c r="H56" s="14">
        <v>2441</v>
      </c>
      <c r="I56">
        <f>IF(TbRegistroSaídas[[#This Row],[Data do Caixa Realizado]]="",0,MONTH(TbRegistroSaídas[[#This Row],[Data do Caixa Realizado]]))</f>
        <v>1</v>
      </c>
      <c r="J56">
        <f>IF(TbRegistroSaídas[[#This Row],[Data do Caixa Realizado]]="",0,YEAR(TbRegistroSaídas[[#This Row],[Data do Caixa Realizado]]))</f>
        <v>2018</v>
      </c>
      <c r="K56">
        <f>IF(TbRegistroSaídas[[#This Row],[Data da Competência]]="",0,MONTH(TbRegistroSaídas[[#This Row],[Data da Competência]]))</f>
        <v>1</v>
      </c>
      <c r="L56">
        <f>IF(TbRegistroSaídas[[#This Row],[Data da Competência]]="",0,YEAR(TbRegistroSaídas[[#This Row],[Data da Competência]]))</f>
        <v>2018</v>
      </c>
      <c r="M56" s="53">
        <f>IF(TbRegistroSaídas[[#This Row],[Data do Caixa Previsto]]="",0,MONTH(TbRegistroSaídas[[#This Row],[Data do Caixa Previsto]]))</f>
        <v>1</v>
      </c>
      <c r="N56" s="53">
        <f>IF(TbRegistroSaídas[[#This Row],[Data do Caixa Previsto]]="",0,YEAR(TbRegistroSaídas[[#This Row],[Data do Caixa Previsto]]))</f>
        <v>2018</v>
      </c>
      <c r="O56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57" spans="2:15" x14ac:dyDescent="0.3">
      <c r="B57" s="8">
        <v>43127.72575701114</v>
      </c>
      <c r="C57" s="8">
        <v>43109</v>
      </c>
      <c r="D57" s="8">
        <v>43127.72575701114</v>
      </c>
      <c r="E57" t="s">
        <v>39</v>
      </c>
      <c r="F57" t="s">
        <v>34</v>
      </c>
      <c r="G57" t="s">
        <v>341</v>
      </c>
      <c r="H57" s="14">
        <v>3598</v>
      </c>
      <c r="I57">
        <f>IF(TbRegistroSaídas[[#This Row],[Data do Caixa Realizado]]="",0,MONTH(TbRegistroSaídas[[#This Row],[Data do Caixa Realizado]]))</f>
        <v>1</v>
      </c>
      <c r="J57">
        <f>IF(TbRegistroSaídas[[#This Row],[Data do Caixa Realizado]]="",0,YEAR(TbRegistroSaídas[[#This Row],[Data do Caixa Realizado]]))</f>
        <v>2018</v>
      </c>
      <c r="K57">
        <f>IF(TbRegistroSaídas[[#This Row],[Data da Competência]]="",0,MONTH(TbRegistroSaídas[[#This Row],[Data da Competência]]))</f>
        <v>1</v>
      </c>
      <c r="L57">
        <f>IF(TbRegistroSaídas[[#This Row],[Data da Competência]]="",0,YEAR(TbRegistroSaídas[[#This Row],[Data da Competência]]))</f>
        <v>2018</v>
      </c>
      <c r="M57" s="53">
        <f>IF(TbRegistroSaídas[[#This Row],[Data do Caixa Previsto]]="",0,MONTH(TbRegistroSaídas[[#This Row],[Data do Caixa Previsto]]))</f>
        <v>1</v>
      </c>
      <c r="N57" s="53">
        <f>IF(TbRegistroSaídas[[#This Row],[Data do Caixa Previsto]]="",0,YEAR(TbRegistroSaídas[[#This Row],[Data do Caixa Previsto]]))</f>
        <v>2018</v>
      </c>
      <c r="O57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58" spans="2:15" x14ac:dyDescent="0.3">
      <c r="B58" s="8">
        <v>43118.823326450649</v>
      </c>
      <c r="C58" s="8">
        <v>43110</v>
      </c>
      <c r="D58" s="8">
        <v>43118.823326450649</v>
      </c>
      <c r="E58" t="s">
        <v>39</v>
      </c>
      <c r="F58" t="s">
        <v>46</v>
      </c>
      <c r="G58" t="s">
        <v>342</v>
      </c>
      <c r="H58" s="14">
        <v>4895</v>
      </c>
      <c r="I58">
        <f>IF(TbRegistroSaídas[[#This Row],[Data do Caixa Realizado]]="",0,MONTH(TbRegistroSaídas[[#This Row],[Data do Caixa Realizado]]))</f>
        <v>1</v>
      </c>
      <c r="J58">
        <f>IF(TbRegistroSaídas[[#This Row],[Data do Caixa Realizado]]="",0,YEAR(TbRegistroSaídas[[#This Row],[Data do Caixa Realizado]]))</f>
        <v>2018</v>
      </c>
      <c r="K58">
        <f>IF(TbRegistroSaídas[[#This Row],[Data da Competência]]="",0,MONTH(TbRegistroSaídas[[#This Row],[Data da Competência]]))</f>
        <v>1</v>
      </c>
      <c r="L58">
        <f>IF(TbRegistroSaídas[[#This Row],[Data da Competência]]="",0,YEAR(TbRegistroSaídas[[#This Row],[Data da Competência]]))</f>
        <v>2018</v>
      </c>
      <c r="M58" s="53">
        <f>IF(TbRegistroSaídas[[#This Row],[Data do Caixa Previsto]]="",0,MONTH(TbRegistroSaídas[[#This Row],[Data do Caixa Previsto]]))</f>
        <v>1</v>
      </c>
      <c r="N58" s="53">
        <f>IF(TbRegistroSaídas[[#This Row],[Data do Caixa Previsto]]="",0,YEAR(TbRegistroSaídas[[#This Row],[Data do Caixa Previsto]]))</f>
        <v>2018</v>
      </c>
      <c r="O58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59" spans="2:15" x14ac:dyDescent="0.3">
      <c r="B59" s="8">
        <v>43167.544338803593</v>
      </c>
      <c r="C59" s="8">
        <v>43112</v>
      </c>
      <c r="D59" s="8">
        <v>43167.544338803593</v>
      </c>
      <c r="E59" t="s">
        <v>39</v>
      </c>
      <c r="F59" t="s">
        <v>46</v>
      </c>
      <c r="G59" t="s">
        <v>343</v>
      </c>
      <c r="H59" s="14">
        <v>971</v>
      </c>
      <c r="I59">
        <f>IF(TbRegistroSaídas[[#This Row],[Data do Caixa Realizado]]="",0,MONTH(TbRegistroSaídas[[#This Row],[Data do Caixa Realizado]]))</f>
        <v>3</v>
      </c>
      <c r="J59">
        <f>IF(TbRegistroSaídas[[#This Row],[Data do Caixa Realizado]]="",0,YEAR(TbRegistroSaídas[[#This Row],[Data do Caixa Realizado]]))</f>
        <v>2018</v>
      </c>
      <c r="K59">
        <f>IF(TbRegistroSaídas[[#This Row],[Data da Competência]]="",0,MONTH(TbRegistroSaídas[[#This Row],[Data da Competência]]))</f>
        <v>1</v>
      </c>
      <c r="L59">
        <f>IF(TbRegistroSaídas[[#This Row],[Data da Competência]]="",0,YEAR(TbRegistroSaídas[[#This Row],[Data da Competência]]))</f>
        <v>2018</v>
      </c>
      <c r="M59" s="53">
        <f>IF(TbRegistroSaídas[[#This Row],[Data do Caixa Previsto]]="",0,MONTH(TbRegistroSaídas[[#This Row],[Data do Caixa Previsto]]))</f>
        <v>3</v>
      </c>
      <c r="N59" s="53">
        <f>IF(TbRegistroSaídas[[#This Row],[Data do Caixa Previsto]]="",0,YEAR(TbRegistroSaídas[[#This Row],[Data do Caixa Previsto]]))</f>
        <v>2018</v>
      </c>
      <c r="O59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60" spans="2:15" x14ac:dyDescent="0.3">
      <c r="B60" s="8">
        <v>43137.043955849207</v>
      </c>
      <c r="C60" s="8">
        <v>43113</v>
      </c>
      <c r="D60" s="8">
        <v>43137.043955849207</v>
      </c>
      <c r="E60" t="s">
        <v>39</v>
      </c>
      <c r="F60" t="s">
        <v>37</v>
      </c>
      <c r="G60" t="s">
        <v>344</v>
      </c>
      <c r="H60" s="14">
        <v>556</v>
      </c>
      <c r="I60">
        <f>IF(TbRegistroSaídas[[#This Row],[Data do Caixa Realizado]]="",0,MONTH(TbRegistroSaídas[[#This Row],[Data do Caixa Realizado]]))</f>
        <v>2</v>
      </c>
      <c r="J60">
        <f>IF(TbRegistroSaídas[[#This Row],[Data do Caixa Realizado]]="",0,YEAR(TbRegistroSaídas[[#This Row],[Data do Caixa Realizado]]))</f>
        <v>2018</v>
      </c>
      <c r="K60">
        <f>IF(TbRegistroSaídas[[#This Row],[Data da Competência]]="",0,MONTH(TbRegistroSaídas[[#This Row],[Data da Competência]]))</f>
        <v>1</v>
      </c>
      <c r="L60">
        <f>IF(TbRegistroSaídas[[#This Row],[Data da Competência]]="",0,YEAR(TbRegistroSaídas[[#This Row],[Data da Competência]]))</f>
        <v>2018</v>
      </c>
      <c r="M60" s="53">
        <f>IF(TbRegistroSaídas[[#This Row],[Data do Caixa Previsto]]="",0,MONTH(TbRegistroSaídas[[#This Row],[Data do Caixa Previsto]]))</f>
        <v>2</v>
      </c>
      <c r="N60" s="53">
        <f>IF(TbRegistroSaídas[[#This Row],[Data do Caixa Previsto]]="",0,YEAR(TbRegistroSaídas[[#This Row],[Data do Caixa Previsto]]))</f>
        <v>2018</v>
      </c>
      <c r="O60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61" spans="2:15" x14ac:dyDescent="0.3">
      <c r="B61" s="8">
        <v>43144.881827671154</v>
      </c>
      <c r="C61" s="8">
        <v>43114</v>
      </c>
      <c r="D61" s="8">
        <v>43144.881827671154</v>
      </c>
      <c r="E61" t="s">
        <v>39</v>
      </c>
      <c r="F61" t="s">
        <v>37</v>
      </c>
      <c r="G61" t="s">
        <v>345</v>
      </c>
      <c r="H61" s="14">
        <v>1977</v>
      </c>
      <c r="I61">
        <f>IF(TbRegistroSaídas[[#This Row],[Data do Caixa Realizado]]="",0,MONTH(TbRegistroSaídas[[#This Row],[Data do Caixa Realizado]]))</f>
        <v>2</v>
      </c>
      <c r="J61">
        <f>IF(TbRegistroSaídas[[#This Row],[Data do Caixa Realizado]]="",0,YEAR(TbRegistroSaídas[[#This Row],[Data do Caixa Realizado]]))</f>
        <v>2018</v>
      </c>
      <c r="K61">
        <f>IF(TbRegistroSaídas[[#This Row],[Data da Competência]]="",0,MONTH(TbRegistroSaídas[[#This Row],[Data da Competência]]))</f>
        <v>1</v>
      </c>
      <c r="L61">
        <f>IF(TbRegistroSaídas[[#This Row],[Data da Competência]]="",0,YEAR(TbRegistroSaídas[[#This Row],[Data da Competência]]))</f>
        <v>2018</v>
      </c>
      <c r="M61" s="53">
        <f>IF(TbRegistroSaídas[[#This Row],[Data do Caixa Previsto]]="",0,MONTH(TbRegistroSaídas[[#This Row],[Data do Caixa Previsto]]))</f>
        <v>2</v>
      </c>
      <c r="N61" s="53">
        <f>IF(TbRegistroSaídas[[#This Row],[Data do Caixa Previsto]]="",0,YEAR(TbRegistroSaídas[[#This Row],[Data do Caixa Previsto]]))</f>
        <v>2018</v>
      </c>
      <c r="O61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62" spans="2:15" x14ac:dyDescent="0.3">
      <c r="B62" s="8">
        <v>43127.357625825418</v>
      </c>
      <c r="C62" s="8">
        <v>43116</v>
      </c>
      <c r="D62" s="8">
        <v>43127.357625825418</v>
      </c>
      <c r="E62" t="s">
        <v>39</v>
      </c>
      <c r="F62" t="s">
        <v>46</v>
      </c>
      <c r="G62" t="s">
        <v>298</v>
      </c>
      <c r="H62" s="14">
        <v>2951</v>
      </c>
      <c r="I62">
        <f>IF(TbRegistroSaídas[[#This Row],[Data do Caixa Realizado]]="",0,MONTH(TbRegistroSaídas[[#This Row],[Data do Caixa Realizado]]))</f>
        <v>1</v>
      </c>
      <c r="J62">
        <f>IF(TbRegistroSaídas[[#This Row],[Data do Caixa Realizado]]="",0,YEAR(TbRegistroSaídas[[#This Row],[Data do Caixa Realizado]]))</f>
        <v>2018</v>
      </c>
      <c r="K62">
        <f>IF(TbRegistroSaídas[[#This Row],[Data da Competência]]="",0,MONTH(TbRegistroSaídas[[#This Row],[Data da Competência]]))</f>
        <v>1</v>
      </c>
      <c r="L62">
        <f>IF(TbRegistroSaídas[[#This Row],[Data da Competência]]="",0,YEAR(TbRegistroSaídas[[#This Row],[Data da Competência]]))</f>
        <v>2018</v>
      </c>
      <c r="M62" s="53">
        <f>IF(TbRegistroSaídas[[#This Row],[Data do Caixa Previsto]]="",0,MONTH(TbRegistroSaídas[[#This Row],[Data do Caixa Previsto]]))</f>
        <v>1</v>
      </c>
      <c r="N62" s="53">
        <f>IF(TbRegistroSaídas[[#This Row],[Data do Caixa Previsto]]="",0,YEAR(TbRegistroSaídas[[#This Row],[Data do Caixa Previsto]]))</f>
        <v>2018</v>
      </c>
      <c r="O62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63" spans="2:15" x14ac:dyDescent="0.3">
      <c r="B63" s="8">
        <v>43164.408101095891</v>
      </c>
      <c r="C63" s="8">
        <v>43120</v>
      </c>
      <c r="D63" s="8">
        <v>43164.408101095891</v>
      </c>
      <c r="E63" t="s">
        <v>39</v>
      </c>
      <c r="F63" t="s">
        <v>46</v>
      </c>
      <c r="G63" t="s">
        <v>346</v>
      </c>
      <c r="H63" s="14">
        <v>2535</v>
      </c>
      <c r="I63">
        <f>IF(TbRegistroSaídas[[#This Row],[Data do Caixa Realizado]]="",0,MONTH(TbRegistroSaídas[[#This Row],[Data do Caixa Realizado]]))</f>
        <v>3</v>
      </c>
      <c r="J63">
        <f>IF(TbRegistroSaídas[[#This Row],[Data do Caixa Realizado]]="",0,YEAR(TbRegistroSaídas[[#This Row],[Data do Caixa Realizado]]))</f>
        <v>2018</v>
      </c>
      <c r="K63">
        <f>IF(TbRegistroSaídas[[#This Row],[Data da Competência]]="",0,MONTH(TbRegistroSaídas[[#This Row],[Data da Competência]]))</f>
        <v>1</v>
      </c>
      <c r="L63">
        <f>IF(TbRegistroSaídas[[#This Row],[Data da Competência]]="",0,YEAR(TbRegistroSaídas[[#This Row],[Data da Competência]]))</f>
        <v>2018</v>
      </c>
      <c r="M63" s="53">
        <f>IF(TbRegistroSaídas[[#This Row],[Data do Caixa Previsto]]="",0,MONTH(TbRegistroSaídas[[#This Row],[Data do Caixa Previsto]]))</f>
        <v>3</v>
      </c>
      <c r="N63" s="53">
        <f>IF(TbRegistroSaídas[[#This Row],[Data do Caixa Previsto]]="",0,YEAR(TbRegistroSaídas[[#This Row],[Data do Caixa Previsto]]))</f>
        <v>2018</v>
      </c>
      <c r="O63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64" spans="2:15" x14ac:dyDescent="0.3">
      <c r="B64" s="8">
        <v>43141.579590343346</v>
      </c>
      <c r="C64" s="8">
        <v>43121</v>
      </c>
      <c r="D64" s="8">
        <v>43141.579590343346</v>
      </c>
      <c r="E64" t="s">
        <v>39</v>
      </c>
      <c r="F64" t="s">
        <v>33</v>
      </c>
      <c r="G64" t="s">
        <v>347</v>
      </c>
      <c r="H64" s="14">
        <v>3057</v>
      </c>
      <c r="I64">
        <f>IF(TbRegistroSaídas[[#This Row],[Data do Caixa Realizado]]="",0,MONTH(TbRegistroSaídas[[#This Row],[Data do Caixa Realizado]]))</f>
        <v>2</v>
      </c>
      <c r="J64">
        <f>IF(TbRegistroSaídas[[#This Row],[Data do Caixa Realizado]]="",0,YEAR(TbRegistroSaídas[[#This Row],[Data do Caixa Realizado]]))</f>
        <v>2018</v>
      </c>
      <c r="K64">
        <f>IF(TbRegistroSaídas[[#This Row],[Data da Competência]]="",0,MONTH(TbRegistroSaídas[[#This Row],[Data da Competência]]))</f>
        <v>1</v>
      </c>
      <c r="L64">
        <f>IF(TbRegistroSaídas[[#This Row],[Data da Competência]]="",0,YEAR(TbRegistroSaídas[[#This Row],[Data da Competência]]))</f>
        <v>2018</v>
      </c>
      <c r="M64" s="53">
        <f>IF(TbRegistroSaídas[[#This Row],[Data do Caixa Previsto]]="",0,MONTH(TbRegistroSaídas[[#This Row],[Data do Caixa Previsto]]))</f>
        <v>2</v>
      </c>
      <c r="N64" s="53">
        <f>IF(TbRegistroSaídas[[#This Row],[Data do Caixa Previsto]]="",0,YEAR(TbRegistroSaídas[[#This Row],[Data do Caixa Previsto]]))</f>
        <v>2018</v>
      </c>
      <c r="O64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65" spans="2:15" x14ac:dyDescent="0.3">
      <c r="B65" s="8">
        <v>43140.52607681365</v>
      </c>
      <c r="C65" s="8">
        <v>43123</v>
      </c>
      <c r="D65" s="8">
        <v>43140.52607681365</v>
      </c>
      <c r="E65" t="s">
        <v>39</v>
      </c>
      <c r="F65" t="s">
        <v>37</v>
      </c>
      <c r="G65" t="s">
        <v>348</v>
      </c>
      <c r="H65" s="14">
        <v>3152</v>
      </c>
      <c r="I65">
        <f>IF(TbRegistroSaídas[[#This Row],[Data do Caixa Realizado]]="",0,MONTH(TbRegistroSaídas[[#This Row],[Data do Caixa Realizado]]))</f>
        <v>2</v>
      </c>
      <c r="J65">
        <f>IF(TbRegistroSaídas[[#This Row],[Data do Caixa Realizado]]="",0,YEAR(TbRegistroSaídas[[#This Row],[Data do Caixa Realizado]]))</f>
        <v>2018</v>
      </c>
      <c r="K65">
        <f>IF(TbRegistroSaídas[[#This Row],[Data da Competência]]="",0,MONTH(TbRegistroSaídas[[#This Row],[Data da Competência]]))</f>
        <v>1</v>
      </c>
      <c r="L65">
        <f>IF(TbRegistroSaídas[[#This Row],[Data da Competência]]="",0,YEAR(TbRegistroSaídas[[#This Row],[Data da Competência]]))</f>
        <v>2018</v>
      </c>
      <c r="M65" s="53">
        <f>IF(TbRegistroSaídas[[#This Row],[Data do Caixa Previsto]]="",0,MONTH(TbRegistroSaídas[[#This Row],[Data do Caixa Previsto]]))</f>
        <v>2</v>
      </c>
      <c r="N65" s="53">
        <f>IF(TbRegistroSaídas[[#This Row],[Data do Caixa Previsto]]="",0,YEAR(TbRegistroSaídas[[#This Row],[Data do Caixa Previsto]]))</f>
        <v>2018</v>
      </c>
      <c r="O65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66" spans="2:15" x14ac:dyDescent="0.3">
      <c r="B66" s="8">
        <v>43167.136566438901</v>
      </c>
      <c r="C66" s="8">
        <v>43125</v>
      </c>
      <c r="D66" s="8">
        <v>43167.136566438901</v>
      </c>
      <c r="E66" t="s">
        <v>39</v>
      </c>
      <c r="F66" t="s">
        <v>35</v>
      </c>
      <c r="G66" t="s">
        <v>349</v>
      </c>
      <c r="H66" s="14">
        <v>2247</v>
      </c>
      <c r="I66">
        <f>IF(TbRegistroSaídas[[#This Row],[Data do Caixa Realizado]]="",0,MONTH(TbRegistroSaídas[[#This Row],[Data do Caixa Realizado]]))</f>
        <v>3</v>
      </c>
      <c r="J66">
        <f>IF(TbRegistroSaídas[[#This Row],[Data do Caixa Realizado]]="",0,YEAR(TbRegistroSaídas[[#This Row],[Data do Caixa Realizado]]))</f>
        <v>2018</v>
      </c>
      <c r="K66">
        <f>IF(TbRegistroSaídas[[#This Row],[Data da Competência]]="",0,MONTH(TbRegistroSaídas[[#This Row],[Data da Competência]]))</f>
        <v>1</v>
      </c>
      <c r="L66">
        <f>IF(TbRegistroSaídas[[#This Row],[Data da Competência]]="",0,YEAR(TbRegistroSaídas[[#This Row],[Data da Competência]]))</f>
        <v>2018</v>
      </c>
      <c r="M66" s="53">
        <f>IF(TbRegistroSaídas[[#This Row],[Data do Caixa Previsto]]="",0,MONTH(TbRegistroSaídas[[#This Row],[Data do Caixa Previsto]]))</f>
        <v>3</v>
      </c>
      <c r="N66" s="53">
        <f>IF(TbRegistroSaídas[[#This Row],[Data do Caixa Previsto]]="",0,YEAR(TbRegistroSaídas[[#This Row],[Data do Caixa Previsto]]))</f>
        <v>2018</v>
      </c>
      <c r="O66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67" spans="2:15" x14ac:dyDescent="0.3">
      <c r="B67" s="8">
        <v>43180.080222393961</v>
      </c>
      <c r="C67" s="8">
        <v>43127</v>
      </c>
      <c r="D67" s="8">
        <v>43180.080222393961</v>
      </c>
      <c r="E67" t="s">
        <v>39</v>
      </c>
      <c r="F67" t="s">
        <v>34</v>
      </c>
      <c r="G67" t="s">
        <v>350</v>
      </c>
      <c r="H67" s="14">
        <v>2456</v>
      </c>
      <c r="I67">
        <f>IF(TbRegistroSaídas[[#This Row],[Data do Caixa Realizado]]="",0,MONTH(TbRegistroSaídas[[#This Row],[Data do Caixa Realizado]]))</f>
        <v>3</v>
      </c>
      <c r="J67">
        <f>IF(TbRegistroSaídas[[#This Row],[Data do Caixa Realizado]]="",0,YEAR(TbRegistroSaídas[[#This Row],[Data do Caixa Realizado]]))</f>
        <v>2018</v>
      </c>
      <c r="K67">
        <f>IF(TbRegistroSaídas[[#This Row],[Data da Competência]]="",0,MONTH(TbRegistroSaídas[[#This Row],[Data da Competência]]))</f>
        <v>1</v>
      </c>
      <c r="L67">
        <f>IF(TbRegistroSaídas[[#This Row],[Data da Competência]]="",0,YEAR(TbRegistroSaídas[[#This Row],[Data da Competência]]))</f>
        <v>2018</v>
      </c>
      <c r="M67" s="53">
        <f>IF(TbRegistroSaídas[[#This Row],[Data do Caixa Previsto]]="",0,MONTH(TbRegistroSaídas[[#This Row],[Data do Caixa Previsto]]))</f>
        <v>3</v>
      </c>
      <c r="N67" s="53">
        <f>IF(TbRegistroSaídas[[#This Row],[Data do Caixa Previsto]]="",0,YEAR(TbRegistroSaídas[[#This Row],[Data do Caixa Previsto]]))</f>
        <v>2018</v>
      </c>
      <c r="O67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68" spans="2:15" x14ac:dyDescent="0.3">
      <c r="B68" s="8">
        <v>43153.557863903276</v>
      </c>
      <c r="C68" s="8">
        <v>43129</v>
      </c>
      <c r="D68" s="8">
        <v>43142.593518246249</v>
      </c>
      <c r="E68" t="s">
        <v>39</v>
      </c>
      <c r="F68" t="s">
        <v>46</v>
      </c>
      <c r="G68" t="s">
        <v>351</v>
      </c>
      <c r="H68" s="14">
        <v>3801</v>
      </c>
      <c r="I68">
        <f>IF(TbRegistroSaídas[[#This Row],[Data do Caixa Realizado]]="",0,MONTH(TbRegistroSaídas[[#This Row],[Data do Caixa Realizado]]))</f>
        <v>2</v>
      </c>
      <c r="J68">
        <f>IF(TbRegistroSaídas[[#This Row],[Data do Caixa Realizado]]="",0,YEAR(TbRegistroSaídas[[#This Row],[Data do Caixa Realizado]]))</f>
        <v>2018</v>
      </c>
      <c r="K68">
        <f>IF(TbRegistroSaídas[[#This Row],[Data da Competência]]="",0,MONTH(TbRegistroSaídas[[#This Row],[Data da Competência]]))</f>
        <v>1</v>
      </c>
      <c r="L68">
        <f>IF(TbRegistroSaídas[[#This Row],[Data da Competência]]="",0,YEAR(TbRegistroSaídas[[#This Row],[Data da Competência]]))</f>
        <v>2018</v>
      </c>
      <c r="M68" s="53">
        <f>IF(TbRegistroSaídas[[#This Row],[Data do Caixa Previsto]]="",0,MONTH(TbRegistroSaídas[[#This Row],[Data do Caixa Previsto]]))</f>
        <v>2</v>
      </c>
      <c r="N68" s="53">
        <f>IF(TbRegistroSaídas[[#This Row],[Data do Caixa Previsto]]="",0,YEAR(TbRegistroSaídas[[#This Row],[Data do Caixa Previsto]]))</f>
        <v>2018</v>
      </c>
      <c r="O68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10.96434565702657</v>
      </c>
    </row>
    <row r="69" spans="2:15" x14ac:dyDescent="0.3">
      <c r="B69" s="8">
        <v>43144.375909015784</v>
      </c>
      <c r="C69" s="8">
        <v>43131</v>
      </c>
      <c r="D69" s="8">
        <v>43144.375909015784</v>
      </c>
      <c r="E69" t="s">
        <v>39</v>
      </c>
      <c r="F69" t="s">
        <v>37</v>
      </c>
      <c r="G69" t="s">
        <v>352</v>
      </c>
      <c r="H69" s="14">
        <v>3049</v>
      </c>
      <c r="I69">
        <f>IF(TbRegistroSaídas[[#This Row],[Data do Caixa Realizado]]="",0,MONTH(TbRegistroSaídas[[#This Row],[Data do Caixa Realizado]]))</f>
        <v>2</v>
      </c>
      <c r="J69">
        <f>IF(TbRegistroSaídas[[#This Row],[Data do Caixa Realizado]]="",0,YEAR(TbRegistroSaídas[[#This Row],[Data do Caixa Realizado]]))</f>
        <v>2018</v>
      </c>
      <c r="K69">
        <f>IF(TbRegistroSaídas[[#This Row],[Data da Competência]]="",0,MONTH(TbRegistroSaídas[[#This Row],[Data da Competência]]))</f>
        <v>1</v>
      </c>
      <c r="L69">
        <f>IF(TbRegistroSaídas[[#This Row],[Data da Competência]]="",0,YEAR(TbRegistroSaídas[[#This Row],[Data da Competência]]))</f>
        <v>2018</v>
      </c>
      <c r="M69" s="53">
        <f>IF(TbRegistroSaídas[[#This Row],[Data do Caixa Previsto]]="",0,MONTH(TbRegistroSaídas[[#This Row],[Data do Caixa Previsto]]))</f>
        <v>2</v>
      </c>
      <c r="N69" s="53">
        <f>IF(TbRegistroSaídas[[#This Row],[Data do Caixa Previsto]]="",0,YEAR(TbRegistroSaídas[[#This Row],[Data do Caixa Previsto]]))</f>
        <v>2018</v>
      </c>
      <c r="O69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70" spans="2:15" x14ac:dyDescent="0.3">
      <c r="B70" s="8">
        <v>43188.99516604135</v>
      </c>
      <c r="C70" s="8">
        <v>43135</v>
      </c>
      <c r="D70" s="8">
        <v>43170.130869357701</v>
      </c>
      <c r="E70" t="s">
        <v>39</v>
      </c>
      <c r="F70" t="s">
        <v>33</v>
      </c>
      <c r="G70" t="s">
        <v>353</v>
      </c>
      <c r="H70" s="14">
        <v>3255</v>
      </c>
      <c r="I70">
        <f>IF(TbRegistroSaídas[[#This Row],[Data do Caixa Realizado]]="",0,MONTH(TbRegistroSaídas[[#This Row],[Data do Caixa Realizado]]))</f>
        <v>3</v>
      </c>
      <c r="J70">
        <f>IF(TbRegistroSaídas[[#This Row],[Data do Caixa Realizado]]="",0,YEAR(TbRegistroSaídas[[#This Row],[Data do Caixa Realizado]]))</f>
        <v>2018</v>
      </c>
      <c r="K70">
        <f>IF(TbRegistroSaídas[[#This Row],[Data da Competência]]="",0,MONTH(TbRegistroSaídas[[#This Row],[Data da Competência]]))</f>
        <v>2</v>
      </c>
      <c r="L70">
        <f>IF(TbRegistroSaídas[[#This Row],[Data da Competência]]="",0,YEAR(TbRegistroSaídas[[#This Row],[Data da Competência]]))</f>
        <v>2018</v>
      </c>
      <c r="M70" s="53">
        <f>IF(TbRegistroSaídas[[#This Row],[Data do Caixa Previsto]]="",0,MONTH(TbRegistroSaídas[[#This Row],[Data do Caixa Previsto]]))</f>
        <v>3</v>
      </c>
      <c r="N70" s="53">
        <f>IF(TbRegistroSaídas[[#This Row],[Data do Caixa Previsto]]="",0,YEAR(TbRegistroSaídas[[#This Row],[Data do Caixa Previsto]]))</f>
        <v>2018</v>
      </c>
      <c r="O70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18.864296683648718</v>
      </c>
    </row>
    <row r="71" spans="2:15" x14ac:dyDescent="0.3">
      <c r="B71" s="8">
        <v>43179.613666487414</v>
      </c>
      <c r="C71" s="8">
        <v>43136</v>
      </c>
      <c r="D71" s="8">
        <v>43176.20769813798</v>
      </c>
      <c r="E71" t="s">
        <v>39</v>
      </c>
      <c r="F71" t="s">
        <v>46</v>
      </c>
      <c r="G71" t="s">
        <v>354</v>
      </c>
      <c r="H71" s="14">
        <v>2074</v>
      </c>
      <c r="I71">
        <f>IF(TbRegistroSaídas[[#This Row],[Data do Caixa Realizado]]="",0,MONTH(TbRegistroSaídas[[#This Row],[Data do Caixa Realizado]]))</f>
        <v>3</v>
      </c>
      <c r="J71">
        <f>IF(TbRegistroSaídas[[#This Row],[Data do Caixa Realizado]]="",0,YEAR(TbRegistroSaídas[[#This Row],[Data do Caixa Realizado]]))</f>
        <v>2018</v>
      </c>
      <c r="K71">
        <f>IF(TbRegistroSaídas[[#This Row],[Data da Competência]]="",0,MONTH(TbRegistroSaídas[[#This Row],[Data da Competência]]))</f>
        <v>2</v>
      </c>
      <c r="L71">
        <f>IF(TbRegistroSaídas[[#This Row],[Data da Competência]]="",0,YEAR(TbRegistroSaídas[[#This Row],[Data da Competência]]))</f>
        <v>2018</v>
      </c>
      <c r="M71" s="53">
        <f>IF(TbRegistroSaídas[[#This Row],[Data do Caixa Previsto]]="",0,MONTH(TbRegistroSaídas[[#This Row],[Data do Caixa Previsto]]))</f>
        <v>3</v>
      </c>
      <c r="N71" s="53">
        <f>IF(TbRegistroSaídas[[#This Row],[Data do Caixa Previsto]]="",0,YEAR(TbRegistroSaídas[[#This Row],[Data do Caixa Previsto]]))</f>
        <v>2018</v>
      </c>
      <c r="O71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3.4059683494342607</v>
      </c>
    </row>
    <row r="72" spans="2:15" x14ac:dyDescent="0.3">
      <c r="B72" s="8">
        <v>43175.293624405407</v>
      </c>
      <c r="C72" s="8">
        <v>43137</v>
      </c>
      <c r="D72" s="8">
        <v>43175.293624405407</v>
      </c>
      <c r="E72" t="s">
        <v>39</v>
      </c>
      <c r="F72" t="s">
        <v>46</v>
      </c>
      <c r="G72" t="s">
        <v>355</v>
      </c>
      <c r="H72" s="14">
        <v>3606</v>
      </c>
      <c r="I72">
        <f>IF(TbRegistroSaídas[[#This Row],[Data do Caixa Realizado]]="",0,MONTH(TbRegistroSaídas[[#This Row],[Data do Caixa Realizado]]))</f>
        <v>3</v>
      </c>
      <c r="J72">
        <f>IF(TbRegistroSaídas[[#This Row],[Data do Caixa Realizado]]="",0,YEAR(TbRegistroSaídas[[#This Row],[Data do Caixa Realizado]]))</f>
        <v>2018</v>
      </c>
      <c r="K72">
        <f>IF(TbRegistroSaídas[[#This Row],[Data da Competência]]="",0,MONTH(TbRegistroSaídas[[#This Row],[Data da Competência]]))</f>
        <v>2</v>
      </c>
      <c r="L72">
        <f>IF(TbRegistroSaídas[[#This Row],[Data da Competência]]="",0,YEAR(TbRegistroSaídas[[#This Row],[Data da Competência]]))</f>
        <v>2018</v>
      </c>
      <c r="M72" s="53">
        <f>IF(TbRegistroSaídas[[#This Row],[Data do Caixa Previsto]]="",0,MONTH(TbRegistroSaídas[[#This Row],[Data do Caixa Previsto]]))</f>
        <v>3</v>
      </c>
      <c r="N72" s="53">
        <f>IF(TbRegistroSaídas[[#This Row],[Data do Caixa Previsto]]="",0,YEAR(TbRegistroSaídas[[#This Row],[Data do Caixa Previsto]]))</f>
        <v>2018</v>
      </c>
      <c r="O72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73" spans="2:15" x14ac:dyDescent="0.3">
      <c r="B73" s="8">
        <v>43177.329774401594</v>
      </c>
      <c r="C73" s="8">
        <v>43138</v>
      </c>
      <c r="D73" s="8">
        <v>43177.329774401594</v>
      </c>
      <c r="E73" t="s">
        <v>39</v>
      </c>
      <c r="F73" t="s">
        <v>34</v>
      </c>
      <c r="G73" t="s">
        <v>356</v>
      </c>
      <c r="H73" s="14">
        <v>4867</v>
      </c>
      <c r="I73">
        <f>IF(TbRegistroSaídas[[#This Row],[Data do Caixa Realizado]]="",0,MONTH(TbRegistroSaídas[[#This Row],[Data do Caixa Realizado]]))</f>
        <v>3</v>
      </c>
      <c r="J73">
        <f>IF(TbRegistroSaídas[[#This Row],[Data do Caixa Realizado]]="",0,YEAR(TbRegistroSaídas[[#This Row],[Data do Caixa Realizado]]))</f>
        <v>2018</v>
      </c>
      <c r="K73">
        <f>IF(TbRegistroSaídas[[#This Row],[Data da Competência]]="",0,MONTH(TbRegistroSaídas[[#This Row],[Data da Competência]]))</f>
        <v>2</v>
      </c>
      <c r="L73">
        <f>IF(TbRegistroSaídas[[#This Row],[Data da Competência]]="",0,YEAR(TbRegistroSaídas[[#This Row],[Data da Competência]]))</f>
        <v>2018</v>
      </c>
      <c r="M73" s="53">
        <f>IF(TbRegistroSaídas[[#This Row],[Data do Caixa Previsto]]="",0,MONTH(TbRegistroSaídas[[#This Row],[Data do Caixa Previsto]]))</f>
        <v>3</v>
      </c>
      <c r="N73" s="53">
        <f>IF(TbRegistroSaídas[[#This Row],[Data do Caixa Previsto]]="",0,YEAR(TbRegistroSaídas[[#This Row],[Data do Caixa Previsto]]))</f>
        <v>2018</v>
      </c>
      <c r="O73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74" spans="2:15" x14ac:dyDescent="0.3">
      <c r="B74" s="8">
        <v>43175.004800342591</v>
      </c>
      <c r="C74" s="8">
        <v>43140</v>
      </c>
      <c r="D74" s="8">
        <v>43175.004800342591</v>
      </c>
      <c r="E74" t="s">
        <v>39</v>
      </c>
      <c r="F74" t="s">
        <v>35</v>
      </c>
      <c r="G74" t="s">
        <v>357</v>
      </c>
      <c r="H74" s="14">
        <v>702</v>
      </c>
      <c r="I74">
        <f>IF(TbRegistroSaídas[[#This Row],[Data do Caixa Realizado]]="",0,MONTH(TbRegistroSaídas[[#This Row],[Data do Caixa Realizado]]))</f>
        <v>3</v>
      </c>
      <c r="J74">
        <f>IF(TbRegistroSaídas[[#This Row],[Data do Caixa Realizado]]="",0,YEAR(TbRegistroSaídas[[#This Row],[Data do Caixa Realizado]]))</f>
        <v>2018</v>
      </c>
      <c r="K74">
        <f>IF(TbRegistroSaídas[[#This Row],[Data da Competência]]="",0,MONTH(TbRegistroSaídas[[#This Row],[Data da Competência]]))</f>
        <v>2</v>
      </c>
      <c r="L74">
        <f>IF(TbRegistroSaídas[[#This Row],[Data da Competência]]="",0,YEAR(TbRegistroSaídas[[#This Row],[Data da Competência]]))</f>
        <v>2018</v>
      </c>
      <c r="M74" s="53">
        <f>IF(TbRegistroSaídas[[#This Row],[Data do Caixa Previsto]]="",0,MONTH(TbRegistroSaídas[[#This Row],[Data do Caixa Previsto]]))</f>
        <v>3</v>
      </c>
      <c r="N74" s="53">
        <f>IF(TbRegistroSaídas[[#This Row],[Data do Caixa Previsto]]="",0,YEAR(TbRegistroSaídas[[#This Row],[Data do Caixa Previsto]]))</f>
        <v>2018</v>
      </c>
      <c r="O74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75" spans="2:15" x14ac:dyDescent="0.3">
      <c r="B75" s="8">
        <v>43238.007350836197</v>
      </c>
      <c r="C75" s="8">
        <v>43145</v>
      </c>
      <c r="D75" s="8">
        <v>43150.456480487795</v>
      </c>
      <c r="E75" t="s">
        <v>39</v>
      </c>
      <c r="F75" t="s">
        <v>35</v>
      </c>
      <c r="G75" t="s">
        <v>358</v>
      </c>
      <c r="H75" s="14">
        <v>2801</v>
      </c>
      <c r="I75">
        <f>IF(TbRegistroSaídas[[#This Row],[Data do Caixa Realizado]]="",0,MONTH(TbRegistroSaídas[[#This Row],[Data do Caixa Realizado]]))</f>
        <v>5</v>
      </c>
      <c r="J75">
        <f>IF(TbRegistroSaídas[[#This Row],[Data do Caixa Realizado]]="",0,YEAR(TbRegistroSaídas[[#This Row],[Data do Caixa Realizado]]))</f>
        <v>2018</v>
      </c>
      <c r="K75">
        <f>IF(TbRegistroSaídas[[#This Row],[Data da Competência]]="",0,MONTH(TbRegistroSaídas[[#This Row],[Data da Competência]]))</f>
        <v>2</v>
      </c>
      <c r="L75">
        <f>IF(TbRegistroSaídas[[#This Row],[Data da Competência]]="",0,YEAR(TbRegistroSaídas[[#This Row],[Data da Competência]]))</f>
        <v>2018</v>
      </c>
      <c r="M75" s="53">
        <f>IF(TbRegistroSaídas[[#This Row],[Data do Caixa Previsto]]="",0,MONTH(TbRegistroSaídas[[#This Row],[Data do Caixa Previsto]]))</f>
        <v>2</v>
      </c>
      <c r="N75" s="53">
        <f>IF(TbRegistroSaídas[[#This Row],[Data do Caixa Previsto]]="",0,YEAR(TbRegistroSaídas[[#This Row],[Data do Caixa Previsto]]))</f>
        <v>2018</v>
      </c>
      <c r="O75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87.550870348401077</v>
      </c>
    </row>
    <row r="76" spans="2:15" x14ac:dyDescent="0.3">
      <c r="B76" s="8" t="s">
        <v>70</v>
      </c>
      <c r="C76" s="8">
        <v>43146</v>
      </c>
      <c r="D76" s="8">
        <v>43169.778347522966</v>
      </c>
      <c r="E76" t="s">
        <v>39</v>
      </c>
      <c r="F76" t="s">
        <v>46</v>
      </c>
      <c r="G76" t="s">
        <v>359</v>
      </c>
      <c r="H76" s="14">
        <v>4438</v>
      </c>
      <c r="I76">
        <f>IF(TbRegistroSaídas[[#This Row],[Data do Caixa Realizado]]="",0,MONTH(TbRegistroSaídas[[#This Row],[Data do Caixa Realizado]]))</f>
        <v>0</v>
      </c>
      <c r="J76">
        <f>IF(TbRegistroSaídas[[#This Row],[Data do Caixa Realizado]]="",0,YEAR(TbRegistroSaídas[[#This Row],[Data do Caixa Realizado]]))</f>
        <v>0</v>
      </c>
      <c r="K76">
        <f>IF(TbRegistroSaídas[[#This Row],[Data da Competência]]="",0,MONTH(TbRegistroSaídas[[#This Row],[Data da Competência]]))</f>
        <v>2</v>
      </c>
      <c r="L76">
        <f>IF(TbRegistroSaídas[[#This Row],[Data da Competência]]="",0,YEAR(TbRegistroSaídas[[#This Row],[Data da Competência]]))</f>
        <v>2018</v>
      </c>
      <c r="M76" s="53">
        <f>IF(TbRegistroSaídas[[#This Row],[Data do Caixa Previsto]]="",0,MONTH(TbRegistroSaídas[[#This Row],[Data do Caixa Previsto]]))</f>
        <v>3</v>
      </c>
      <c r="N76" s="53">
        <f>IF(TbRegistroSaídas[[#This Row],[Data do Caixa Previsto]]="",0,YEAR(TbRegistroSaídas[[#This Row],[Data do Caixa Previsto]]))</f>
        <v>2018</v>
      </c>
      <c r="O76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2439.2216524770338</v>
      </c>
    </row>
    <row r="77" spans="2:15" x14ac:dyDescent="0.3">
      <c r="B77" s="8">
        <v>43198.215136039675</v>
      </c>
      <c r="C77" s="8">
        <v>43151</v>
      </c>
      <c r="D77" s="8">
        <v>43198.215136039675</v>
      </c>
      <c r="E77" t="s">
        <v>39</v>
      </c>
      <c r="F77" t="s">
        <v>34</v>
      </c>
      <c r="G77" t="s">
        <v>360</v>
      </c>
      <c r="H77" s="14">
        <v>3835</v>
      </c>
      <c r="I77">
        <f>IF(TbRegistroSaídas[[#This Row],[Data do Caixa Realizado]]="",0,MONTH(TbRegistroSaídas[[#This Row],[Data do Caixa Realizado]]))</f>
        <v>4</v>
      </c>
      <c r="J77">
        <f>IF(TbRegistroSaídas[[#This Row],[Data do Caixa Realizado]]="",0,YEAR(TbRegistroSaídas[[#This Row],[Data do Caixa Realizado]]))</f>
        <v>2018</v>
      </c>
      <c r="K77">
        <f>IF(TbRegistroSaídas[[#This Row],[Data da Competência]]="",0,MONTH(TbRegistroSaídas[[#This Row],[Data da Competência]]))</f>
        <v>2</v>
      </c>
      <c r="L77">
        <f>IF(TbRegistroSaídas[[#This Row],[Data da Competência]]="",0,YEAR(TbRegistroSaídas[[#This Row],[Data da Competência]]))</f>
        <v>2018</v>
      </c>
      <c r="M77" s="53">
        <f>IF(TbRegistroSaídas[[#This Row],[Data do Caixa Previsto]]="",0,MONTH(TbRegistroSaídas[[#This Row],[Data do Caixa Previsto]]))</f>
        <v>4</v>
      </c>
      <c r="N77" s="53">
        <f>IF(TbRegistroSaídas[[#This Row],[Data do Caixa Previsto]]="",0,YEAR(TbRegistroSaídas[[#This Row],[Data do Caixa Previsto]]))</f>
        <v>2018</v>
      </c>
      <c r="O77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78" spans="2:15" x14ac:dyDescent="0.3">
      <c r="B78" s="8">
        <v>43199.384372741159</v>
      </c>
      <c r="C78" s="8">
        <v>43160</v>
      </c>
      <c r="D78" s="8">
        <v>43199.384372741159</v>
      </c>
      <c r="E78" t="s">
        <v>39</v>
      </c>
      <c r="F78" t="s">
        <v>46</v>
      </c>
      <c r="G78" t="s">
        <v>361</v>
      </c>
      <c r="H78" s="14">
        <v>3893</v>
      </c>
      <c r="I78">
        <f>IF(TbRegistroSaídas[[#This Row],[Data do Caixa Realizado]]="",0,MONTH(TbRegistroSaídas[[#This Row],[Data do Caixa Realizado]]))</f>
        <v>4</v>
      </c>
      <c r="J78">
        <f>IF(TbRegistroSaídas[[#This Row],[Data do Caixa Realizado]]="",0,YEAR(TbRegistroSaídas[[#This Row],[Data do Caixa Realizado]]))</f>
        <v>2018</v>
      </c>
      <c r="K78">
        <f>IF(TbRegistroSaídas[[#This Row],[Data da Competência]]="",0,MONTH(TbRegistroSaídas[[#This Row],[Data da Competência]]))</f>
        <v>3</v>
      </c>
      <c r="L78">
        <f>IF(TbRegistroSaídas[[#This Row],[Data da Competência]]="",0,YEAR(TbRegistroSaídas[[#This Row],[Data da Competência]]))</f>
        <v>2018</v>
      </c>
      <c r="M78" s="53">
        <f>IF(TbRegistroSaídas[[#This Row],[Data do Caixa Previsto]]="",0,MONTH(TbRegistroSaídas[[#This Row],[Data do Caixa Previsto]]))</f>
        <v>4</v>
      </c>
      <c r="N78" s="53">
        <f>IF(TbRegistroSaídas[[#This Row],[Data do Caixa Previsto]]="",0,YEAR(TbRegistroSaídas[[#This Row],[Data do Caixa Previsto]]))</f>
        <v>2018</v>
      </c>
      <c r="O78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79" spans="2:15" x14ac:dyDescent="0.3">
      <c r="B79" s="8">
        <v>43184.353160705636</v>
      </c>
      <c r="C79" s="8">
        <v>43163</v>
      </c>
      <c r="D79" s="8">
        <v>43184.353160705636</v>
      </c>
      <c r="E79" t="s">
        <v>39</v>
      </c>
      <c r="F79" t="s">
        <v>46</v>
      </c>
      <c r="G79" t="s">
        <v>225</v>
      </c>
      <c r="H79" s="14">
        <v>1970</v>
      </c>
      <c r="I79">
        <f>IF(TbRegistroSaídas[[#This Row],[Data do Caixa Realizado]]="",0,MONTH(TbRegistroSaídas[[#This Row],[Data do Caixa Realizado]]))</f>
        <v>3</v>
      </c>
      <c r="J79">
        <f>IF(TbRegistroSaídas[[#This Row],[Data do Caixa Realizado]]="",0,YEAR(TbRegistroSaídas[[#This Row],[Data do Caixa Realizado]]))</f>
        <v>2018</v>
      </c>
      <c r="K79">
        <f>IF(TbRegistroSaídas[[#This Row],[Data da Competência]]="",0,MONTH(TbRegistroSaídas[[#This Row],[Data da Competência]]))</f>
        <v>3</v>
      </c>
      <c r="L79">
        <f>IF(TbRegistroSaídas[[#This Row],[Data da Competência]]="",0,YEAR(TbRegistroSaídas[[#This Row],[Data da Competência]]))</f>
        <v>2018</v>
      </c>
      <c r="M79" s="53">
        <f>IF(TbRegistroSaídas[[#This Row],[Data do Caixa Previsto]]="",0,MONTH(TbRegistroSaídas[[#This Row],[Data do Caixa Previsto]]))</f>
        <v>3</v>
      </c>
      <c r="N79" s="53">
        <f>IF(TbRegistroSaídas[[#This Row],[Data do Caixa Previsto]]="",0,YEAR(TbRegistroSaídas[[#This Row],[Data do Caixa Previsto]]))</f>
        <v>2018</v>
      </c>
      <c r="O79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80" spans="2:15" x14ac:dyDescent="0.3">
      <c r="B80" s="8">
        <v>43219.347145801272</v>
      </c>
      <c r="C80" s="8">
        <v>43164</v>
      </c>
      <c r="D80" s="8">
        <v>43219.347145801272</v>
      </c>
      <c r="E80" t="s">
        <v>39</v>
      </c>
      <c r="F80" t="s">
        <v>35</v>
      </c>
      <c r="G80" t="s">
        <v>362</v>
      </c>
      <c r="H80" s="14">
        <v>729</v>
      </c>
      <c r="I80">
        <f>IF(TbRegistroSaídas[[#This Row],[Data do Caixa Realizado]]="",0,MONTH(TbRegistroSaídas[[#This Row],[Data do Caixa Realizado]]))</f>
        <v>4</v>
      </c>
      <c r="J80">
        <f>IF(TbRegistroSaídas[[#This Row],[Data do Caixa Realizado]]="",0,YEAR(TbRegistroSaídas[[#This Row],[Data do Caixa Realizado]]))</f>
        <v>2018</v>
      </c>
      <c r="K80">
        <f>IF(TbRegistroSaídas[[#This Row],[Data da Competência]]="",0,MONTH(TbRegistroSaídas[[#This Row],[Data da Competência]]))</f>
        <v>3</v>
      </c>
      <c r="L80">
        <f>IF(TbRegistroSaídas[[#This Row],[Data da Competência]]="",0,YEAR(TbRegistroSaídas[[#This Row],[Data da Competência]]))</f>
        <v>2018</v>
      </c>
      <c r="M80" s="53">
        <f>IF(TbRegistroSaídas[[#This Row],[Data do Caixa Previsto]]="",0,MONTH(TbRegistroSaídas[[#This Row],[Data do Caixa Previsto]]))</f>
        <v>4</v>
      </c>
      <c r="N80" s="53">
        <f>IF(TbRegistroSaídas[[#This Row],[Data do Caixa Previsto]]="",0,YEAR(TbRegistroSaídas[[#This Row],[Data do Caixa Previsto]]))</f>
        <v>2018</v>
      </c>
      <c r="O80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81" spans="2:15" x14ac:dyDescent="0.3">
      <c r="B81" s="8">
        <v>43188.959993905235</v>
      </c>
      <c r="C81" s="8">
        <v>43166</v>
      </c>
      <c r="D81" s="8">
        <v>43188.959993905235</v>
      </c>
      <c r="E81" t="s">
        <v>39</v>
      </c>
      <c r="F81" t="s">
        <v>34</v>
      </c>
      <c r="G81" t="s">
        <v>363</v>
      </c>
      <c r="H81" s="14">
        <v>474</v>
      </c>
      <c r="I81">
        <f>IF(TbRegistroSaídas[[#This Row],[Data do Caixa Realizado]]="",0,MONTH(TbRegistroSaídas[[#This Row],[Data do Caixa Realizado]]))</f>
        <v>3</v>
      </c>
      <c r="J81">
        <f>IF(TbRegistroSaídas[[#This Row],[Data do Caixa Realizado]]="",0,YEAR(TbRegistroSaídas[[#This Row],[Data do Caixa Realizado]]))</f>
        <v>2018</v>
      </c>
      <c r="K81">
        <f>IF(TbRegistroSaídas[[#This Row],[Data da Competência]]="",0,MONTH(TbRegistroSaídas[[#This Row],[Data da Competência]]))</f>
        <v>3</v>
      </c>
      <c r="L81">
        <f>IF(TbRegistroSaídas[[#This Row],[Data da Competência]]="",0,YEAR(TbRegistroSaídas[[#This Row],[Data da Competência]]))</f>
        <v>2018</v>
      </c>
      <c r="M81" s="53">
        <f>IF(TbRegistroSaídas[[#This Row],[Data do Caixa Previsto]]="",0,MONTH(TbRegistroSaídas[[#This Row],[Data do Caixa Previsto]]))</f>
        <v>3</v>
      </c>
      <c r="N81" s="53">
        <f>IF(TbRegistroSaídas[[#This Row],[Data do Caixa Previsto]]="",0,YEAR(TbRegistroSaídas[[#This Row],[Data do Caixa Previsto]]))</f>
        <v>2018</v>
      </c>
      <c r="O81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82" spans="2:15" x14ac:dyDescent="0.3">
      <c r="B82" s="8">
        <v>43197.842717434411</v>
      </c>
      <c r="C82" s="8">
        <v>43168</v>
      </c>
      <c r="D82" s="8">
        <v>43197.842717434411</v>
      </c>
      <c r="E82" t="s">
        <v>39</v>
      </c>
      <c r="F82" t="s">
        <v>35</v>
      </c>
      <c r="G82" t="s">
        <v>364</v>
      </c>
      <c r="H82" s="14">
        <v>3164</v>
      </c>
      <c r="I82">
        <f>IF(TbRegistroSaídas[[#This Row],[Data do Caixa Realizado]]="",0,MONTH(TbRegistroSaídas[[#This Row],[Data do Caixa Realizado]]))</f>
        <v>4</v>
      </c>
      <c r="J82">
        <f>IF(TbRegistroSaídas[[#This Row],[Data do Caixa Realizado]]="",0,YEAR(TbRegistroSaídas[[#This Row],[Data do Caixa Realizado]]))</f>
        <v>2018</v>
      </c>
      <c r="K82">
        <f>IF(TbRegistroSaídas[[#This Row],[Data da Competência]]="",0,MONTH(TbRegistroSaídas[[#This Row],[Data da Competência]]))</f>
        <v>3</v>
      </c>
      <c r="L82">
        <f>IF(TbRegistroSaídas[[#This Row],[Data da Competência]]="",0,YEAR(TbRegistroSaídas[[#This Row],[Data da Competência]]))</f>
        <v>2018</v>
      </c>
      <c r="M82" s="53">
        <f>IF(TbRegistroSaídas[[#This Row],[Data do Caixa Previsto]]="",0,MONTH(TbRegistroSaídas[[#This Row],[Data do Caixa Previsto]]))</f>
        <v>4</v>
      </c>
      <c r="N82" s="53">
        <f>IF(TbRegistroSaídas[[#This Row],[Data do Caixa Previsto]]="",0,YEAR(TbRegistroSaídas[[#This Row],[Data do Caixa Previsto]]))</f>
        <v>2018</v>
      </c>
      <c r="O82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83" spans="2:15" x14ac:dyDescent="0.3">
      <c r="B83" s="8">
        <v>43228.717380772498</v>
      </c>
      <c r="C83" s="8">
        <v>43173</v>
      </c>
      <c r="D83" s="8">
        <v>43228.717380772498</v>
      </c>
      <c r="E83" t="s">
        <v>39</v>
      </c>
      <c r="F83" t="s">
        <v>46</v>
      </c>
      <c r="G83" t="s">
        <v>365</v>
      </c>
      <c r="H83" s="14">
        <v>3113</v>
      </c>
      <c r="I83">
        <f>IF(TbRegistroSaídas[[#This Row],[Data do Caixa Realizado]]="",0,MONTH(TbRegistroSaídas[[#This Row],[Data do Caixa Realizado]]))</f>
        <v>5</v>
      </c>
      <c r="J83">
        <f>IF(TbRegistroSaídas[[#This Row],[Data do Caixa Realizado]]="",0,YEAR(TbRegistroSaídas[[#This Row],[Data do Caixa Realizado]]))</f>
        <v>2018</v>
      </c>
      <c r="K83">
        <f>IF(TbRegistroSaídas[[#This Row],[Data da Competência]]="",0,MONTH(TbRegistroSaídas[[#This Row],[Data da Competência]]))</f>
        <v>3</v>
      </c>
      <c r="L83">
        <f>IF(TbRegistroSaídas[[#This Row],[Data da Competência]]="",0,YEAR(TbRegistroSaídas[[#This Row],[Data da Competência]]))</f>
        <v>2018</v>
      </c>
      <c r="M83" s="53">
        <f>IF(TbRegistroSaídas[[#This Row],[Data do Caixa Previsto]]="",0,MONTH(TbRegistroSaídas[[#This Row],[Data do Caixa Previsto]]))</f>
        <v>5</v>
      </c>
      <c r="N83" s="53">
        <f>IF(TbRegistroSaídas[[#This Row],[Data do Caixa Previsto]]="",0,YEAR(TbRegistroSaídas[[#This Row],[Data do Caixa Previsto]]))</f>
        <v>2018</v>
      </c>
      <c r="O83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84" spans="2:15" x14ac:dyDescent="0.3">
      <c r="B84" s="8">
        <v>43288.26904093464</v>
      </c>
      <c r="C84" s="8">
        <v>43176</v>
      </c>
      <c r="D84" s="8">
        <v>43201.571307437043</v>
      </c>
      <c r="E84" t="s">
        <v>39</v>
      </c>
      <c r="F84" t="s">
        <v>33</v>
      </c>
      <c r="G84" t="s">
        <v>366</v>
      </c>
      <c r="H84" s="14">
        <v>789</v>
      </c>
      <c r="I84">
        <f>IF(TbRegistroSaídas[[#This Row],[Data do Caixa Realizado]]="",0,MONTH(TbRegistroSaídas[[#This Row],[Data do Caixa Realizado]]))</f>
        <v>7</v>
      </c>
      <c r="J84">
        <f>IF(TbRegistroSaídas[[#This Row],[Data do Caixa Realizado]]="",0,YEAR(TbRegistroSaídas[[#This Row],[Data do Caixa Realizado]]))</f>
        <v>2018</v>
      </c>
      <c r="K84">
        <f>IF(TbRegistroSaídas[[#This Row],[Data da Competência]]="",0,MONTH(TbRegistroSaídas[[#This Row],[Data da Competência]]))</f>
        <v>3</v>
      </c>
      <c r="L84">
        <f>IF(TbRegistroSaídas[[#This Row],[Data da Competência]]="",0,YEAR(TbRegistroSaídas[[#This Row],[Data da Competência]]))</f>
        <v>2018</v>
      </c>
      <c r="M84" s="53">
        <f>IF(TbRegistroSaídas[[#This Row],[Data do Caixa Previsto]]="",0,MONTH(TbRegistroSaídas[[#This Row],[Data do Caixa Previsto]]))</f>
        <v>4</v>
      </c>
      <c r="N84" s="53">
        <f>IF(TbRegistroSaídas[[#This Row],[Data do Caixa Previsto]]="",0,YEAR(TbRegistroSaídas[[#This Row],[Data do Caixa Previsto]]))</f>
        <v>2018</v>
      </c>
      <c r="O84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86.697733497596346</v>
      </c>
    </row>
    <row r="85" spans="2:15" x14ac:dyDescent="0.3">
      <c r="B85" s="8">
        <v>43191.559855343337</v>
      </c>
      <c r="C85" s="8">
        <v>43180</v>
      </c>
      <c r="D85" s="8">
        <v>43191.559855343337</v>
      </c>
      <c r="E85" t="s">
        <v>39</v>
      </c>
      <c r="F85" t="s">
        <v>33</v>
      </c>
      <c r="G85" t="s">
        <v>367</v>
      </c>
      <c r="H85" s="14">
        <v>3521</v>
      </c>
      <c r="I85">
        <f>IF(TbRegistroSaídas[[#This Row],[Data do Caixa Realizado]]="",0,MONTH(TbRegistroSaídas[[#This Row],[Data do Caixa Realizado]]))</f>
        <v>4</v>
      </c>
      <c r="J85">
        <f>IF(TbRegistroSaídas[[#This Row],[Data do Caixa Realizado]]="",0,YEAR(TbRegistroSaídas[[#This Row],[Data do Caixa Realizado]]))</f>
        <v>2018</v>
      </c>
      <c r="K85">
        <f>IF(TbRegistroSaídas[[#This Row],[Data da Competência]]="",0,MONTH(TbRegistroSaídas[[#This Row],[Data da Competência]]))</f>
        <v>3</v>
      </c>
      <c r="L85">
        <f>IF(TbRegistroSaídas[[#This Row],[Data da Competência]]="",0,YEAR(TbRegistroSaídas[[#This Row],[Data da Competência]]))</f>
        <v>2018</v>
      </c>
      <c r="M85" s="53">
        <f>IF(TbRegistroSaídas[[#This Row],[Data do Caixa Previsto]]="",0,MONTH(TbRegistroSaídas[[#This Row],[Data do Caixa Previsto]]))</f>
        <v>4</v>
      </c>
      <c r="N85" s="53">
        <f>IF(TbRegistroSaídas[[#This Row],[Data do Caixa Previsto]]="",0,YEAR(TbRegistroSaídas[[#This Row],[Data do Caixa Previsto]]))</f>
        <v>2018</v>
      </c>
      <c r="O85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86" spans="2:15" x14ac:dyDescent="0.3">
      <c r="B86" s="8">
        <v>43187.734676954671</v>
      </c>
      <c r="C86" s="8">
        <v>43183</v>
      </c>
      <c r="D86" s="8">
        <v>43187.734676954671</v>
      </c>
      <c r="E86" t="s">
        <v>39</v>
      </c>
      <c r="F86" t="s">
        <v>46</v>
      </c>
      <c r="G86" t="s">
        <v>368</v>
      </c>
      <c r="H86" s="14">
        <v>4947</v>
      </c>
      <c r="I86">
        <f>IF(TbRegistroSaídas[[#This Row],[Data do Caixa Realizado]]="",0,MONTH(TbRegistroSaídas[[#This Row],[Data do Caixa Realizado]]))</f>
        <v>3</v>
      </c>
      <c r="J86">
        <f>IF(TbRegistroSaídas[[#This Row],[Data do Caixa Realizado]]="",0,YEAR(TbRegistroSaídas[[#This Row],[Data do Caixa Realizado]]))</f>
        <v>2018</v>
      </c>
      <c r="K86">
        <f>IF(TbRegistroSaídas[[#This Row],[Data da Competência]]="",0,MONTH(TbRegistroSaídas[[#This Row],[Data da Competência]]))</f>
        <v>3</v>
      </c>
      <c r="L86">
        <f>IF(TbRegistroSaídas[[#This Row],[Data da Competência]]="",0,YEAR(TbRegistroSaídas[[#This Row],[Data da Competência]]))</f>
        <v>2018</v>
      </c>
      <c r="M86" s="53">
        <f>IF(TbRegistroSaídas[[#This Row],[Data do Caixa Previsto]]="",0,MONTH(TbRegistroSaídas[[#This Row],[Data do Caixa Previsto]]))</f>
        <v>3</v>
      </c>
      <c r="N86" s="53">
        <f>IF(TbRegistroSaídas[[#This Row],[Data do Caixa Previsto]]="",0,YEAR(TbRegistroSaídas[[#This Row],[Data do Caixa Previsto]]))</f>
        <v>2018</v>
      </c>
      <c r="O86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87" spans="2:15" x14ac:dyDescent="0.3">
      <c r="B87" s="8">
        <v>43223.623035835837</v>
      </c>
      <c r="C87" s="8">
        <v>43184</v>
      </c>
      <c r="D87" s="8">
        <v>43223.623035835837</v>
      </c>
      <c r="E87" t="s">
        <v>39</v>
      </c>
      <c r="F87" t="s">
        <v>33</v>
      </c>
      <c r="G87" t="s">
        <v>369</v>
      </c>
      <c r="H87" s="14">
        <v>1527</v>
      </c>
      <c r="I87">
        <f>IF(TbRegistroSaídas[[#This Row],[Data do Caixa Realizado]]="",0,MONTH(TbRegistroSaídas[[#This Row],[Data do Caixa Realizado]]))</f>
        <v>5</v>
      </c>
      <c r="J87">
        <f>IF(TbRegistroSaídas[[#This Row],[Data do Caixa Realizado]]="",0,YEAR(TbRegistroSaídas[[#This Row],[Data do Caixa Realizado]]))</f>
        <v>2018</v>
      </c>
      <c r="K87">
        <f>IF(TbRegistroSaídas[[#This Row],[Data da Competência]]="",0,MONTH(TbRegistroSaídas[[#This Row],[Data da Competência]]))</f>
        <v>3</v>
      </c>
      <c r="L87">
        <f>IF(TbRegistroSaídas[[#This Row],[Data da Competência]]="",0,YEAR(TbRegistroSaídas[[#This Row],[Data da Competência]]))</f>
        <v>2018</v>
      </c>
      <c r="M87" s="53">
        <f>IF(TbRegistroSaídas[[#This Row],[Data do Caixa Previsto]]="",0,MONTH(TbRegistroSaídas[[#This Row],[Data do Caixa Previsto]]))</f>
        <v>5</v>
      </c>
      <c r="N87" s="53">
        <f>IF(TbRegistroSaídas[[#This Row],[Data do Caixa Previsto]]="",0,YEAR(TbRegistroSaídas[[#This Row],[Data do Caixa Previsto]]))</f>
        <v>2018</v>
      </c>
      <c r="O87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88" spans="2:15" x14ac:dyDescent="0.3">
      <c r="B88" s="8">
        <v>43234.522556233635</v>
      </c>
      <c r="C88" s="8">
        <v>43191</v>
      </c>
      <c r="D88" s="8">
        <v>43234.522556233635</v>
      </c>
      <c r="E88" t="s">
        <v>39</v>
      </c>
      <c r="F88" t="s">
        <v>33</v>
      </c>
      <c r="G88" t="s">
        <v>370</v>
      </c>
      <c r="H88" s="14">
        <v>764</v>
      </c>
      <c r="I88">
        <f>IF(TbRegistroSaídas[[#This Row],[Data do Caixa Realizado]]="",0,MONTH(TbRegistroSaídas[[#This Row],[Data do Caixa Realizado]]))</f>
        <v>5</v>
      </c>
      <c r="J88">
        <f>IF(TbRegistroSaídas[[#This Row],[Data do Caixa Realizado]]="",0,YEAR(TbRegistroSaídas[[#This Row],[Data do Caixa Realizado]]))</f>
        <v>2018</v>
      </c>
      <c r="K88">
        <f>IF(TbRegistroSaídas[[#This Row],[Data da Competência]]="",0,MONTH(TbRegistroSaídas[[#This Row],[Data da Competência]]))</f>
        <v>4</v>
      </c>
      <c r="L88">
        <f>IF(TbRegistroSaídas[[#This Row],[Data da Competência]]="",0,YEAR(TbRegistroSaídas[[#This Row],[Data da Competência]]))</f>
        <v>2018</v>
      </c>
      <c r="M88" s="53">
        <f>IF(TbRegistroSaídas[[#This Row],[Data do Caixa Previsto]]="",0,MONTH(TbRegistroSaídas[[#This Row],[Data do Caixa Previsto]]))</f>
        <v>5</v>
      </c>
      <c r="N88" s="53">
        <f>IF(TbRegistroSaídas[[#This Row],[Data do Caixa Previsto]]="",0,YEAR(TbRegistroSaídas[[#This Row],[Data do Caixa Previsto]]))</f>
        <v>2018</v>
      </c>
      <c r="O88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89" spans="2:15" x14ac:dyDescent="0.3">
      <c r="B89" s="8">
        <v>43202.116934975762</v>
      </c>
      <c r="C89" s="8">
        <v>43193</v>
      </c>
      <c r="D89" s="8">
        <v>43202.116934975762</v>
      </c>
      <c r="E89" t="s">
        <v>39</v>
      </c>
      <c r="F89" t="s">
        <v>34</v>
      </c>
      <c r="G89" t="s">
        <v>371</v>
      </c>
      <c r="H89" s="14">
        <v>2463</v>
      </c>
      <c r="I89">
        <f>IF(TbRegistroSaídas[[#This Row],[Data do Caixa Realizado]]="",0,MONTH(TbRegistroSaídas[[#This Row],[Data do Caixa Realizado]]))</f>
        <v>4</v>
      </c>
      <c r="J89">
        <f>IF(TbRegistroSaídas[[#This Row],[Data do Caixa Realizado]]="",0,YEAR(TbRegistroSaídas[[#This Row],[Data do Caixa Realizado]]))</f>
        <v>2018</v>
      </c>
      <c r="K89">
        <f>IF(TbRegistroSaídas[[#This Row],[Data da Competência]]="",0,MONTH(TbRegistroSaídas[[#This Row],[Data da Competência]]))</f>
        <v>4</v>
      </c>
      <c r="L89">
        <f>IF(TbRegistroSaídas[[#This Row],[Data da Competência]]="",0,YEAR(TbRegistroSaídas[[#This Row],[Data da Competência]]))</f>
        <v>2018</v>
      </c>
      <c r="M89" s="53">
        <f>IF(TbRegistroSaídas[[#This Row],[Data do Caixa Previsto]]="",0,MONTH(TbRegistroSaídas[[#This Row],[Data do Caixa Previsto]]))</f>
        <v>4</v>
      </c>
      <c r="N89" s="53">
        <f>IF(TbRegistroSaídas[[#This Row],[Data do Caixa Previsto]]="",0,YEAR(TbRegistroSaídas[[#This Row],[Data do Caixa Previsto]]))</f>
        <v>2018</v>
      </c>
      <c r="O89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90" spans="2:15" x14ac:dyDescent="0.3">
      <c r="B90" s="8">
        <v>43220.080853168562</v>
      </c>
      <c r="C90" s="8">
        <v>43195</v>
      </c>
      <c r="D90" s="8">
        <v>43215.697364070438</v>
      </c>
      <c r="E90" t="s">
        <v>39</v>
      </c>
      <c r="F90" t="s">
        <v>35</v>
      </c>
      <c r="G90" t="s">
        <v>372</v>
      </c>
      <c r="H90" s="14">
        <v>2111</v>
      </c>
      <c r="I90">
        <f>IF(TbRegistroSaídas[[#This Row],[Data do Caixa Realizado]]="",0,MONTH(TbRegistroSaídas[[#This Row],[Data do Caixa Realizado]]))</f>
        <v>4</v>
      </c>
      <c r="J90">
        <f>IF(TbRegistroSaídas[[#This Row],[Data do Caixa Realizado]]="",0,YEAR(TbRegistroSaídas[[#This Row],[Data do Caixa Realizado]]))</f>
        <v>2018</v>
      </c>
      <c r="K90">
        <f>IF(TbRegistroSaídas[[#This Row],[Data da Competência]]="",0,MONTH(TbRegistroSaídas[[#This Row],[Data da Competência]]))</f>
        <v>4</v>
      </c>
      <c r="L90">
        <f>IF(TbRegistroSaídas[[#This Row],[Data da Competência]]="",0,YEAR(TbRegistroSaídas[[#This Row],[Data da Competência]]))</f>
        <v>2018</v>
      </c>
      <c r="M90" s="53">
        <f>IF(TbRegistroSaídas[[#This Row],[Data do Caixa Previsto]]="",0,MONTH(TbRegistroSaídas[[#This Row],[Data do Caixa Previsto]]))</f>
        <v>4</v>
      </c>
      <c r="N90" s="53">
        <f>IF(TbRegistroSaídas[[#This Row],[Data do Caixa Previsto]]="",0,YEAR(TbRegistroSaídas[[#This Row],[Data do Caixa Previsto]]))</f>
        <v>2018</v>
      </c>
      <c r="O90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4.3834890981233912</v>
      </c>
    </row>
    <row r="91" spans="2:15" x14ac:dyDescent="0.3">
      <c r="B91" s="8">
        <v>43221.571171062293</v>
      </c>
      <c r="C91" s="8">
        <v>43196</v>
      </c>
      <c r="D91" s="8">
        <v>43221.571171062293</v>
      </c>
      <c r="E91" t="s">
        <v>39</v>
      </c>
      <c r="F91" t="s">
        <v>46</v>
      </c>
      <c r="G91" t="s">
        <v>373</v>
      </c>
      <c r="H91" s="14">
        <v>1144</v>
      </c>
      <c r="I91">
        <f>IF(TbRegistroSaídas[[#This Row],[Data do Caixa Realizado]]="",0,MONTH(TbRegistroSaídas[[#This Row],[Data do Caixa Realizado]]))</f>
        <v>5</v>
      </c>
      <c r="J91">
        <f>IF(TbRegistroSaídas[[#This Row],[Data do Caixa Realizado]]="",0,YEAR(TbRegistroSaídas[[#This Row],[Data do Caixa Realizado]]))</f>
        <v>2018</v>
      </c>
      <c r="K91">
        <f>IF(TbRegistroSaídas[[#This Row],[Data da Competência]]="",0,MONTH(TbRegistroSaídas[[#This Row],[Data da Competência]]))</f>
        <v>4</v>
      </c>
      <c r="L91">
        <f>IF(TbRegistroSaídas[[#This Row],[Data da Competência]]="",0,YEAR(TbRegistroSaídas[[#This Row],[Data da Competência]]))</f>
        <v>2018</v>
      </c>
      <c r="M91" s="53">
        <f>IF(TbRegistroSaídas[[#This Row],[Data do Caixa Previsto]]="",0,MONTH(TbRegistroSaídas[[#This Row],[Data do Caixa Previsto]]))</f>
        <v>5</v>
      </c>
      <c r="N91" s="53">
        <f>IF(TbRegistroSaídas[[#This Row],[Data do Caixa Previsto]]="",0,YEAR(TbRegistroSaídas[[#This Row],[Data do Caixa Previsto]]))</f>
        <v>2018</v>
      </c>
      <c r="O91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92" spans="2:15" x14ac:dyDescent="0.3">
      <c r="B92" s="8">
        <v>43240.686796046153</v>
      </c>
      <c r="C92" s="8">
        <v>43200</v>
      </c>
      <c r="D92" s="8">
        <v>43240.686796046153</v>
      </c>
      <c r="E92" t="s">
        <v>39</v>
      </c>
      <c r="F92" t="s">
        <v>35</v>
      </c>
      <c r="G92" t="s">
        <v>374</v>
      </c>
      <c r="H92" s="14">
        <v>597</v>
      </c>
      <c r="I92">
        <f>IF(TbRegistroSaídas[[#This Row],[Data do Caixa Realizado]]="",0,MONTH(TbRegistroSaídas[[#This Row],[Data do Caixa Realizado]]))</f>
        <v>5</v>
      </c>
      <c r="J92">
        <f>IF(TbRegistroSaídas[[#This Row],[Data do Caixa Realizado]]="",0,YEAR(TbRegistroSaídas[[#This Row],[Data do Caixa Realizado]]))</f>
        <v>2018</v>
      </c>
      <c r="K92">
        <f>IF(TbRegistroSaídas[[#This Row],[Data da Competência]]="",0,MONTH(TbRegistroSaídas[[#This Row],[Data da Competência]]))</f>
        <v>4</v>
      </c>
      <c r="L92">
        <f>IF(TbRegistroSaídas[[#This Row],[Data da Competência]]="",0,YEAR(TbRegistroSaídas[[#This Row],[Data da Competência]]))</f>
        <v>2018</v>
      </c>
      <c r="M92" s="53">
        <f>IF(TbRegistroSaídas[[#This Row],[Data do Caixa Previsto]]="",0,MONTH(TbRegistroSaídas[[#This Row],[Data do Caixa Previsto]]))</f>
        <v>5</v>
      </c>
      <c r="N92" s="53">
        <f>IF(TbRegistroSaídas[[#This Row],[Data do Caixa Previsto]]="",0,YEAR(TbRegistroSaídas[[#This Row],[Data do Caixa Previsto]]))</f>
        <v>2018</v>
      </c>
      <c r="O92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93" spans="2:15" x14ac:dyDescent="0.3">
      <c r="B93" s="8">
        <v>43290.30848134488</v>
      </c>
      <c r="C93" s="8">
        <v>43206</v>
      </c>
      <c r="D93" s="8">
        <v>43209.120587233294</v>
      </c>
      <c r="E93" t="s">
        <v>39</v>
      </c>
      <c r="F93" t="s">
        <v>46</v>
      </c>
      <c r="G93" t="s">
        <v>375</v>
      </c>
      <c r="H93" s="14">
        <v>3445</v>
      </c>
      <c r="I93">
        <f>IF(TbRegistroSaídas[[#This Row],[Data do Caixa Realizado]]="",0,MONTH(TbRegistroSaídas[[#This Row],[Data do Caixa Realizado]]))</f>
        <v>7</v>
      </c>
      <c r="J93">
        <f>IF(TbRegistroSaídas[[#This Row],[Data do Caixa Realizado]]="",0,YEAR(TbRegistroSaídas[[#This Row],[Data do Caixa Realizado]]))</f>
        <v>2018</v>
      </c>
      <c r="K93">
        <f>IF(TbRegistroSaídas[[#This Row],[Data da Competência]]="",0,MONTH(TbRegistroSaídas[[#This Row],[Data da Competência]]))</f>
        <v>4</v>
      </c>
      <c r="L93">
        <f>IF(TbRegistroSaídas[[#This Row],[Data da Competência]]="",0,YEAR(TbRegistroSaídas[[#This Row],[Data da Competência]]))</f>
        <v>2018</v>
      </c>
      <c r="M93" s="53">
        <f>IF(TbRegistroSaídas[[#This Row],[Data do Caixa Previsto]]="",0,MONTH(TbRegistroSaídas[[#This Row],[Data do Caixa Previsto]]))</f>
        <v>4</v>
      </c>
      <c r="N93" s="53">
        <f>IF(TbRegistroSaídas[[#This Row],[Data do Caixa Previsto]]="",0,YEAR(TbRegistroSaídas[[#This Row],[Data do Caixa Previsto]]))</f>
        <v>2018</v>
      </c>
      <c r="O93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81.187894111586502</v>
      </c>
    </row>
    <row r="94" spans="2:15" x14ac:dyDescent="0.3">
      <c r="B94" s="8">
        <v>43222.305289041076</v>
      </c>
      <c r="C94" s="8">
        <v>43212</v>
      </c>
      <c r="D94" s="8">
        <v>43222.305289041076</v>
      </c>
      <c r="E94" t="s">
        <v>39</v>
      </c>
      <c r="F94" t="s">
        <v>33</v>
      </c>
      <c r="G94" t="s">
        <v>376</v>
      </c>
      <c r="H94" s="14">
        <v>1996</v>
      </c>
      <c r="I94">
        <f>IF(TbRegistroSaídas[[#This Row],[Data do Caixa Realizado]]="",0,MONTH(TbRegistroSaídas[[#This Row],[Data do Caixa Realizado]]))</f>
        <v>5</v>
      </c>
      <c r="J94">
        <f>IF(TbRegistroSaídas[[#This Row],[Data do Caixa Realizado]]="",0,YEAR(TbRegistroSaídas[[#This Row],[Data do Caixa Realizado]]))</f>
        <v>2018</v>
      </c>
      <c r="K94">
        <f>IF(TbRegistroSaídas[[#This Row],[Data da Competência]]="",0,MONTH(TbRegistroSaídas[[#This Row],[Data da Competência]]))</f>
        <v>4</v>
      </c>
      <c r="L94">
        <f>IF(TbRegistroSaídas[[#This Row],[Data da Competência]]="",0,YEAR(TbRegistroSaídas[[#This Row],[Data da Competência]]))</f>
        <v>2018</v>
      </c>
      <c r="M94" s="53">
        <f>IF(TbRegistroSaídas[[#This Row],[Data do Caixa Previsto]]="",0,MONTH(TbRegistroSaídas[[#This Row],[Data do Caixa Previsto]]))</f>
        <v>5</v>
      </c>
      <c r="N94" s="53">
        <f>IF(TbRegistroSaídas[[#This Row],[Data do Caixa Previsto]]="",0,YEAR(TbRegistroSaídas[[#This Row],[Data do Caixa Previsto]]))</f>
        <v>2018</v>
      </c>
      <c r="O94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95" spans="2:15" x14ac:dyDescent="0.3">
      <c r="B95" s="8">
        <v>43232.768700738379</v>
      </c>
      <c r="C95" s="8">
        <v>43218</v>
      </c>
      <c r="D95" s="8">
        <v>43232.768700738379</v>
      </c>
      <c r="E95" t="s">
        <v>39</v>
      </c>
      <c r="F95" t="s">
        <v>35</v>
      </c>
      <c r="G95" t="s">
        <v>377</v>
      </c>
      <c r="H95" s="14">
        <v>1254</v>
      </c>
      <c r="I95">
        <f>IF(TbRegistroSaídas[[#This Row],[Data do Caixa Realizado]]="",0,MONTH(TbRegistroSaídas[[#This Row],[Data do Caixa Realizado]]))</f>
        <v>5</v>
      </c>
      <c r="J95">
        <f>IF(TbRegistroSaídas[[#This Row],[Data do Caixa Realizado]]="",0,YEAR(TbRegistroSaídas[[#This Row],[Data do Caixa Realizado]]))</f>
        <v>2018</v>
      </c>
      <c r="K95">
        <f>IF(TbRegistroSaídas[[#This Row],[Data da Competência]]="",0,MONTH(TbRegistroSaídas[[#This Row],[Data da Competência]]))</f>
        <v>4</v>
      </c>
      <c r="L95">
        <f>IF(TbRegistroSaídas[[#This Row],[Data da Competência]]="",0,YEAR(TbRegistroSaídas[[#This Row],[Data da Competência]]))</f>
        <v>2018</v>
      </c>
      <c r="M95" s="53">
        <f>IF(TbRegistroSaídas[[#This Row],[Data do Caixa Previsto]]="",0,MONTH(TbRegistroSaídas[[#This Row],[Data do Caixa Previsto]]))</f>
        <v>5</v>
      </c>
      <c r="N95" s="53">
        <f>IF(TbRegistroSaídas[[#This Row],[Data do Caixa Previsto]]="",0,YEAR(TbRegistroSaídas[[#This Row],[Data do Caixa Previsto]]))</f>
        <v>2018</v>
      </c>
      <c r="O95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96" spans="2:15" x14ac:dyDescent="0.3">
      <c r="B96" s="8">
        <v>43241.145893950612</v>
      </c>
      <c r="C96" s="8">
        <v>43219</v>
      </c>
      <c r="D96" s="8">
        <v>43223.806256091018</v>
      </c>
      <c r="E96" t="s">
        <v>39</v>
      </c>
      <c r="F96" t="s">
        <v>35</v>
      </c>
      <c r="G96" t="s">
        <v>378</v>
      </c>
      <c r="H96" s="14">
        <v>905</v>
      </c>
      <c r="I96">
        <f>IF(TbRegistroSaídas[[#This Row],[Data do Caixa Realizado]]="",0,MONTH(TbRegistroSaídas[[#This Row],[Data do Caixa Realizado]]))</f>
        <v>5</v>
      </c>
      <c r="J96">
        <f>IF(TbRegistroSaídas[[#This Row],[Data do Caixa Realizado]]="",0,YEAR(TbRegistroSaídas[[#This Row],[Data do Caixa Realizado]]))</f>
        <v>2018</v>
      </c>
      <c r="K96">
        <f>IF(TbRegistroSaídas[[#This Row],[Data da Competência]]="",0,MONTH(TbRegistroSaídas[[#This Row],[Data da Competência]]))</f>
        <v>4</v>
      </c>
      <c r="L96">
        <f>IF(TbRegistroSaídas[[#This Row],[Data da Competência]]="",0,YEAR(TbRegistroSaídas[[#This Row],[Data da Competência]]))</f>
        <v>2018</v>
      </c>
      <c r="M96" s="53">
        <f>IF(TbRegistroSaídas[[#This Row],[Data do Caixa Previsto]]="",0,MONTH(TbRegistroSaídas[[#This Row],[Data do Caixa Previsto]]))</f>
        <v>5</v>
      </c>
      <c r="N96" s="53">
        <f>IF(TbRegistroSaídas[[#This Row],[Data do Caixa Previsto]]="",0,YEAR(TbRegistroSaídas[[#This Row],[Data do Caixa Previsto]]))</f>
        <v>2018</v>
      </c>
      <c r="O96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17.339637859593495</v>
      </c>
    </row>
    <row r="97" spans="2:15" x14ac:dyDescent="0.3">
      <c r="B97" s="8">
        <v>43251.616600040084</v>
      </c>
      <c r="C97" s="8">
        <v>43222</v>
      </c>
      <c r="D97" s="8">
        <v>43251.616600040084</v>
      </c>
      <c r="E97" t="s">
        <v>39</v>
      </c>
      <c r="F97" t="s">
        <v>34</v>
      </c>
      <c r="G97" t="s">
        <v>379</v>
      </c>
      <c r="H97" s="14">
        <v>2975</v>
      </c>
      <c r="I97">
        <f>IF(TbRegistroSaídas[[#This Row],[Data do Caixa Realizado]]="",0,MONTH(TbRegistroSaídas[[#This Row],[Data do Caixa Realizado]]))</f>
        <v>5</v>
      </c>
      <c r="J97">
        <f>IF(TbRegistroSaídas[[#This Row],[Data do Caixa Realizado]]="",0,YEAR(TbRegistroSaídas[[#This Row],[Data do Caixa Realizado]]))</f>
        <v>2018</v>
      </c>
      <c r="K97">
        <f>IF(TbRegistroSaídas[[#This Row],[Data da Competência]]="",0,MONTH(TbRegistroSaídas[[#This Row],[Data da Competência]]))</f>
        <v>5</v>
      </c>
      <c r="L97">
        <f>IF(TbRegistroSaídas[[#This Row],[Data da Competência]]="",0,YEAR(TbRegistroSaídas[[#This Row],[Data da Competência]]))</f>
        <v>2018</v>
      </c>
      <c r="M97" s="53">
        <f>IF(TbRegistroSaídas[[#This Row],[Data do Caixa Previsto]]="",0,MONTH(TbRegistroSaídas[[#This Row],[Data do Caixa Previsto]]))</f>
        <v>5</v>
      </c>
      <c r="N97" s="53">
        <f>IF(TbRegistroSaídas[[#This Row],[Data do Caixa Previsto]]="",0,YEAR(TbRegistroSaídas[[#This Row],[Data do Caixa Previsto]]))</f>
        <v>2018</v>
      </c>
      <c r="O97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98" spans="2:15" x14ac:dyDescent="0.3">
      <c r="B98" s="8">
        <v>43228.679133753983</v>
      </c>
      <c r="C98" s="8">
        <v>43223</v>
      </c>
      <c r="D98" s="8">
        <v>43228.679133753983</v>
      </c>
      <c r="E98" t="s">
        <v>39</v>
      </c>
      <c r="F98" t="s">
        <v>46</v>
      </c>
      <c r="G98" t="s">
        <v>380</v>
      </c>
      <c r="H98" s="14">
        <v>4807</v>
      </c>
      <c r="I98">
        <f>IF(TbRegistroSaídas[[#This Row],[Data do Caixa Realizado]]="",0,MONTH(TbRegistroSaídas[[#This Row],[Data do Caixa Realizado]]))</f>
        <v>5</v>
      </c>
      <c r="J98">
        <f>IF(TbRegistroSaídas[[#This Row],[Data do Caixa Realizado]]="",0,YEAR(TbRegistroSaídas[[#This Row],[Data do Caixa Realizado]]))</f>
        <v>2018</v>
      </c>
      <c r="K98">
        <f>IF(TbRegistroSaídas[[#This Row],[Data da Competência]]="",0,MONTH(TbRegistroSaídas[[#This Row],[Data da Competência]]))</f>
        <v>5</v>
      </c>
      <c r="L98">
        <f>IF(TbRegistroSaídas[[#This Row],[Data da Competência]]="",0,YEAR(TbRegistroSaídas[[#This Row],[Data da Competência]]))</f>
        <v>2018</v>
      </c>
      <c r="M98" s="53">
        <f>IF(TbRegistroSaídas[[#This Row],[Data do Caixa Previsto]]="",0,MONTH(TbRegistroSaídas[[#This Row],[Data do Caixa Previsto]]))</f>
        <v>5</v>
      </c>
      <c r="N98" s="53">
        <f>IF(TbRegistroSaídas[[#This Row],[Data do Caixa Previsto]]="",0,YEAR(TbRegistroSaídas[[#This Row],[Data do Caixa Previsto]]))</f>
        <v>2018</v>
      </c>
      <c r="O98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99" spans="2:15" x14ac:dyDescent="0.3">
      <c r="B99" s="8">
        <v>43264.296949259209</v>
      </c>
      <c r="C99" s="8">
        <v>43230</v>
      </c>
      <c r="D99" s="8">
        <v>43264.296949259209</v>
      </c>
      <c r="E99" t="s">
        <v>39</v>
      </c>
      <c r="F99" t="s">
        <v>33</v>
      </c>
      <c r="G99" t="s">
        <v>381</v>
      </c>
      <c r="H99" s="14">
        <v>1882</v>
      </c>
      <c r="I99">
        <f>IF(TbRegistroSaídas[[#This Row],[Data do Caixa Realizado]]="",0,MONTH(TbRegistroSaídas[[#This Row],[Data do Caixa Realizado]]))</f>
        <v>6</v>
      </c>
      <c r="J99">
        <f>IF(TbRegistroSaídas[[#This Row],[Data do Caixa Realizado]]="",0,YEAR(TbRegistroSaídas[[#This Row],[Data do Caixa Realizado]]))</f>
        <v>2018</v>
      </c>
      <c r="K99">
        <f>IF(TbRegistroSaídas[[#This Row],[Data da Competência]]="",0,MONTH(TbRegistroSaídas[[#This Row],[Data da Competência]]))</f>
        <v>5</v>
      </c>
      <c r="L99">
        <f>IF(TbRegistroSaídas[[#This Row],[Data da Competência]]="",0,YEAR(TbRegistroSaídas[[#This Row],[Data da Competência]]))</f>
        <v>2018</v>
      </c>
      <c r="M99" s="53">
        <f>IF(TbRegistroSaídas[[#This Row],[Data do Caixa Previsto]]="",0,MONTH(TbRegistroSaídas[[#This Row],[Data do Caixa Previsto]]))</f>
        <v>6</v>
      </c>
      <c r="N99" s="53">
        <f>IF(TbRegistroSaídas[[#This Row],[Data do Caixa Previsto]]="",0,YEAR(TbRegistroSaídas[[#This Row],[Data do Caixa Previsto]]))</f>
        <v>2018</v>
      </c>
      <c r="O99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00" spans="2:15" x14ac:dyDescent="0.3">
      <c r="B100" s="8">
        <v>43278.791757178202</v>
      </c>
      <c r="C100" s="8">
        <v>43235</v>
      </c>
      <c r="D100" s="8">
        <v>43278.791757178202</v>
      </c>
      <c r="E100" t="s">
        <v>39</v>
      </c>
      <c r="F100" t="s">
        <v>37</v>
      </c>
      <c r="G100" t="s">
        <v>382</v>
      </c>
      <c r="H100" s="14">
        <v>3932</v>
      </c>
      <c r="I100">
        <f>IF(TbRegistroSaídas[[#This Row],[Data do Caixa Realizado]]="",0,MONTH(TbRegistroSaídas[[#This Row],[Data do Caixa Realizado]]))</f>
        <v>6</v>
      </c>
      <c r="J100">
        <f>IF(TbRegistroSaídas[[#This Row],[Data do Caixa Realizado]]="",0,YEAR(TbRegistroSaídas[[#This Row],[Data do Caixa Realizado]]))</f>
        <v>2018</v>
      </c>
      <c r="K100">
        <f>IF(TbRegistroSaídas[[#This Row],[Data da Competência]]="",0,MONTH(TbRegistroSaídas[[#This Row],[Data da Competência]]))</f>
        <v>5</v>
      </c>
      <c r="L100">
        <f>IF(TbRegistroSaídas[[#This Row],[Data da Competência]]="",0,YEAR(TbRegistroSaídas[[#This Row],[Data da Competência]]))</f>
        <v>2018</v>
      </c>
      <c r="M100" s="53">
        <f>IF(TbRegistroSaídas[[#This Row],[Data do Caixa Previsto]]="",0,MONTH(TbRegistroSaídas[[#This Row],[Data do Caixa Previsto]]))</f>
        <v>6</v>
      </c>
      <c r="N100" s="53">
        <f>IF(TbRegistroSaídas[[#This Row],[Data do Caixa Previsto]]="",0,YEAR(TbRegistroSaídas[[#This Row],[Data do Caixa Previsto]]))</f>
        <v>2018</v>
      </c>
      <c r="O100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01" spans="2:15" x14ac:dyDescent="0.3">
      <c r="B101" s="8" t="s">
        <v>70</v>
      </c>
      <c r="C101" s="8">
        <v>43238</v>
      </c>
      <c r="D101" s="8">
        <v>43253.101312636762</v>
      </c>
      <c r="E101" t="s">
        <v>39</v>
      </c>
      <c r="F101" t="s">
        <v>46</v>
      </c>
      <c r="G101" t="s">
        <v>383</v>
      </c>
      <c r="H101" s="14">
        <v>701</v>
      </c>
      <c r="I101">
        <f>IF(TbRegistroSaídas[[#This Row],[Data do Caixa Realizado]]="",0,MONTH(TbRegistroSaídas[[#This Row],[Data do Caixa Realizado]]))</f>
        <v>0</v>
      </c>
      <c r="J101">
        <f>IF(TbRegistroSaídas[[#This Row],[Data do Caixa Realizado]]="",0,YEAR(TbRegistroSaídas[[#This Row],[Data do Caixa Realizado]]))</f>
        <v>0</v>
      </c>
      <c r="K101">
        <f>IF(TbRegistroSaídas[[#This Row],[Data da Competência]]="",0,MONTH(TbRegistroSaídas[[#This Row],[Data da Competência]]))</f>
        <v>5</v>
      </c>
      <c r="L101">
        <f>IF(TbRegistroSaídas[[#This Row],[Data da Competência]]="",0,YEAR(TbRegistroSaídas[[#This Row],[Data da Competência]]))</f>
        <v>2018</v>
      </c>
      <c r="M101" s="53">
        <f>IF(TbRegistroSaídas[[#This Row],[Data do Caixa Previsto]]="",0,MONTH(TbRegistroSaídas[[#This Row],[Data do Caixa Previsto]]))</f>
        <v>6</v>
      </c>
      <c r="N101" s="53">
        <f>IF(TbRegistroSaídas[[#This Row],[Data do Caixa Previsto]]="",0,YEAR(TbRegistroSaídas[[#This Row],[Data do Caixa Previsto]]))</f>
        <v>2018</v>
      </c>
      <c r="O101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2355.8986873632384</v>
      </c>
    </row>
    <row r="102" spans="2:15" x14ac:dyDescent="0.3">
      <c r="B102" s="8">
        <v>43278.250305144895</v>
      </c>
      <c r="C102" s="8">
        <v>43239</v>
      </c>
      <c r="D102" s="8">
        <v>43278.250305144895</v>
      </c>
      <c r="E102" t="s">
        <v>39</v>
      </c>
      <c r="F102" t="s">
        <v>46</v>
      </c>
      <c r="G102" t="s">
        <v>384</v>
      </c>
      <c r="H102" s="14">
        <v>2651</v>
      </c>
      <c r="I102">
        <f>IF(TbRegistroSaídas[[#This Row],[Data do Caixa Realizado]]="",0,MONTH(TbRegistroSaídas[[#This Row],[Data do Caixa Realizado]]))</f>
        <v>6</v>
      </c>
      <c r="J102">
        <f>IF(TbRegistroSaídas[[#This Row],[Data do Caixa Realizado]]="",0,YEAR(TbRegistroSaídas[[#This Row],[Data do Caixa Realizado]]))</f>
        <v>2018</v>
      </c>
      <c r="K102">
        <f>IF(TbRegistroSaídas[[#This Row],[Data da Competência]]="",0,MONTH(TbRegistroSaídas[[#This Row],[Data da Competência]]))</f>
        <v>5</v>
      </c>
      <c r="L102">
        <f>IF(TbRegistroSaídas[[#This Row],[Data da Competência]]="",0,YEAR(TbRegistroSaídas[[#This Row],[Data da Competência]]))</f>
        <v>2018</v>
      </c>
      <c r="M102" s="53">
        <f>IF(TbRegistroSaídas[[#This Row],[Data do Caixa Previsto]]="",0,MONTH(TbRegistroSaídas[[#This Row],[Data do Caixa Previsto]]))</f>
        <v>6</v>
      </c>
      <c r="N102" s="53">
        <f>IF(TbRegistroSaídas[[#This Row],[Data do Caixa Previsto]]="",0,YEAR(TbRegistroSaídas[[#This Row],[Data do Caixa Previsto]]))</f>
        <v>2018</v>
      </c>
      <c r="O102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03" spans="2:15" x14ac:dyDescent="0.3">
      <c r="B103" s="8">
        <v>43350.331612666698</v>
      </c>
      <c r="C103" s="8">
        <v>43246</v>
      </c>
      <c r="D103" s="8">
        <v>43282.817543595353</v>
      </c>
      <c r="E103" t="s">
        <v>39</v>
      </c>
      <c r="F103" t="s">
        <v>46</v>
      </c>
      <c r="G103" t="s">
        <v>385</v>
      </c>
      <c r="H103" s="14">
        <v>3792</v>
      </c>
      <c r="I103">
        <f>IF(TbRegistroSaídas[[#This Row],[Data do Caixa Realizado]]="",0,MONTH(TbRegistroSaídas[[#This Row],[Data do Caixa Realizado]]))</f>
        <v>9</v>
      </c>
      <c r="J103">
        <f>IF(TbRegistroSaídas[[#This Row],[Data do Caixa Realizado]]="",0,YEAR(TbRegistroSaídas[[#This Row],[Data do Caixa Realizado]]))</f>
        <v>2018</v>
      </c>
      <c r="K103">
        <f>IF(TbRegistroSaídas[[#This Row],[Data da Competência]]="",0,MONTH(TbRegistroSaídas[[#This Row],[Data da Competência]]))</f>
        <v>5</v>
      </c>
      <c r="L103">
        <f>IF(TbRegistroSaídas[[#This Row],[Data da Competência]]="",0,YEAR(TbRegistroSaídas[[#This Row],[Data da Competência]]))</f>
        <v>2018</v>
      </c>
      <c r="M103" s="53">
        <f>IF(TbRegistroSaídas[[#This Row],[Data do Caixa Previsto]]="",0,MONTH(TbRegistroSaídas[[#This Row],[Data do Caixa Previsto]]))</f>
        <v>7</v>
      </c>
      <c r="N103" s="53">
        <f>IF(TbRegistroSaídas[[#This Row],[Data do Caixa Previsto]]="",0,YEAR(TbRegistroSaídas[[#This Row],[Data do Caixa Previsto]]))</f>
        <v>2018</v>
      </c>
      <c r="O103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67.514069071345148</v>
      </c>
    </row>
    <row r="104" spans="2:15" x14ac:dyDescent="0.3">
      <c r="B104" s="8">
        <v>43334.039973021354</v>
      </c>
      <c r="C104" s="8">
        <v>43248</v>
      </c>
      <c r="D104" s="8">
        <v>43306.553383849692</v>
      </c>
      <c r="E104" t="s">
        <v>39</v>
      </c>
      <c r="F104" t="s">
        <v>37</v>
      </c>
      <c r="G104" t="s">
        <v>386</v>
      </c>
      <c r="H104" s="14">
        <v>611</v>
      </c>
      <c r="I104">
        <f>IF(TbRegistroSaídas[[#This Row],[Data do Caixa Realizado]]="",0,MONTH(TbRegistroSaídas[[#This Row],[Data do Caixa Realizado]]))</f>
        <v>8</v>
      </c>
      <c r="J104">
        <f>IF(TbRegistroSaídas[[#This Row],[Data do Caixa Realizado]]="",0,YEAR(TbRegistroSaídas[[#This Row],[Data do Caixa Realizado]]))</f>
        <v>2018</v>
      </c>
      <c r="K104">
        <f>IF(TbRegistroSaídas[[#This Row],[Data da Competência]]="",0,MONTH(TbRegistroSaídas[[#This Row],[Data da Competência]]))</f>
        <v>5</v>
      </c>
      <c r="L104">
        <f>IF(TbRegistroSaídas[[#This Row],[Data da Competência]]="",0,YEAR(TbRegistroSaídas[[#This Row],[Data da Competência]]))</f>
        <v>2018</v>
      </c>
      <c r="M104" s="53">
        <f>IF(TbRegistroSaídas[[#This Row],[Data do Caixa Previsto]]="",0,MONTH(TbRegistroSaídas[[#This Row],[Data do Caixa Previsto]]))</f>
        <v>7</v>
      </c>
      <c r="N104" s="53">
        <f>IF(TbRegistroSaídas[[#This Row],[Data do Caixa Previsto]]="",0,YEAR(TbRegistroSaídas[[#This Row],[Data do Caixa Previsto]]))</f>
        <v>2018</v>
      </c>
      <c r="O104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27.486589171661763</v>
      </c>
    </row>
    <row r="105" spans="2:15" x14ac:dyDescent="0.3">
      <c r="B105" s="8">
        <v>43292.621992013512</v>
      </c>
      <c r="C105" s="8">
        <v>43251</v>
      </c>
      <c r="D105" s="8">
        <v>43292.621992013512</v>
      </c>
      <c r="E105" t="s">
        <v>39</v>
      </c>
      <c r="F105" t="s">
        <v>34</v>
      </c>
      <c r="G105" t="s">
        <v>387</v>
      </c>
      <c r="H105" s="14">
        <v>3431</v>
      </c>
      <c r="I105">
        <f>IF(TbRegistroSaídas[[#This Row],[Data do Caixa Realizado]]="",0,MONTH(TbRegistroSaídas[[#This Row],[Data do Caixa Realizado]]))</f>
        <v>7</v>
      </c>
      <c r="J105">
        <f>IF(TbRegistroSaídas[[#This Row],[Data do Caixa Realizado]]="",0,YEAR(TbRegistroSaídas[[#This Row],[Data do Caixa Realizado]]))</f>
        <v>2018</v>
      </c>
      <c r="K105">
        <f>IF(TbRegistroSaídas[[#This Row],[Data da Competência]]="",0,MONTH(TbRegistroSaídas[[#This Row],[Data da Competência]]))</f>
        <v>5</v>
      </c>
      <c r="L105">
        <f>IF(TbRegistroSaídas[[#This Row],[Data da Competência]]="",0,YEAR(TbRegistroSaídas[[#This Row],[Data da Competência]]))</f>
        <v>2018</v>
      </c>
      <c r="M105" s="53">
        <f>IF(TbRegistroSaídas[[#This Row],[Data do Caixa Previsto]]="",0,MONTH(TbRegistroSaídas[[#This Row],[Data do Caixa Previsto]]))</f>
        <v>7</v>
      </c>
      <c r="N105" s="53">
        <f>IF(TbRegistroSaídas[[#This Row],[Data do Caixa Previsto]]="",0,YEAR(TbRegistroSaídas[[#This Row],[Data do Caixa Previsto]]))</f>
        <v>2018</v>
      </c>
      <c r="O105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06" spans="2:15" x14ac:dyDescent="0.3">
      <c r="B106" s="8">
        <v>43279.068040624879</v>
      </c>
      <c r="C106" s="8">
        <v>43253</v>
      </c>
      <c r="D106" s="8">
        <v>43279.068040624879</v>
      </c>
      <c r="E106" t="s">
        <v>39</v>
      </c>
      <c r="F106" t="s">
        <v>46</v>
      </c>
      <c r="G106" t="s">
        <v>388</v>
      </c>
      <c r="H106" s="14">
        <v>3670</v>
      </c>
      <c r="I106">
        <f>IF(TbRegistroSaídas[[#This Row],[Data do Caixa Realizado]]="",0,MONTH(TbRegistroSaídas[[#This Row],[Data do Caixa Realizado]]))</f>
        <v>6</v>
      </c>
      <c r="J106">
        <f>IF(TbRegistroSaídas[[#This Row],[Data do Caixa Realizado]]="",0,YEAR(TbRegistroSaídas[[#This Row],[Data do Caixa Realizado]]))</f>
        <v>2018</v>
      </c>
      <c r="K106">
        <f>IF(TbRegistroSaídas[[#This Row],[Data da Competência]]="",0,MONTH(TbRegistroSaídas[[#This Row],[Data da Competência]]))</f>
        <v>6</v>
      </c>
      <c r="L106">
        <f>IF(TbRegistroSaídas[[#This Row],[Data da Competência]]="",0,YEAR(TbRegistroSaídas[[#This Row],[Data da Competência]]))</f>
        <v>2018</v>
      </c>
      <c r="M106" s="53">
        <f>IF(TbRegistroSaídas[[#This Row],[Data do Caixa Previsto]]="",0,MONTH(TbRegistroSaídas[[#This Row],[Data do Caixa Previsto]]))</f>
        <v>6</v>
      </c>
      <c r="N106" s="53">
        <f>IF(TbRegistroSaídas[[#This Row],[Data do Caixa Previsto]]="",0,YEAR(TbRegistroSaídas[[#This Row],[Data do Caixa Previsto]]))</f>
        <v>2018</v>
      </c>
      <c r="O106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07" spans="2:15" x14ac:dyDescent="0.3">
      <c r="B107" s="8">
        <v>43259.6666754662</v>
      </c>
      <c r="C107" s="8">
        <v>43255</v>
      </c>
      <c r="D107" s="8">
        <v>43259.6666754662</v>
      </c>
      <c r="E107" t="s">
        <v>39</v>
      </c>
      <c r="F107" t="s">
        <v>46</v>
      </c>
      <c r="G107" t="s">
        <v>389</v>
      </c>
      <c r="H107" s="14">
        <v>4320</v>
      </c>
      <c r="I107">
        <f>IF(TbRegistroSaídas[[#This Row],[Data do Caixa Realizado]]="",0,MONTH(TbRegistroSaídas[[#This Row],[Data do Caixa Realizado]]))</f>
        <v>6</v>
      </c>
      <c r="J107">
        <f>IF(TbRegistroSaídas[[#This Row],[Data do Caixa Realizado]]="",0,YEAR(TbRegistroSaídas[[#This Row],[Data do Caixa Realizado]]))</f>
        <v>2018</v>
      </c>
      <c r="K107">
        <f>IF(TbRegistroSaídas[[#This Row],[Data da Competência]]="",0,MONTH(TbRegistroSaídas[[#This Row],[Data da Competência]]))</f>
        <v>6</v>
      </c>
      <c r="L107">
        <f>IF(TbRegistroSaídas[[#This Row],[Data da Competência]]="",0,YEAR(TbRegistroSaídas[[#This Row],[Data da Competência]]))</f>
        <v>2018</v>
      </c>
      <c r="M107" s="53">
        <f>IF(TbRegistroSaídas[[#This Row],[Data do Caixa Previsto]]="",0,MONTH(TbRegistroSaídas[[#This Row],[Data do Caixa Previsto]]))</f>
        <v>6</v>
      </c>
      <c r="N107" s="53">
        <f>IF(TbRegistroSaídas[[#This Row],[Data do Caixa Previsto]]="",0,YEAR(TbRegistroSaídas[[#This Row],[Data do Caixa Previsto]]))</f>
        <v>2018</v>
      </c>
      <c r="O107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08" spans="2:15" x14ac:dyDescent="0.3">
      <c r="B108" s="8">
        <v>43282.67946727157</v>
      </c>
      <c r="C108" s="8">
        <v>43256</v>
      </c>
      <c r="D108" s="8">
        <v>43282.67946727157</v>
      </c>
      <c r="E108" t="s">
        <v>39</v>
      </c>
      <c r="F108" t="s">
        <v>34</v>
      </c>
      <c r="G108" t="s">
        <v>390</v>
      </c>
      <c r="H108" s="14">
        <v>1809</v>
      </c>
      <c r="I108">
        <f>IF(TbRegistroSaídas[[#This Row],[Data do Caixa Realizado]]="",0,MONTH(TbRegistroSaídas[[#This Row],[Data do Caixa Realizado]]))</f>
        <v>7</v>
      </c>
      <c r="J108">
        <f>IF(TbRegistroSaídas[[#This Row],[Data do Caixa Realizado]]="",0,YEAR(TbRegistroSaídas[[#This Row],[Data do Caixa Realizado]]))</f>
        <v>2018</v>
      </c>
      <c r="K108">
        <f>IF(TbRegistroSaídas[[#This Row],[Data da Competência]]="",0,MONTH(TbRegistroSaídas[[#This Row],[Data da Competência]]))</f>
        <v>6</v>
      </c>
      <c r="L108">
        <f>IF(TbRegistroSaídas[[#This Row],[Data da Competência]]="",0,YEAR(TbRegistroSaídas[[#This Row],[Data da Competência]]))</f>
        <v>2018</v>
      </c>
      <c r="M108" s="53">
        <f>IF(TbRegistroSaídas[[#This Row],[Data do Caixa Previsto]]="",0,MONTH(TbRegistroSaídas[[#This Row],[Data do Caixa Previsto]]))</f>
        <v>7</v>
      </c>
      <c r="N108" s="53">
        <f>IF(TbRegistroSaídas[[#This Row],[Data do Caixa Previsto]]="",0,YEAR(TbRegistroSaídas[[#This Row],[Data do Caixa Previsto]]))</f>
        <v>2018</v>
      </c>
      <c r="O108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09" spans="2:15" x14ac:dyDescent="0.3">
      <c r="B109" s="8">
        <v>43306.811336210056</v>
      </c>
      <c r="C109" s="8">
        <v>43258</v>
      </c>
      <c r="D109" s="8">
        <v>43306.811336210056</v>
      </c>
      <c r="E109" t="s">
        <v>39</v>
      </c>
      <c r="F109" t="s">
        <v>46</v>
      </c>
      <c r="G109" t="s">
        <v>391</v>
      </c>
      <c r="H109" s="14">
        <v>667</v>
      </c>
      <c r="I109">
        <f>IF(TbRegistroSaídas[[#This Row],[Data do Caixa Realizado]]="",0,MONTH(TbRegistroSaídas[[#This Row],[Data do Caixa Realizado]]))</f>
        <v>7</v>
      </c>
      <c r="J109">
        <f>IF(TbRegistroSaídas[[#This Row],[Data do Caixa Realizado]]="",0,YEAR(TbRegistroSaídas[[#This Row],[Data do Caixa Realizado]]))</f>
        <v>2018</v>
      </c>
      <c r="K109">
        <f>IF(TbRegistroSaídas[[#This Row],[Data da Competência]]="",0,MONTH(TbRegistroSaídas[[#This Row],[Data da Competência]]))</f>
        <v>6</v>
      </c>
      <c r="L109">
        <f>IF(TbRegistroSaídas[[#This Row],[Data da Competência]]="",0,YEAR(TbRegistroSaídas[[#This Row],[Data da Competência]]))</f>
        <v>2018</v>
      </c>
      <c r="M109" s="53">
        <f>IF(TbRegistroSaídas[[#This Row],[Data do Caixa Previsto]]="",0,MONTH(TbRegistroSaídas[[#This Row],[Data do Caixa Previsto]]))</f>
        <v>7</v>
      </c>
      <c r="N109" s="53">
        <f>IF(TbRegistroSaídas[[#This Row],[Data do Caixa Previsto]]="",0,YEAR(TbRegistroSaídas[[#This Row],[Data do Caixa Previsto]]))</f>
        <v>2018</v>
      </c>
      <c r="O109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10" spans="2:15" x14ac:dyDescent="0.3">
      <c r="B110" s="8">
        <v>43269.791763204586</v>
      </c>
      <c r="C110" s="8">
        <v>43262</v>
      </c>
      <c r="D110" s="8">
        <v>43269.791763204586</v>
      </c>
      <c r="E110" t="s">
        <v>39</v>
      </c>
      <c r="F110" t="s">
        <v>33</v>
      </c>
      <c r="G110" t="s">
        <v>392</v>
      </c>
      <c r="H110" s="14">
        <v>1613</v>
      </c>
      <c r="I110">
        <f>IF(TbRegistroSaídas[[#This Row],[Data do Caixa Realizado]]="",0,MONTH(TbRegistroSaídas[[#This Row],[Data do Caixa Realizado]]))</f>
        <v>6</v>
      </c>
      <c r="J110">
        <f>IF(TbRegistroSaídas[[#This Row],[Data do Caixa Realizado]]="",0,YEAR(TbRegistroSaídas[[#This Row],[Data do Caixa Realizado]]))</f>
        <v>2018</v>
      </c>
      <c r="K110">
        <f>IF(TbRegistroSaídas[[#This Row],[Data da Competência]]="",0,MONTH(TbRegistroSaídas[[#This Row],[Data da Competência]]))</f>
        <v>6</v>
      </c>
      <c r="L110">
        <f>IF(TbRegistroSaídas[[#This Row],[Data da Competência]]="",0,YEAR(TbRegistroSaídas[[#This Row],[Data da Competência]]))</f>
        <v>2018</v>
      </c>
      <c r="M110" s="53">
        <f>IF(TbRegistroSaídas[[#This Row],[Data do Caixa Previsto]]="",0,MONTH(TbRegistroSaídas[[#This Row],[Data do Caixa Previsto]]))</f>
        <v>6</v>
      </c>
      <c r="N110" s="53">
        <f>IF(TbRegistroSaídas[[#This Row],[Data do Caixa Previsto]]="",0,YEAR(TbRegistroSaídas[[#This Row],[Data do Caixa Previsto]]))</f>
        <v>2018</v>
      </c>
      <c r="O110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11" spans="2:15" x14ac:dyDescent="0.3">
      <c r="B111" s="8">
        <v>43309.241793705783</v>
      </c>
      <c r="C111" s="8">
        <v>43268</v>
      </c>
      <c r="D111" s="8">
        <v>43309.241793705783</v>
      </c>
      <c r="E111" t="s">
        <v>39</v>
      </c>
      <c r="F111" t="s">
        <v>37</v>
      </c>
      <c r="G111" t="s">
        <v>393</v>
      </c>
      <c r="H111" s="14">
        <v>3756</v>
      </c>
      <c r="I111">
        <f>IF(TbRegistroSaídas[[#This Row],[Data do Caixa Realizado]]="",0,MONTH(TbRegistroSaídas[[#This Row],[Data do Caixa Realizado]]))</f>
        <v>7</v>
      </c>
      <c r="J111">
        <f>IF(TbRegistroSaídas[[#This Row],[Data do Caixa Realizado]]="",0,YEAR(TbRegistroSaídas[[#This Row],[Data do Caixa Realizado]]))</f>
        <v>2018</v>
      </c>
      <c r="K111">
        <f>IF(TbRegistroSaídas[[#This Row],[Data da Competência]]="",0,MONTH(TbRegistroSaídas[[#This Row],[Data da Competência]]))</f>
        <v>6</v>
      </c>
      <c r="L111">
        <f>IF(TbRegistroSaídas[[#This Row],[Data da Competência]]="",0,YEAR(TbRegistroSaídas[[#This Row],[Data da Competência]]))</f>
        <v>2018</v>
      </c>
      <c r="M111" s="53">
        <f>IF(TbRegistroSaídas[[#This Row],[Data do Caixa Previsto]]="",0,MONTH(TbRegistroSaídas[[#This Row],[Data do Caixa Previsto]]))</f>
        <v>7</v>
      </c>
      <c r="N111" s="53">
        <f>IF(TbRegistroSaídas[[#This Row],[Data do Caixa Previsto]]="",0,YEAR(TbRegistroSaídas[[#This Row],[Data do Caixa Previsto]]))</f>
        <v>2018</v>
      </c>
      <c r="O111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12" spans="2:15" x14ac:dyDescent="0.3">
      <c r="B112" s="8">
        <v>43328.010321588059</v>
      </c>
      <c r="C112" s="8">
        <v>43271</v>
      </c>
      <c r="D112" s="8">
        <v>43328.010321588059</v>
      </c>
      <c r="E112" t="s">
        <v>39</v>
      </c>
      <c r="F112" t="s">
        <v>34</v>
      </c>
      <c r="G112" t="s">
        <v>394</v>
      </c>
      <c r="H112" s="14">
        <v>3672</v>
      </c>
      <c r="I112">
        <f>IF(TbRegistroSaídas[[#This Row],[Data do Caixa Realizado]]="",0,MONTH(TbRegistroSaídas[[#This Row],[Data do Caixa Realizado]]))</f>
        <v>8</v>
      </c>
      <c r="J112">
        <f>IF(TbRegistroSaídas[[#This Row],[Data do Caixa Realizado]]="",0,YEAR(TbRegistroSaídas[[#This Row],[Data do Caixa Realizado]]))</f>
        <v>2018</v>
      </c>
      <c r="K112">
        <f>IF(TbRegistroSaídas[[#This Row],[Data da Competência]]="",0,MONTH(TbRegistroSaídas[[#This Row],[Data da Competência]]))</f>
        <v>6</v>
      </c>
      <c r="L112">
        <f>IF(TbRegistroSaídas[[#This Row],[Data da Competência]]="",0,YEAR(TbRegistroSaídas[[#This Row],[Data da Competência]]))</f>
        <v>2018</v>
      </c>
      <c r="M112" s="53">
        <f>IF(TbRegistroSaídas[[#This Row],[Data do Caixa Previsto]]="",0,MONTH(TbRegistroSaídas[[#This Row],[Data do Caixa Previsto]]))</f>
        <v>8</v>
      </c>
      <c r="N112" s="53">
        <f>IF(TbRegistroSaídas[[#This Row],[Data do Caixa Previsto]]="",0,YEAR(TbRegistroSaídas[[#This Row],[Data do Caixa Previsto]]))</f>
        <v>2018</v>
      </c>
      <c r="O112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13" spans="2:15" x14ac:dyDescent="0.3">
      <c r="B113" s="8">
        <v>43329.109711177305</v>
      </c>
      <c r="C113" s="8">
        <v>43277</v>
      </c>
      <c r="D113" s="8">
        <v>43288.040879967026</v>
      </c>
      <c r="E113" t="s">
        <v>39</v>
      </c>
      <c r="F113" t="s">
        <v>46</v>
      </c>
      <c r="G113" t="s">
        <v>395</v>
      </c>
      <c r="H113" s="14">
        <v>658</v>
      </c>
      <c r="I113">
        <f>IF(TbRegistroSaídas[[#This Row],[Data do Caixa Realizado]]="",0,MONTH(TbRegistroSaídas[[#This Row],[Data do Caixa Realizado]]))</f>
        <v>8</v>
      </c>
      <c r="J113">
        <f>IF(TbRegistroSaídas[[#This Row],[Data do Caixa Realizado]]="",0,YEAR(TbRegistroSaídas[[#This Row],[Data do Caixa Realizado]]))</f>
        <v>2018</v>
      </c>
      <c r="K113">
        <f>IF(TbRegistroSaídas[[#This Row],[Data da Competência]]="",0,MONTH(TbRegistroSaídas[[#This Row],[Data da Competência]]))</f>
        <v>6</v>
      </c>
      <c r="L113">
        <f>IF(TbRegistroSaídas[[#This Row],[Data da Competência]]="",0,YEAR(TbRegistroSaídas[[#This Row],[Data da Competência]]))</f>
        <v>2018</v>
      </c>
      <c r="M113" s="53">
        <f>IF(TbRegistroSaídas[[#This Row],[Data do Caixa Previsto]]="",0,MONTH(TbRegistroSaídas[[#This Row],[Data do Caixa Previsto]]))</f>
        <v>7</v>
      </c>
      <c r="N113" s="53">
        <f>IF(TbRegistroSaídas[[#This Row],[Data do Caixa Previsto]]="",0,YEAR(TbRegistroSaídas[[#This Row],[Data do Caixa Previsto]]))</f>
        <v>2018</v>
      </c>
      <c r="O113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41.068831210279313</v>
      </c>
    </row>
    <row r="114" spans="2:15" x14ac:dyDescent="0.3">
      <c r="B114" s="8">
        <v>43336.432893175937</v>
      </c>
      <c r="C114" s="8">
        <v>43280</v>
      </c>
      <c r="D114" s="8">
        <v>43336.432893175937</v>
      </c>
      <c r="E114" t="s">
        <v>39</v>
      </c>
      <c r="F114" t="s">
        <v>34</v>
      </c>
      <c r="G114" t="s">
        <v>396</v>
      </c>
      <c r="H114" s="14">
        <v>4762</v>
      </c>
      <c r="I114">
        <f>IF(TbRegistroSaídas[[#This Row],[Data do Caixa Realizado]]="",0,MONTH(TbRegistroSaídas[[#This Row],[Data do Caixa Realizado]]))</f>
        <v>8</v>
      </c>
      <c r="J114">
        <f>IF(TbRegistroSaídas[[#This Row],[Data do Caixa Realizado]]="",0,YEAR(TbRegistroSaídas[[#This Row],[Data do Caixa Realizado]]))</f>
        <v>2018</v>
      </c>
      <c r="K114">
        <f>IF(TbRegistroSaídas[[#This Row],[Data da Competência]]="",0,MONTH(TbRegistroSaídas[[#This Row],[Data da Competência]]))</f>
        <v>6</v>
      </c>
      <c r="L114">
        <f>IF(TbRegistroSaídas[[#This Row],[Data da Competência]]="",0,YEAR(TbRegistroSaídas[[#This Row],[Data da Competência]]))</f>
        <v>2018</v>
      </c>
      <c r="M114" s="53">
        <f>IF(TbRegistroSaídas[[#This Row],[Data do Caixa Previsto]]="",0,MONTH(TbRegistroSaídas[[#This Row],[Data do Caixa Previsto]]))</f>
        <v>8</v>
      </c>
      <c r="N114" s="53">
        <f>IF(TbRegistroSaídas[[#This Row],[Data do Caixa Previsto]]="",0,YEAR(TbRegistroSaídas[[#This Row],[Data do Caixa Previsto]]))</f>
        <v>2018</v>
      </c>
      <c r="O114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15" spans="2:15" x14ac:dyDescent="0.3">
      <c r="B115" s="8">
        <v>43290.700268540626</v>
      </c>
      <c r="C115" s="8">
        <v>43283</v>
      </c>
      <c r="D115" s="8">
        <v>43290.700268540626</v>
      </c>
      <c r="E115" t="s">
        <v>39</v>
      </c>
      <c r="F115" t="s">
        <v>37</v>
      </c>
      <c r="G115" t="s">
        <v>397</v>
      </c>
      <c r="H115" s="14">
        <v>2186</v>
      </c>
      <c r="I115">
        <f>IF(TbRegistroSaídas[[#This Row],[Data do Caixa Realizado]]="",0,MONTH(TbRegistroSaídas[[#This Row],[Data do Caixa Realizado]]))</f>
        <v>7</v>
      </c>
      <c r="J115">
        <f>IF(TbRegistroSaídas[[#This Row],[Data do Caixa Realizado]]="",0,YEAR(TbRegistroSaídas[[#This Row],[Data do Caixa Realizado]]))</f>
        <v>2018</v>
      </c>
      <c r="K115">
        <f>IF(TbRegistroSaídas[[#This Row],[Data da Competência]]="",0,MONTH(TbRegistroSaídas[[#This Row],[Data da Competência]]))</f>
        <v>7</v>
      </c>
      <c r="L115">
        <f>IF(TbRegistroSaídas[[#This Row],[Data da Competência]]="",0,YEAR(TbRegistroSaídas[[#This Row],[Data da Competência]]))</f>
        <v>2018</v>
      </c>
      <c r="M115" s="53">
        <f>IF(TbRegistroSaídas[[#This Row],[Data do Caixa Previsto]]="",0,MONTH(TbRegistroSaídas[[#This Row],[Data do Caixa Previsto]]))</f>
        <v>7</v>
      </c>
      <c r="N115" s="53">
        <f>IF(TbRegistroSaídas[[#This Row],[Data do Caixa Previsto]]="",0,YEAR(TbRegistroSaídas[[#This Row],[Data do Caixa Previsto]]))</f>
        <v>2018</v>
      </c>
      <c r="O115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16" spans="2:15" x14ac:dyDescent="0.3">
      <c r="B116" s="8">
        <v>43305.188654160578</v>
      </c>
      <c r="C116" s="8">
        <v>43284</v>
      </c>
      <c r="D116" s="8">
        <v>43305.188654160578</v>
      </c>
      <c r="E116" t="s">
        <v>39</v>
      </c>
      <c r="F116" t="s">
        <v>34</v>
      </c>
      <c r="G116" t="s">
        <v>398</v>
      </c>
      <c r="H116" s="14">
        <v>3411</v>
      </c>
      <c r="I116">
        <f>IF(TbRegistroSaídas[[#This Row],[Data do Caixa Realizado]]="",0,MONTH(TbRegistroSaídas[[#This Row],[Data do Caixa Realizado]]))</f>
        <v>7</v>
      </c>
      <c r="J116">
        <f>IF(TbRegistroSaídas[[#This Row],[Data do Caixa Realizado]]="",0,YEAR(TbRegistroSaídas[[#This Row],[Data do Caixa Realizado]]))</f>
        <v>2018</v>
      </c>
      <c r="K116">
        <f>IF(TbRegistroSaídas[[#This Row],[Data da Competência]]="",0,MONTH(TbRegistroSaídas[[#This Row],[Data da Competência]]))</f>
        <v>7</v>
      </c>
      <c r="L116">
        <f>IF(TbRegistroSaídas[[#This Row],[Data da Competência]]="",0,YEAR(TbRegistroSaídas[[#This Row],[Data da Competência]]))</f>
        <v>2018</v>
      </c>
      <c r="M116" s="53">
        <f>IF(TbRegistroSaídas[[#This Row],[Data do Caixa Previsto]]="",0,MONTH(TbRegistroSaídas[[#This Row],[Data do Caixa Previsto]]))</f>
        <v>7</v>
      </c>
      <c r="N116" s="53">
        <f>IF(TbRegistroSaídas[[#This Row],[Data do Caixa Previsto]]="",0,YEAR(TbRegistroSaídas[[#This Row],[Data do Caixa Previsto]]))</f>
        <v>2018</v>
      </c>
      <c r="O116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17" spans="2:15" x14ac:dyDescent="0.3">
      <c r="B117" s="8">
        <v>43305.434626119764</v>
      </c>
      <c r="C117" s="8">
        <v>43289</v>
      </c>
      <c r="D117" s="8">
        <v>43305.434626119764</v>
      </c>
      <c r="E117" t="s">
        <v>39</v>
      </c>
      <c r="F117" t="s">
        <v>34</v>
      </c>
      <c r="G117" t="s">
        <v>399</v>
      </c>
      <c r="H117" s="14">
        <v>2524</v>
      </c>
      <c r="I117">
        <f>IF(TbRegistroSaídas[[#This Row],[Data do Caixa Realizado]]="",0,MONTH(TbRegistroSaídas[[#This Row],[Data do Caixa Realizado]]))</f>
        <v>7</v>
      </c>
      <c r="J117">
        <f>IF(TbRegistroSaídas[[#This Row],[Data do Caixa Realizado]]="",0,YEAR(TbRegistroSaídas[[#This Row],[Data do Caixa Realizado]]))</f>
        <v>2018</v>
      </c>
      <c r="K117">
        <f>IF(TbRegistroSaídas[[#This Row],[Data da Competência]]="",0,MONTH(TbRegistroSaídas[[#This Row],[Data da Competência]]))</f>
        <v>7</v>
      </c>
      <c r="L117">
        <f>IF(TbRegistroSaídas[[#This Row],[Data da Competência]]="",0,YEAR(TbRegistroSaídas[[#This Row],[Data da Competência]]))</f>
        <v>2018</v>
      </c>
      <c r="M117" s="53">
        <f>IF(TbRegistroSaídas[[#This Row],[Data do Caixa Previsto]]="",0,MONTH(TbRegistroSaídas[[#This Row],[Data do Caixa Previsto]]))</f>
        <v>7</v>
      </c>
      <c r="N117" s="53">
        <f>IF(TbRegistroSaídas[[#This Row],[Data do Caixa Previsto]]="",0,YEAR(TbRegistroSaídas[[#This Row],[Data do Caixa Previsto]]))</f>
        <v>2018</v>
      </c>
      <c r="O117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18" spans="2:15" x14ac:dyDescent="0.3">
      <c r="B118" s="8">
        <v>43313.176696691356</v>
      </c>
      <c r="C118" s="8">
        <v>43291</v>
      </c>
      <c r="D118" s="8">
        <v>43313.176696691356</v>
      </c>
      <c r="E118" t="s">
        <v>39</v>
      </c>
      <c r="F118" t="s">
        <v>37</v>
      </c>
      <c r="G118" t="s">
        <v>400</v>
      </c>
      <c r="H118" s="14">
        <v>1709</v>
      </c>
      <c r="I118">
        <f>IF(TbRegistroSaídas[[#This Row],[Data do Caixa Realizado]]="",0,MONTH(TbRegistroSaídas[[#This Row],[Data do Caixa Realizado]]))</f>
        <v>8</v>
      </c>
      <c r="J118">
        <f>IF(TbRegistroSaídas[[#This Row],[Data do Caixa Realizado]]="",0,YEAR(TbRegistroSaídas[[#This Row],[Data do Caixa Realizado]]))</f>
        <v>2018</v>
      </c>
      <c r="K118">
        <f>IF(TbRegistroSaídas[[#This Row],[Data da Competência]]="",0,MONTH(TbRegistroSaídas[[#This Row],[Data da Competência]]))</f>
        <v>7</v>
      </c>
      <c r="L118">
        <f>IF(TbRegistroSaídas[[#This Row],[Data da Competência]]="",0,YEAR(TbRegistroSaídas[[#This Row],[Data da Competência]]))</f>
        <v>2018</v>
      </c>
      <c r="M118" s="53">
        <f>IF(TbRegistroSaídas[[#This Row],[Data do Caixa Previsto]]="",0,MONTH(TbRegistroSaídas[[#This Row],[Data do Caixa Previsto]]))</f>
        <v>8</v>
      </c>
      <c r="N118" s="53">
        <f>IF(TbRegistroSaídas[[#This Row],[Data do Caixa Previsto]]="",0,YEAR(TbRegistroSaídas[[#This Row],[Data do Caixa Previsto]]))</f>
        <v>2018</v>
      </c>
      <c r="O118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19" spans="2:15" x14ac:dyDescent="0.3">
      <c r="B119" s="8">
        <v>43340.349295717155</v>
      </c>
      <c r="C119" s="8">
        <v>43296</v>
      </c>
      <c r="D119" s="8">
        <v>43340.349295717155</v>
      </c>
      <c r="E119" t="s">
        <v>39</v>
      </c>
      <c r="F119" t="s">
        <v>46</v>
      </c>
      <c r="G119" t="s">
        <v>401</v>
      </c>
      <c r="H119" s="14">
        <v>3181</v>
      </c>
      <c r="I119">
        <f>IF(TbRegistroSaídas[[#This Row],[Data do Caixa Realizado]]="",0,MONTH(TbRegistroSaídas[[#This Row],[Data do Caixa Realizado]]))</f>
        <v>8</v>
      </c>
      <c r="J119">
        <f>IF(TbRegistroSaídas[[#This Row],[Data do Caixa Realizado]]="",0,YEAR(TbRegistroSaídas[[#This Row],[Data do Caixa Realizado]]))</f>
        <v>2018</v>
      </c>
      <c r="K119">
        <f>IF(TbRegistroSaídas[[#This Row],[Data da Competência]]="",0,MONTH(TbRegistroSaídas[[#This Row],[Data da Competência]]))</f>
        <v>7</v>
      </c>
      <c r="L119">
        <f>IF(TbRegistroSaídas[[#This Row],[Data da Competência]]="",0,YEAR(TbRegistroSaídas[[#This Row],[Data da Competência]]))</f>
        <v>2018</v>
      </c>
      <c r="M119" s="53">
        <f>IF(TbRegistroSaídas[[#This Row],[Data do Caixa Previsto]]="",0,MONTH(TbRegistroSaídas[[#This Row],[Data do Caixa Previsto]]))</f>
        <v>8</v>
      </c>
      <c r="N119" s="53">
        <f>IF(TbRegistroSaídas[[#This Row],[Data do Caixa Previsto]]="",0,YEAR(TbRegistroSaídas[[#This Row],[Data do Caixa Previsto]]))</f>
        <v>2018</v>
      </c>
      <c r="O119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20" spans="2:15" x14ac:dyDescent="0.3">
      <c r="B120" s="8">
        <v>43321.703958375911</v>
      </c>
      <c r="C120" s="8">
        <v>43297</v>
      </c>
      <c r="D120" s="8">
        <v>43321.703958375911</v>
      </c>
      <c r="E120" t="s">
        <v>39</v>
      </c>
      <c r="F120" t="s">
        <v>35</v>
      </c>
      <c r="G120" t="s">
        <v>402</v>
      </c>
      <c r="H120" s="14">
        <v>1108</v>
      </c>
      <c r="I120">
        <f>IF(TbRegistroSaídas[[#This Row],[Data do Caixa Realizado]]="",0,MONTH(TbRegistroSaídas[[#This Row],[Data do Caixa Realizado]]))</f>
        <v>8</v>
      </c>
      <c r="J120">
        <f>IF(TbRegistroSaídas[[#This Row],[Data do Caixa Realizado]]="",0,YEAR(TbRegistroSaídas[[#This Row],[Data do Caixa Realizado]]))</f>
        <v>2018</v>
      </c>
      <c r="K120">
        <f>IF(TbRegistroSaídas[[#This Row],[Data da Competência]]="",0,MONTH(TbRegistroSaídas[[#This Row],[Data da Competência]]))</f>
        <v>7</v>
      </c>
      <c r="L120">
        <f>IF(TbRegistroSaídas[[#This Row],[Data da Competência]]="",0,YEAR(TbRegistroSaídas[[#This Row],[Data da Competência]]))</f>
        <v>2018</v>
      </c>
      <c r="M120" s="53">
        <f>IF(TbRegistroSaídas[[#This Row],[Data do Caixa Previsto]]="",0,MONTH(TbRegistroSaídas[[#This Row],[Data do Caixa Previsto]]))</f>
        <v>8</v>
      </c>
      <c r="N120" s="53">
        <f>IF(TbRegistroSaídas[[#This Row],[Data do Caixa Previsto]]="",0,YEAR(TbRegistroSaídas[[#This Row],[Data do Caixa Previsto]]))</f>
        <v>2018</v>
      </c>
      <c r="O120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21" spans="2:15" x14ac:dyDescent="0.3">
      <c r="B121" s="8">
        <v>43330.010675622812</v>
      </c>
      <c r="C121" s="8">
        <v>43298</v>
      </c>
      <c r="D121" s="8">
        <v>43330.010675622812</v>
      </c>
      <c r="E121" t="s">
        <v>39</v>
      </c>
      <c r="F121" t="s">
        <v>46</v>
      </c>
      <c r="G121" t="s">
        <v>403</v>
      </c>
      <c r="H121" s="14">
        <v>2777</v>
      </c>
      <c r="I121">
        <f>IF(TbRegistroSaídas[[#This Row],[Data do Caixa Realizado]]="",0,MONTH(TbRegistroSaídas[[#This Row],[Data do Caixa Realizado]]))</f>
        <v>8</v>
      </c>
      <c r="J121">
        <f>IF(TbRegistroSaídas[[#This Row],[Data do Caixa Realizado]]="",0,YEAR(TbRegistroSaídas[[#This Row],[Data do Caixa Realizado]]))</f>
        <v>2018</v>
      </c>
      <c r="K121">
        <f>IF(TbRegistroSaídas[[#This Row],[Data da Competência]]="",0,MONTH(TbRegistroSaídas[[#This Row],[Data da Competência]]))</f>
        <v>7</v>
      </c>
      <c r="L121">
        <f>IF(TbRegistroSaídas[[#This Row],[Data da Competência]]="",0,YEAR(TbRegistroSaídas[[#This Row],[Data da Competência]]))</f>
        <v>2018</v>
      </c>
      <c r="M121" s="53">
        <f>IF(TbRegistroSaídas[[#This Row],[Data do Caixa Previsto]]="",0,MONTH(TbRegistroSaídas[[#This Row],[Data do Caixa Previsto]]))</f>
        <v>8</v>
      </c>
      <c r="N121" s="53">
        <f>IF(TbRegistroSaídas[[#This Row],[Data do Caixa Previsto]]="",0,YEAR(TbRegistroSaídas[[#This Row],[Data do Caixa Previsto]]))</f>
        <v>2018</v>
      </c>
      <c r="O121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22" spans="2:15" x14ac:dyDescent="0.3">
      <c r="B122" s="8">
        <v>43357.040894197533</v>
      </c>
      <c r="C122" s="8">
        <v>43300</v>
      </c>
      <c r="D122" s="8">
        <v>43357.040894197533</v>
      </c>
      <c r="E122" t="s">
        <v>39</v>
      </c>
      <c r="F122" t="s">
        <v>37</v>
      </c>
      <c r="G122" t="s">
        <v>404</v>
      </c>
      <c r="H122" s="14">
        <v>3793</v>
      </c>
      <c r="I122">
        <f>IF(TbRegistroSaídas[[#This Row],[Data do Caixa Realizado]]="",0,MONTH(TbRegistroSaídas[[#This Row],[Data do Caixa Realizado]]))</f>
        <v>9</v>
      </c>
      <c r="J122">
        <f>IF(TbRegistroSaídas[[#This Row],[Data do Caixa Realizado]]="",0,YEAR(TbRegistroSaídas[[#This Row],[Data do Caixa Realizado]]))</f>
        <v>2018</v>
      </c>
      <c r="K122">
        <f>IF(TbRegistroSaídas[[#This Row],[Data da Competência]]="",0,MONTH(TbRegistroSaídas[[#This Row],[Data da Competência]]))</f>
        <v>7</v>
      </c>
      <c r="L122">
        <f>IF(TbRegistroSaídas[[#This Row],[Data da Competência]]="",0,YEAR(TbRegistroSaídas[[#This Row],[Data da Competência]]))</f>
        <v>2018</v>
      </c>
      <c r="M122" s="53">
        <f>IF(TbRegistroSaídas[[#This Row],[Data do Caixa Previsto]]="",0,MONTH(TbRegistroSaídas[[#This Row],[Data do Caixa Previsto]]))</f>
        <v>9</v>
      </c>
      <c r="N122" s="53">
        <f>IF(TbRegistroSaídas[[#This Row],[Data do Caixa Previsto]]="",0,YEAR(TbRegistroSaídas[[#This Row],[Data do Caixa Previsto]]))</f>
        <v>2018</v>
      </c>
      <c r="O122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23" spans="2:15" x14ac:dyDescent="0.3">
      <c r="B123" s="8" t="s">
        <v>70</v>
      </c>
      <c r="C123" s="8">
        <v>43302</v>
      </c>
      <c r="D123" s="8">
        <v>43324.888843781351</v>
      </c>
      <c r="E123" t="s">
        <v>39</v>
      </c>
      <c r="F123" t="s">
        <v>34</v>
      </c>
      <c r="G123" t="s">
        <v>405</v>
      </c>
      <c r="H123" s="14">
        <v>4217</v>
      </c>
      <c r="I123">
        <f>IF(TbRegistroSaídas[[#This Row],[Data do Caixa Realizado]]="",0,MONTH(TbRegistroSaídas[[#This Row],[Data do Caixa Realizado]]))</f>
        <v>0</v>
      </c>
      <c r="J123">
        <f>IF(TbRegistroSaídas[[#This Row],[Data do Caixa Realizado]]="",0,YEAR(TbRegistroSaídas[[#This Row],[Data do Caixa Realizado]]))</f>
        <v>0</v>
      </c>
      <c r="K123">
        <f>IF(TbRegistroSaídas[[#This Row],[Data da Competência]]="",0,MONTH(TbRegistroSaídas[[#This Row],[Data da Competência]]))</f>
        <v>7</v>
      </c>
      <c r="L123">
        <f>IF(TbRegistroSaídas[[#This Row],[Data da Competência]]="",0,YEAR(TbRegistroSaídas[[#This Row],[Data da Competência]]))</f>
        <v>2018</v>
      </c>
      <c r="M123" s="53">
        <f>IF(TbRegistroSaídas[[#This Row],[Data do Caixa Previsto]]="",0,MONTH(TbRegistroSaídas[[#This Row],[Data do Caixa Previsto]]))</f>
        <v>8</v>
      </c>
      <c r="N123" s="53">
        <f>IF(TbRegistroSaídas[[#This Row],[Data do Caixa Previsto]]="",0,YEAR(TbRegistroSaídas[[#This Row],[Data do Caixa Previsto]]))</f>
        <v>2018</v>
      </c>
      <c r="O123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2284.1111562186488</v>
      </c>
    </row>
    <row r="124" spans="2:15" x14ac:dyDescent="0.3">
      <c r="B124" s="8">
        <v>43342.623492549312</v>
      </c>
      <c r="C124" s="8">
        <v>43309</v>
      </c>
      <c r="D124" s="8">
        <v>43342.623492549312</v>
      </c>
      <c r="E124" t="s">
        <v>39</v>
      </c>
      <c r="F124" t="s">
        <v>46</v>
      </c>
      <c r="G124" t="s">
        <v>406</v>
      </c>
      <c r="H124" s="14">
        <v>4850</v>
      </c>
      <c r="I124">
        <f>IF(TbRegistroSaídas[[#This Row],[Data do Caixa Realizado]]="",0,MONTH(TbRegistroSaídas[[#This Row],[Data do Caixa Realizado]]))</f>
        <v>8</v>
      </c>
      <c r="J124">
        <f>IF(TbRegistroSaídas[[#This Row],[Data do Caixa Realizado]]="",0,YEAR(TbRegistroSaídas[[#This Row],[Data do Caixa Realizado]]))</f>
        <v>2018</v>
      </c>
      <c r="K124">
        <f>IF(TbRegistroSaídas[[#This Row],[Data da Competência]]="",0,MONTH(TbRegistroSaídas[[#This Row],[Data da Competência]]))</f>
        <v>7</v>
      </c>
      <c r="L124">
        <f>IF(TbRegistroSaídas[[#This Row],[Data da Competência]]="",0,YEAR(TbRegistroSaídas[[#This Row],[Data da Competência]]))</f>
        <v>2018</v>
      </c>
      <c r="M124" s="53">
        <f>IF(TbRegistroSaídas[[#This Row],[Data do Caixa Previsto]]="",0,MONTH(TbRegistroSaídas[[#This Row],[Data do Caixa Previsto]]))</f>
        <v>8</v>
      </c>
      <c r="N124" s="53">
        <f>IF(TbRegistroSaídas[[#This Row],[Data do Caixa Previsto]]="",0,YEAR(TbRegistroSaídas[[#This Row],[Data do Caixa Previsto]]))</f>
        <v>2018</v>
      </c>
      <c r="O124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25" spans="2:15" x14ac:dyDescent="0.3">
      <c r="B125" s="8">
        <v>43354.968085716326</v>
      </c>
      <c r="C125" s="8">
        <v>43311</v>
      </c>
      <c r="D125" s="8">
        <v>43331.330507155544</v>
      </c>
      <c r="E125" t="s">
        <v>39</v>
      </c>
      <c r="F125" t="s">
        <v>34</v>
      </c>
      <c r="G125" t="s">
        <v>407</v>
      </c>
      <c r="H125" s="14">
        <v>4309</v>
      </c>
      <c r="I125">
        <f>IF(TbRegistroSaídas[[#This Row],[Data do Caixa Realizado]]="",0,MONTH(TbRegistroSaídas[[#This Row],[Data do Caixa Realizado]]))</f>
        <v>9</v>
      </c>
      <c r="J125">
        <f>IF(TbRegistroSaídas[[#This Row],[Data do Caixa Realizado]]="",0,YEAR(TbRegistroSaídas[[#This Row],[Data do Caixa Realizado]]))</f>
        <v>2018</v>
      </c>
      <c r="K125">
        <f>IF(TbRegistroSaídas[[#This Row],[Data da Competência]]="",0,MONTH(TbRegistroSaídas[[#This Row],[Data da Competência]]))</f>
        <v>7</v>
      </c>
      <c r="L125">
        <f>IF(TbRegistroSaídas[[#This Row],[Data da Competência]]="",0,YEAR(TbRegistroSaídas[[#This Row],[Data da Competência]]))</f>
        <v>2018</v>
      </c>
      <c r="M125" s="53">
        <f>IF(TbRegistroSaídas[[#This Row],[Data do Caixa Previsto]]="",0,MONTH(TbRegistroSaídas[[#This Row],[Data do Caixa Previsto]]))</f>
        <v>8</v>
      </c>
      <c r="N125" s="53">
        <f>IF(TbRegistroSaídas[[#This Row],[Data do Caixa Previsto]]="",0,YEAR(TbRegistroSaídas[[#This Row],[Data do Caixa Previsto]]))</f>
        <v>2018</v>
      </c>
      <c r="O125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23.637578560781549</v>
      </c>
    </row>
    <row r="126" spans="2:15" x14ac:dyDescent="0.3">
      <c r="B126" s="8">
        <v>43374.615784892369</v>
      </c>
      <c r="C126" s="8">
        <v>43313</v>
      </c>
      <c r="D126" s="8">
        <v>43314.576092684139</v>
      </c>
      <c r="E126" t="s">
        <v>39</v>
      </c>
      <c r="F126" t="s">
        <v>35</v>
      </c>
      <c r="G126" t="s">
        <v>408</v>
      </c>
      <c r="H126" s="14">
        <v>4462</v>
      </c>
      <c r="I126">
        <f>IF(TbRegistroSaídas[[#This Row],[Data do Caixa Realizado]]="",0,MONTH(TbRegistroSaídas[[#This Row],[Data do Caixa Realizado]]))</f>
        <v>10</v>
      </c>
      <c r="J126">
        <f>IF(TbRegistroSaídas[[#This Row],[Data do Caixa Realizado]]="",0,YEAR(TbRegistroSaídas[[#This Row],[Data do Caixa Realizado]]))</f>
        <v>2018</v>
      </c>
      <c r="K126">
        <f>IF(TbRegistroSaídas[[#This Row],[Data da Competência]]="",0,MONTH(TbRegistroSaídas[[#This Row],[Data da Competência]]))</f>
        <v>8</v>
      </c>
      <c r="L126">
        <f>IF(TbRegistroSaídas[[#This Row],[Data da Competência]]="",0,YEAR(TbRegistroSaídas[[#This Row],[Data da Competência]]))</f>
        <v>2018</v>
      </c>
      <c r="M126" s="53">
        <f>IF(TbRegistroSaídas[[#This Row],[Data do Caixa Previsto]]="",0,MONTH(TbRegistroSaídas[[#This Row],[Data do Caixa Previsto]]))</f>
        <v>8</v>
      </c>
      <c r="N126" s="53">
        <f>IF(TbRegistroSaídas[[#This Row],[Data do Caixa Previsto]]="",0,YEAR(TbRegistroSaídas[[#This Row],[Data do Caixa Previsto]]))</f>
        <v>2018</v>
      </c>
      <c r="O126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60.039692208229098</v>
      </c>
    </row>
    <row r="127" spans="2:15" x14ac:dyDescent="0.3">
      <c r="B127" s="8">
        <v>43375.491443107414</v>
      </c>
      <c r="C127" s="8">
        <v>43319</v>
      </c>
      <c r="D127" s="8">
        <v>43375.491443107414</v>
      </c>
      <c r="E127" t="s">
        <v>39</v>
      </c>
      <c r="F127" t="s">
        <v>33</v>
      </c>
      <c r="G127" t="s">
        <v>409</v>
      </c>
      <c r="H127" s="14">
        <v>4947</v>
      </c>
      <c r="I127">
        <f>IF(TbRegistroSaídas[[#This Row],[Data do Caixa Realizado]]="",0,MONTH(TbRegistroSaídas[[#This Row],[Data do Caixa Realizado]]))</f>
        <v>10</v>
      </c>
      <c r="J127">
        <f>IF(TbRegistroSaídas[[#This Row],[Data do Caixa Realizado]]="",0,YEAR(TbRegistroSaídas[[#This Row],[Data do Caixa Realizado]]))</f>
        <v>2018</v>
      </c>
      <c r="K127">
        <f>IF(TbRegistroSaídas[[#This Row],[Data da Competência]]="",0,MONTH(TbRegistroSaídas[[#This Row],[Data da Competência]]))</f>
        <v>8</v>
      </c>
      <c r="L127">
        <f>IF(TbRegistroSaídas[[#This Row],[Data da Competência]]="",0,YEAR(TbRegistroSaídas[[#This Row],[Data da Competência]]))</f>
        <v>2018</v>
      </c>
      <c r="M127" s="53">
        <f>IF(TbRegistroSaídas[[#This Row],[Data do Caixa Previsto]]="",0,MONTH(TbRegistroSaídas[[#This Row],[Data do Caixa Previsto]]))</f>
        <v>10</v>
      </c>
      <c r="N127" s="53">
        <f>IF(TbRegistroSaídas[[#This Row],[Data do Caixa Previsto]]="",0,YEAR(TbRegistroSaídas[[#This Row],[Data do Caixa Previsto]]))</f>
        <v>2018</v>
      </c>
      <c r="O127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28" spans="2:15" x14ac:dyDescent="0.3">
      <c r="B128" s="8">
        <v>43368.704862392784</v>
      </c>
      <c r="C128" s="8">
        <v>43322</v>
      </c>
      <c r="D128" s="8">
        <v>43368.704862392784</v>
      </c>
      <c r="E128" t="s">
        <v>39</v>
      </c>
      <c r="F128" t="s">
        <v>37</v>
      </c>
      <c r="G128" t="s">
        <v>410</v>
      </c>
      <c r="H128" s="14">
        <v>902</v>
      </c>
      <c r="I128">
        <f>IF(TbRegistroSaídas[[#This Row],[Data do Caixa Realizado]]="",0,MONTH(TbRegistroSaídas[[#This Row],[Data do Caixa Realizado]]))</f>
        <v>9</v>
      </c>
      <c r="J128">
        <f>IF(TbRegistroSaídas[[#This Row],[Data do Caixa Realizado]]="",0,YEAR(TbRegistroSaídas[[#This Row],[Data do Caixa Realizado]]))</f>
        <v>2018</v>
      </c>
      <c r="K128">
        <f>IF(TbRegistroSaídas[[#This Row],[Data da Competência]]="",0,MONTH(TbRegistroSaídas[[#This Row],[Data da Competência]]))</f>
        <v>8</v>
      </c>
      <c r="L128">
        <f>IF(TbRegistroSaídas[[#This Row],[Data da Competência]]="",0,YEAR(TbRegistroSaídas[[#This Row],[Data da Competência]]))</f>
        <v>2018</v>
      </c>
      <c r="M128" s="53">
        <f>IF(TbRegistroSaídas[[#This Row],[Data do Caixa Previsto]]="",0,MONTH(TbRegistroSaídas[[#This Row],[Data do Caixa Previsto]]))</f>
        <v>9</v>
      </c>
      <c r="N128" s="53">
        <f>IF(TbRegistroSaídas[[#This Row],[Data do Caixa Previsto]]="",0,YEAR(TbRegistroSaídas[[#This Row],[Data do Caixa Previsto]]))</f>
        <v>2018</v>
      </c>
      <c r="O128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29" spans="2:15" x14ac:dyDescent="0.3">
      <c r="B129" s="8">
        <v>43366.872016051886</v>
      </c>
      <c r="C129" s="8">
        <v>43324</v>
      </c>
      <c r="D129" s="8">
        <v>43366.872016051886</v>
      </c>
      <c r="E129" t="s">
        <v>39</v>
      </c>
      <c r="F129" t="s">
        <v>33</v>
      </c>
      <c r="G129" t="s">
        <v>411</v>
      </c>
      <c r="H129" s="14">
        <v>432</v>
      </c>
      <c r="I129">
        <f>IF(TbRegistroSaídas[[#This Row],[Data do Caixa Realizado]]="",0,MONTH(TbRegistroSaídas[[#This Row],[Data do Caixa Realizado]]))</f>
        <v>9</v>
      </c>
      <c r="J129">
        <f>IF(TbRegistroSaídas[[#This Row],[Data do Caixa Realizado]]="",0,YEAR(TbRegistroSaídas[[#This Row],[Data do Caixa Realizado]]))</f>
        <v>2018</v>
      </c>
      <c r="K129">
        <f>IF(TbRegistroSaídas[[#This Row],[Data da Competência]]="",0,MONTH(TbRegistroSaídas[[#This Row],[Data da Competência]]))</f>
        <v>8</v>
      </c>
      <c r="L129">
        <f>IF(TbRegistroSaídas[[#This Row],[Data da Competência]]="",0,YEAR(TbRegistroSaídas[[#This Row],[Data da Competência]]))</f>
        <v>2018</v>
      </c>
      <c r="M129" s="53">
        <f>IF(TbRegistroSaídas[[#This Row],[Data do Caixa Previsto]]="",0,MONTH(TbRegistroSaídas[[#This Row],[Data do Caixa Previsto]]))</f>
        <v>9</v>
      </c>
      <c r="N129" s="53">
        <f>IF(TbRegistroSaídas[[#This Row],[Data do Caixa Previsto]]="",0,YEAR(TbRegistroSaídas[[#This Row],[Data do Caixa Previsto]]))</f>
        <v>2018</v>
      </c>
      <c r="O129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30" spans="2:15" x14ac:dyDescent="0.3">
      <c r="B130" s="8">
        <v>43356.956112414089</v>
      </c>
      <c r="C130" s="8">
        <v>43327</v>
      </c>
      <c r="D130" s="8">
        <v>43356.956112414089</v>
      </c>
      <c r="E130" t="s">
        <v>39</v>
      </c>
      <c r="F130" t="s">
        <v>34</v>
      </c>
      <c r="G130" t="s">
        <v>412</v>
      </c>
      <c r="H130" s="14">
        <v>4084</v>
      </c>
      <c r="I130">
        <f>IF(TbRegistroSaídas[[#This Row],[Data do Caixa Realizado]]="",0,MONTH(TbRegistroSaídas[[#This Row],[Data do Caixa Realizado]]))</f>
        <v>9</v>
      </c>
      <c r="J130">
        <f>IF(TbRegistroSaídas[[#This Row],[Data do Caixa Realizado]]="",0,YEAR(TbRegistroSaídas[[#This Row],[Data do Caixa Realizado]]))</f>
        <v>2018</v>
      </c>
      <c r="K130">
        <f>IF(TbRegistroSaídas[[#This Row],[Data da Competência]]="",0,MONTH(TbRegistroSaídas[[#This Row],[Data da Competência]]))</f>
        <v>8</v>
      </c>
      <c r="L130">
        <f>IF(TbRegistroSaídas[[#This Row],[Data da Competência]]="",0,YEAR(TbRegistroSaídas[[#This Row],[Data da Competência]]))</f>
        <v>2018</v>
      </c>
      <c r="M130" s="53">
        <f>IF(TbRegistroSaídas[[#This Row],[Data do Caixa Previsto]]="",0,MONTH(TbRegistroSaídas[[#This Row],[Data do Caixa Previsto]]))</f>
        <v>9</v>
      </c>
      <c r="N130" s="53">
        <f>IF(TbRegistroSaídas[[#This Row],[Data do Caixa Previsto]]="",0,YEAR(TbRegistroSaídas[[#This Row],[Data do Caixa Previsto]]))</f>
        <v>2018</v>
      </c>
      <c r="O130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31" spans="2:15" x14ac:dyDescent="0.3">
      <c r="B131" s="8">
        <v>43433.012235706425</v>
      </c>
      <c r="C131" s="8">
        <v>43334</v>
      </c>
      <c r="D131" s="8">
        <v>43359.016635810432</v>
      </c>
      <c r="E131" t="s">
        <v>39</v>
      </c>
      <c r="F131" t="s">
        <v>46</v>
      </c>
      <c r="G131" t="s">
        <v>413</v>
      </c>
      <c r="H131" s="14">
        <v>1054</v>
      </c>
      <c r="I131">
        <f>IF(TbRegistroSaídas[[#This Row],[Data do Caixa Realizado]]="",0,MONTH(TbRegistroSaídas[[#This Row],[Data do Caixa Realizado]]))</f>
        <v>11</v>
      </c>
      <c r="J131">
        <f>IF(TbRegistroSaídas[[#This Row],[Data do Caixa Realizado]]="",0,YEAR(TbRegistroSaídas[[#This Row],[Data do Caixa Realizado]]))</f>
        <v>2018</v>
      </c>
      <c r="K131">
        <f>IF(TbRegistroSaídas[[#This Row],[Data da Competência]]="",0,MONTH(TbRegistroSaídas[[#This Row],[Data da Competência]]))</f>
        <v>8</v>
      </c>
      <c r="L131">
        <f>IF(TbRegistroSaídas[[#This Row],[Data da Competência]]="",0,YEAR(TbRegistroSaídas[[#This Row],[Data da Competência]]))</f>
        <v>2018</v>
      </c>
      <c r="M131" s="53">
        <f>IF(TbRegistroSaídas[[#This Row],[Data do Caixa Previsto]]="",0,MONTH(TbRegistroSaídas[[#This Row],[Data do Caixa Previsto]]))</f>
        <v>9</v>
      </c>
      <c r="N131" s="53">
        <f>IF(TbRegistroSaídas[[#This Row],[Data do Caixa Previsto]]="",0,YEAR(TbRegistroSaídas[[#This Row],[Data do Caixa Previsto]]))</f>
        <v>2018</v>
      </c>
      <c r="O131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73.9955998959922</v>
      </c>
    </row>
    <row r="132" spans="2:15" x14ac:dyDescent="0.3">
      <c r="B132" s="8">
        <v>43352.077398814596</v>
      </c>
      <c r="C132" s="8">
        <v>43335</v>
      </c>
      <c r="D132" s="8">
        <v>43352.077398814596</v>
      </c>
      <c r="E132" t="s">
        <v>39</v>
      </c>
      <c r="F132" t="s">
        <v>33</v>
      </c>
      <c r="G132" t="s">
        <v>414</v>
      </c>
      <c r="H132" s="14">
        <v>4608</v>
      </c>
      <c r="I132">
        <f>IF(TbRegistroSaídas[[#This Row],[Data do Caixa Realizado]]="",0,MONTH(TbRegistroSaídas[[#This Row],[Data do Caixa Realizado]]))</f>
        <v>9</v>
      </c>
      <c r="J132">
        <f>IF(TbRegistroSaídas[[#This Row],[Data do Caixa Realizado]]="",0,YEAR(TbRegistroSaídas[[#This Row],[Data do Caixa Realizado]]))</f>
        <v>2018</v>
      </c>
      <c r="K132">
        <f>IF(TbRegistroSaídas[[#This Row],[Data da Competência]]="",0,MONTH(TbRegistroSaídas[[#This Row],[Data da Competência]]))</f>
        <v>8</v>
      </c>
      <c r="L132">
        <f>IF(TbRegistroSaídas[[#This Row],[Data da Competência]]="",0,YEAR(TbRegistroSaídas[[#This Row],[Data da Competência]]))</f>
        <v>2018</v>
      </c>
      <c r="M132" s="53">
        <f>IF(TbRegistroSaídas[[#This Row],[Data do Caixa Previsto]]="",0,MONTH(TbRegistroSaídas[[#This Row],[Data do Caixa Previsto]]))</f>
        <v>9</v>
      </c>
      <c r="N132" s="53">
        <f>IF(TbRegistroSaídas[[#This Row],[Data do Caixa Previsto]]="",0,YEAR(TbRegistroSaídas[[#This Row],[Data do Caixa Previsto]]))</f>
        <v>2018</v>
      </c>
      <c r="O132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33" spans="2:15" x14ac:dyDescent="0.3">
      <c r="B133" s="8">
        <v>43363.149663367352</v>
      </c>
      <c r="C133" s="8">
        <v>43340</v>
      </c>
      <c r="D133" s="8">
        <v>43363.149663367352</v>
      </c>
      <c r="E133" t="s">
        <v>39</v>
      </c>
      <c r="F133" t="s">
        <v>37</v>
      </c>
      <c r="G133" t="s">
        <v>415</v>
      </c>
      <c r="H133" s="14">
        <v>1238</v>
      </c>
      <c r="I133">
        <f>IF(TbRegistroSaídas[[#This Row],[Data do Caixa Realizado]]="",0,MONTH(TbRegistroSaídas[[#This Row],[Data do Caixa Realizado]]))</f>
        <v>9</v>
      </c>
      <c r="J133">
        <f>IF(TbRegistroSaídas[[#This Row],[Data do Caixa Realizado]]="",0,YEAR(TbRegistroSaídas[[#This Row],[Data do Caixa Realizado]]))</f>
        <v>2018</v>
      </c>
      <c r="K133">
        <f>IF(TbRegistroSaídas[[#This Row],[Data da Competência]]="",0,MONTH(TbRegistroSaídas[[#This Row],[Data da Competência]]))</f>
        <v>8</v>
      </c>
      <c r="L133">
        <f>IF(TbRegistroSaídas[[#This Row],[Data da Competência]]="",0,YEAR(TbRegistroSaídas[[#This Row],[Data da Competência]]))</f>
        <v>2018</v>
      </c>
      <c r="M133" s="53">
        <f>IF(TbRegistroSaídas[[#This Row],[Data do Caixa Previsto]]="",0,MONTH(TbRegistroSaídas[[#This Row],[Data do Caixa Previsto]]))</f>
        <v>9</v>
      </c>
      <c r="N133" s="53">
        <f>IF(TbRegistroSaídas[[#This Row],[Data do Caixa Previsto]]="",0,YEAR(TbRegistroSaídas[[#This Row],[Data do Caixa Previsto]]))</f>
        <v>2018</v>
      </c>
      <c r="O133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34" spans="2:15" x14ac:dyDescent="0.3">
      <c r="B134" s="8">
        <v>43370.729955212279</v>
      </c>
      <c r="C134" s="8">
        <v>43346</v>
      </c>
      <c r="D134" s="8">
        <v>43370.729955212279</v>
      </c>
      <c r="E134" t="s">
        <v>39</v>
      </c>
      <c r="F134" t="s">
        <v>46</v>
      </c>
      <c r="G134" t="s">
        <v>416</v>
      </c>
      <c r="H134" s="14">
        <v>1342</v>
      </c>
      <c r="I134">
        <f>IF(TbRegistroSaídas[[#This Row],[Data do Caixa Realizado]]="",0,MONTH(TbRegistroSaídas[[#This Row],[Data do Caixa Realizado]]))</f>
        <v>9</v>
      </c>
      <c r="J134">
        <f>IF(TbRegistroSaídas[[#This Row],[Data do Caixa Realizado]]="",0,YEAR(TbRegistroSaídas[[#This Row],[Data do Caixa Realizado]]))</f>
        <v>2018</v>
      </c>
      <c r="K134">
        <f>IF(TbRegistroSaídas[[#This Row],[Data da Competência]]="",0,MONTH(TbRegistroSaídas[[#This Row],[Data da Competência]]))</f>
        <v>9</v>
      </c>
      <c r="L134">
        <f>IF(TbRegistroSaídas[[#This Row],[Data da Competência]]="",0,YEAR(TbRegistroSaídas[[#This Row],[Data da Competência]]))</f>
        <v>2018</v>
      </c>
      <c r="M134" s="53">
        <f>IF(TbRegistroSaídas[[#This Row],[Data do Caixa Previsto]]="",0,MONTH(TbRegistroSaídas[[#This Row],[Data do Caixa Previsto]]))</f>
        <v>9</v>
      </c>
      <c r="N134" s="53">
        <f>IF(TbRegistroSaídas[[#This Row],[Data do Caixa Previsto]]="",0,YEAR(TbRegistroSaídas[[#This Row],[Data do Caixa Previsto]]))</f>
        <v>2018</v>
      </c>
      <c r="O134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35" spans="2:15" x14ac:dyDescent="0.3">
      <c r="B135" s="8">
        <v>43438.840632706146</v>
      </c>
      <c r="C135" s="8">
        <v>43350</v>
      </c>
      <c r="D135" s="8">
        <v>43402.779511524925</v>
      </c>
      <c r="E135" t="s">
        <v>39</v>
      </c>
      <c r="F135" t="s">
        <v>33</v>
      </c>
      <c r="G135" t="s">
        <v>417</v>
      </c>
      <c r="H135" s="14">
        <v>2936</v>
      </c>
      <c r="I135">
        <f>IF(TbRegistroSaídas[[#This Row],[Data do Caixa Realizado]]="",0,MONTH(TbRegistroSaídas[[#This Row],[Data do Caixa Realizado]]))</f>
        <v>12</v>
      </c>
      <c r="J135">
        <f>IF(TbRegistroSaídas[[#This Row],[Data do Caixa Realizado]]="",0,YEAR(TbRegistroSaídas[[#This Row],[Data do Caixa Realizado]]))</f>
        <v>2018</v>
      </c>
      <c r="K135">
        <f>IF(TbRegistroSaídas[[#This Row],[Data da Competência]]="",0,MONTH(TbRegistroSaídas[[#This Row],[Data da Competência]]))</f>
        <v>9</v>
      </c>
      <c r="L135">
        <f>IF(TbRegistroSaídas[[#This Row],[Data da Competência]]="",0,YEAR(TbRegistroSaídas[[#This Row],[Data da Competência]]))</f>
        <v>2018</v>
      </c>
      <c r="M135" s="53">
        <f>IF(TbRegistroSaídas[[#This Row],[Data do Caixa Previsto]]="",0,MONTH(TbRegistroSaídas[[#This Row],[Data do Caixa Previsto]]))</f>
        <v>10</v>
      </c>
      <c r="N135" s="53">
        <f>IF(TbRegistroSaídas[[#This Row],[Data do Caixa Previsto]]="",0,YEAR(TbRegistroSaídas[[#This Row],[Data do Caixa Previsto]]))</f>
        <v>2018</v>
      </c>
      <c r="O135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36.061121181221097</v>
      </c>
    </row>
    <row r="136" spans="2:15" x14ac:dyDescent="0.3">
      <c r="B136" s="8">
        <v>43381.142100455778</v>
      </c>
      <c r="C136" s="8">
        <v>43351</v>
      </c>
      <c r="D136" s="8">
        <v>43381.142100455778</v>
      </c>
      <c r="E136" t="s">
        <v>39</v>
      </c>
      <c r="F136" t="s">
        <v>46</v>
      </c>
      <c r="G136" t="s">
        <v>418</v>
      </c>
      <c r="H136" s="14">
        <v>875</v>
      </c>
      <c r="I136">
        <f>IF(TbRegistroSaídas[[#This Row],[Data do Caixa Realizado]]="",0,MONTH(TbRegistroSaídas[[#This Row],[Data do Caixa Realizado]]))</f>
        <v>10</v>
      </c>
      <c r="J136">
        <f>IF(TbRegistroSaídas[[#This Row],[Data do Caixa Realizado]]="",0,YEAR(TbRegistroSaídas[[#This Row],[Data do Caixa Realizado]]))</f>
        <v>2018</v>
      </c>
      <c r="K136">
        <f>IF(TbRegistroSaídas[[#This Row],[Data da Competência]]="",0,MONTH(TbRegistroSaídas[[#This Row],[Data da Competência]]))</f>
        <v>9</v>
      </c>
      <c r="L136">
        <f>IF(TbRegistroSaídas[[#This Row],[Data da Competência]]="",0,YEAR(TbRegistroSaídas[[#This Row],[Data da Competência]]))</f>
        <v>2018</v>
      </c>
      <c r="M136" s="53">
        <f>IF(TbRegistroSaídas[[#This Row],[Data do Caixa Previsto]]="",0,MONTH(TbRegistroSaídas[[#This Row],[Data do Caixa Previsto]]))</f>
        <v>10</v>
      </c>
      <c r="N136" s="53">
        <f>IF(TbRegistroSaídas[[#This Row],[Data do Caixa Previsto]]="",0,YEAR(TbRegistroSaídas[[#This Row],[Data do Caixa Previsto]]))</f>
        <v>2018</v>
      </c>
      <c r="O136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37" spans="2:15" x14ac:dyDescent="0.3">
      <c r="B137" s="8">
        <v>43355.021702138809</v>
      </c>
      <c r="C137" s="8">
        <v>43353</v>
      </c>
      <c r="D137" s="8">
        <v>43355.021702138809</v>
      </c>
      <c r="E137" t="s">
        <v>39</v>
      </c>
      <c r="F137" t="s">
        <v>35</v>
      </c>
      <c r="G137" t="s">
        <v>419</v>
      </c>
      <c r="H137" s="14">
        <v>159</v>
      </c>
      <c r="I137">
        <f>IF(TbRegistroSaídas[[#This Row],[Data do Caixa Realizado]]="",0,MONTH(TbRegistroSaídas[[#This Row],[Data do Caixa Realizado]]))</f>
        <v>9</v>
      </c>
      <c r="J137">
        <f>IF(TbRegistroSaídas[[#This Row],[Data do Caixa Realizado]]="",0,YEAR(TbRegistroSaídas[[#This Row],[Data do Caixa Realizado]]))</f>
        <v>2018</v>
      </c>
      <c r="K137">
        <f>IF(TbRegistroSaídas[[#This Row],[Data da Competência]]="",0,MONTH(TbRegistroSaídas[[#This Row],[Data da Competência]]))</f>
        <v>9</v>
      </c>
      <c r="L137">
        <f>IF(TbRegistroSaídas[[#This Row],[Data da Competência]]="",0,YEAR(TbRegistroSaídas[[#This Row],[Data da Competência]]))</f>
        <v>2018</v>
      </c>
      <c r="M137" s="53">
        <f>IF(TbRegistroSaídas[[#This Row],[Data do Caixa Previsto]]="",0,MONTH(TbRegistroSaídas[[#This Row],[Data do Caixa Previsto]]))</f>
        <v>9</v>
      </c>
      <c r="N137" s="53">
        <f>IF(TbRegistroSaídas[[#This Row],[Data do Caixa Previsto]]="",0,YEAR(TbRegistroSaídas[[#This Row],[Data do Caixa Previsto]]))</f>
        <v>2018</v>
      </c>
      <c r="O137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38" spans="2:15" x14ac:dyDescent="0.3">
      <c r="B138" s="8">
        <v>43382.641285204452</v>
      </c>
      <c r="C138" s="8">
        <v>43358</v>
      </c>
      <c r="D138" s="8">
        <v>43382.641285204452</v>
      </c>
      <c r="E138" t="s">
        <v>39</v>
      </c>
      <c r="F138" t="s">
        <v>46</v>
      </c>
      <c r="G138" t="s">
        <v>420</v>
      </c>
      <c r="H138" s="14">
        <v>2933</v>
      </c>
      <c r="I138">
        <f>IF(TbRegistroSaídas[[#This Row],[Data do Caixa Realizado]]="",0,MONTH(TbRegistroSaídas[[#This Row],[Data do Caixa Realizado]]))</f>
        <v>10</v>
      </c>
      <c r="J138">
        <f>IF(TbRegistroSaídas[[#This Row],[Data do Caixa Realizado]]="",0,YEAR(TbRegistroSaídas[[#This Row],[Data do Caixa Realizado]]))</f>
        <v>2018</v>
      </c>
      <c r="K138">
        <f>IF(TbRegistroSaídas[[#This Row],[Data da Competência]]="",0,MONTH(TbRegistroSaídas[[#This Row],[Data da Competência]]))</f>
        <v>9</v>
      </c>
      <c r="L138">
        <f>IF(TbRegistroSaídas[[#This Row],[Data da Competência]]="",0,YEAR(TbRegistroSaídas[[#This Row],[Data da Competência]]))</f>
        <v>2018</v>
      </c>
      <c r="M138" s="53">
        <f>IF(TbRegistroSaídas[[#This Row],[Data do Caixa Previsto]]="",0,MONTH(TbRegistroSaídas[[#This Row],[Data do Caixa Previsto]]))</f>
        <v>10</v>
      </c>
      <c r="N138" s="53">
        <f>IF(TbRegistroSaídas[[#This Row],[Data do Caixa Previsto]]="",0,YEAR(TbRegistroSaídas[[#This Row],[Data do Caixa Previsto]]))</f>
        <v>2018</v>
      </c>
      <c r="O138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39" spans="2:15" x14ac:dyDescent="0.3">
      <c r="B139" s="8">
        <v>43405.129639238316</v>
      </c>
      <c r="C139" s="8">
        <v>43358</v>
      </c>
      <c r="D139" s="8">
        <v>43405.129639238316</v>
      </c>
      <c r="E139" t="s">
        <v>39</v>
      </c>
      <c r="F139" t="s">
        <v>46</v>
      </c>
      <c r="G139" t="s">
        <v>421</v>
      </c>
      <c r="H139" s="14">
        <v>4944</v>
      </c>
      <c r="I139">
        <f>IF(TbRegistroSaídas[[#This Row],[Data do Caixa Realizado]]="",0,MONTH(TbRegistroSaídas[[#This Row],[Data do Caixa Realizado]]))</f>
        <v>11</v>
      </c>
      <c r="J139">
        <f>IF(TbRegistroSaídas[[#This Row],[Data do Caixa Realizado]]="",0,YEAR(TbRegistroSaídas[[#This Row],[Data do Caixa Realizado]]))</f>
        <v>2018</v>
      </c>
      <c r="K139">
        <f>IF(TbRegistroSaídas[[#This Row],[Data da Competência]]="",0,MONTH(TbRegistroSaídas[[#This Row],[Data da Competência]]))</f>
        <v>9</v>
      </c>
      <c r="L139">
        <f>IF(TbRegistroSaídas[[#This Row],[Data da Competência]]="",0,YEAR(TbRegistroSaídas[[#This Row],[Data da Competência]]))</f>
        <v>2018</v>
      </c>
      <c r="M139" s="53">
        <f>IF(TbRegistroSaídas[[#This Row],[Data do Caixa Previsto]]="",0,MONTH(TbRegistroSaídas[[#This Row],[Data do Caixa Previsto]]))</f>
        <v>11</v>
      </c>
      <c r="N139" s="53">
        <f>IF(TbRegistroSaídas[[#This Row],[Data do Caixa Previsto]]="",0,YEAR(TbRegistroSaídas[[#This Row],[Data do Caixa Previsto]]))</f>
        <v>2018</v>
      </c>
      <c r="O139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40" spans="2:15" x14ac:dyDescent="0.3">
      <c r="B140" s="8">
        <v>43377.659993656314</v>
      </c>
      <c r="C140" s="8">
        <v>43362</v>
      </c>
      <c r="D140" s="8">
        <v>43377.659993656314</v>
      </c>
      <c r="E140" t="s">
        <v>39</v>
      </c>
      <c r="F140" t="s">
        <v>37</v>
      </c>
      <c r="G140" t="s">
        <v>422</v>
      </c>
      <c r="H140" s="14">
        <v>4173</v>
      </c>
      <c r="I140">
        <f>IF(TbRegistroSaídas[[#This Row],[Data do Caixa Realizado]]="",0,MONTH(TbRegistroSaídas[[#This Row],[Data do Caixa Realizado]]))</f>
        <v>10</v>
      </c>
      <c r="J140">
        <f>IF(TbRegistroSaídas[[#This Row],[Data do Caixa Realizado]]="",0,YEAR(TbRegistroSaídas[[#This Row],[Data do Caixa Realizado]]))</f>
        <v>2018</v>
      </c>
      <c r="K140">
        <f>IF(TbRegistroSaídas[[#This Row],[Data da Competência]]="",0,MONTH(TbRegistroSaídas[[#This Row],[Data da Competência]]))</f>
        <v>9</v>
      </c>
      <c r="L140">
        <f>IF(TbRegistroSaídas[[#This Row],[Data da Competência]]="",0,YEAR(TbRegistroSaídas[[#This Row],[Data da Competência]]))</f>
        <v>2018</v>
      </c>
      <c r="M140" s="53">
        <f>IF(TbRegistroSaídas[[#This Row],[Data do Caixa Previsto]]="",0,MONTH(TbRegistroSaídas[[#This Row],[Data do Caixa Previsto]]))</f>
        <v>10</v>
      </c>
      <c r="N140" s="53">
        <f>IF(TbRegistroSaídas[[#This Row],[Data do Caixa Previsto]]="",0,YEAR(TbRegistroSaídas[[#This Row],[Data do Caixa Previsto]]))</f>
        <v>2018</v>
      </c>
      <c r="O140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41" spans="2:15" x14ac:dyDescent="0.3">
      <c r="B141" s="8">
        <v>43375.186046774324</v>
      </c>
      <c r="C141" s="8">
        <v>43367</v>
      </c>
      <c r="D141" s="8">
        <v>43375.186046774324</v>
      </c>
      <c r="E141" t="s">
        <v>39</v>
      </c>
      <c r="F141" t="s">
        <v>33</v>
      </c>
      <c r="G141" t="s">
        <v>423</v>
      </c>
      <c r="H141" s="14">
        <v>2065</v>
      </c>
      <c r="I141">
        <f>IF(TbRegistroSaídas[[#This Row],[Data do Caixa Realizado]]="",0,MONTH(TbRegistroSaídas[[#This Row],[Data do Caixa Realizado]]))</f>
        <v>10</v>
      </c>
      <c r="J141">
        <f>IF(TbRegistroSaídas[[#This Row],[Data do Caixa Realizado]]="",0,YEAR(TbRegistroSaídas[[#This Row],[Data do Caixa Realizado]]))</f>
        <v>2018</v>
      </c>
      <c r="K141">
        <f>IF(TbRegistroSaídas[[#This Row],[Data da Competência]]="",0,MONTH(TbRegistroSaídas[[#This Row],[Data da Competência]]))</f>
        <v>9</v>
      </c>
      <c r="L141">
        <f>IF(TbRegistroSaídas[[#This Row],[Data da Competência]]="",0,YEAR(TbRegistroSaídas[[#This Row],[Data da Competência]]))</f>
        <v>2018</v>
      </c>
      <c r="M141" s="53">
        <f>IF(TbRegistroSaídas[[#This Row],[Data do Caixa Previsto]]="",0,MONTH(TbRegistroSaídas[[#This Row],[Data do Caixa Previsto]]))</f>
        <v>10</v>
      </c>
      <c r="N141" s="53">
        <f>IF(TbRegistroSaídas[[#This Row],[Data do Caixa Previsto]]="",0,YEAR(TbRegistroSaídas[[#This Row],[Data do Caixa Previsto]]))</f>
        <v>2018</v>
      </c>
      <c r="O141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42" spans="2:15" x14ac:dyDescent="0.3">
      <c r="B142" s="8">
        <v>43422.470077078746</v>
      </c>
      <c r="C142" s="8">
        <v>43371</v>
      </c>
      <c r="D142" s="8">
        <v>43422.470077078746</v>
      </c>
      <c r="E142" t="s">
        <v>39</v>
      </c>
      <c r="F142" t="s">
        <v>34</v>
      </c>
      <c r="G142" t="s">
        <v>424</v>
      </c>
      <c r="H142" s="14">
        <v>521</v>
      </c>
      <c r="I142">
        <f>IF(TbRegistroSaídas[[#This Row],[Data do Caixa Realizado]]="",0,MONTH(TbRegistroSaídas[[#This Row],[Data do Caixa Realizado]]))</f>
        <v>11</v>
      </c>
      <c r="J142">
        <f>IF(TbRegistroSaídas[[#This Row],[Data do Caixa Realizado]]="",0,YEAR(TbRegistroSaídas[[#This Row],[Data do Caixa Realizado]]))</f>
        <v>2018</v>
      </c>
      <c r="K142">
        <f>IF(TbRegistroSaídas[[#This Row],[Data da Competência]]="",0,MONTH(TbRegistroSaídas[[#This Row],[Data da Competência]]))</f>
        <v>9</v>
      </c>
      <c r="L142">
        <f>IF(TbRegistroSaídas[[#This Row],[Data da Competência]]="",0,YEAR(TbRegistroSaídas[[#This Row],[Data da Competência]]))</f>
        <v>2018</v>
      </c>
      <c r="M142" s="53">
        <f>IF(TbRegistroSaídas[[#This Row],[Data do Caixa Previsto]]="",0,MONTH(TbRegistroSaídas[[#This Row],[Data do Caixa Previsto]]))</f>
        <v>11</v>
      </c>
      <c r="N142" s="53">
        <f>IF(TbRegistroSaídas[[#This Row],[Data do Caixa Previsto]]="",0,YEAR(TbRegistroSaídas[[#This Row],[Data do Caixa Previsto]]))</f>
        <v>2018</v>
      </c>
      <c r="O142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43" spans="2:15" x14ac:dyDescent="0.3">
      <c r="B143" s="8">
        <v>43417.82681558784</v>
      </c>
      <c r="C143" s="8">
        <v>43374</v>
      </c>
      <c r="D143" s="8">
        <v>43417.82681558784</v>
      </c>
      <c r="E143" t="s">
        <v>39</v>
      </c>
      <c r="F143" t="s">
        <v>34</v>
      </c>
      <c r="G143" t="s">
        <v>425</v>
      </c>
      <c r="H143" s="14">
        <v>819</v>
      </c>
      <c r="I143">
        <f>IF(TbRegistroSaídas[[#This Row],[Data do Caixa Realizado]]="",0,MONTH(TbRegistroSaídas[[#This Row],[Data do Caixa Realizado]]))</f>
        <v>11</v>
      </c>
      <c r="J143">
        <f>IF(TbRegistroSaídas[[#This Row],[Data do Caixa Realizado]]="",0,YEAR(TbRegistroSaídas[[#This Row],[Data do Caixa Realizado]]))</f>
        <v>2018</v>
      </c>
      <c r="K143">
        <f>IF(TbRegistroSaídas[[#This Row],[Data da Competência]]="",0,MONTH(TbRegistroSaídas[[#This Row],[Data da Competência]]))</f>
        <v>10</v>
      </c>
      <c r="L143">
        <f>IF(TbRegistroSaídas[[#This Row],[Data da Competência]]="",0,YEAR(TbRegistroSaídas[[#This Row],[Data da Competência]]))</f>
        <v>2018</v>
      </c>
      <c r="M143" s="53">
        <f>IF(TbRegistroSaídas[[#This Row],[Data do Caixa Previsto]]="",0,MONTH(TbRegistroSaídas[[#This Row],[Data do Caixa Previsto]]))</f>
        <v>11</v>
      </c>
      <c r="N143" s="53">
        <f>IF(TbRegistroSaídas[[#This Row],[Data do Caixa Previsto]]="",0,YEAR(TbRegistroSaídas[[#This Row],[Data do Caixa Previsto]]))</f>
        <v>2018</v>
      </c>
      <c r="O143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44" spans="2:15" x14ac:dyDescent="0.3">
      <c r="B144" s="8">
        <v>43433.158712252123</v>
      </c>
      <c r="C144" s="8">
        <v>43377</v>
      </c>
      <c r="D144" s="8">
        <v>43433.158712252123</v>
      </c>
      <c r="E144" t="s">
        <v>39</v>
      </c>
      <c r="F144" t="s">
        <v>37</v>
      </c>
      <c r="G144" t="s">
        <v>426</v>
      </c>
      <c r="H144" s="14">
        <v>1260</v>
      </c>
      <c r="I144">
        <f>IF(TbRegistroSaídas[[#This Row],[Data do Caixa Realizado]]="",0,MONTH(TbRegistroSaídas[[#This Row],[Data do Caixa Realizado]]))</f>
        <v>11</v>
      </c>
      <c r="J144">
        <f>IF(TbRegistroSaídas[[#This Row],[Data do Caixa Realizado]]="",0,YEAR(TbRegistroSaídas[[#This Row],[Data do Caixa Realizado]]))</f>
        <v>2018</v>
      </c>
      <c r="K144">
        <f>IF(TbRegistroSaídas[[#This Row],[Data da Competência]]="",0,MONTH(TbRegistroSaídas[[#This Row],[Data da Competência]]))</f>
        <v>10</v>
      </c>
      <c r="L144">
        <f>IF(TbRegistroSaídas[[#This Row],[Data da Competência]]="",0,YEAR(TbRegistroSaídas[[#This Row],[Data da Competência]]))</f>
        <v>2018</v>
      </c>
      <c r="M144" s="53">
        <f>IF(TbRegistroSaídas[[#This Row],[Data do Caixa Previsto]]="",0,MONTH(TbRegistroSaídas[[#This Row],[Data do Caixa Previsto]]))</f>
        <v>11</v>
      </c>
      <c r="N144" s="53">
        <f>IF(TbRegistroSaídas[[#This Row],[Data do Caixa Previsto]]="",0,YEAR(TbRegistroSaídas[[#This Row],[Data do Caixa Previsto]]))</f>
        <v>2018</v>
      </c>
      <c r="O144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45" spans="2:15" x14ac:dyDescent="0.3">
      <c r="B145" s="8">
        <v>43389.890057350683</v>
      </c>
      <c r="C145" s="8">
        <v>43383</v>
      </c>
      <c r="D145" s="8">
        <v>43389.890057350683</v>
      </c>
      <c r="E145" t="s">
        <v>39</v>
      </c>
      <c r="F145" t="s">
        <v>33</v>
      </c>
      <c r="G145" t="s">
        <v>427</v>
      </c>
      <c r="H145" s="14">
        <v>2998</v>
      </c>
      <c r="I145">
        <f>IF(TbRegistroSaídas[[#This Row],[Data do Caixa Realizado]]="",0,MONTH(TbRegistroSaídas[[#This Row],[Data do Caixa Realizado]]))</f>
        <v>10</v>
      </c>
      <c r="J145">
        <f>IF(TbRegistroSaídas[[#This Row],[Data do Caixa Realizado]]="",0,YEAR(TbRegistroSaídas[[#This Row],[Data do Caixa Realizado]]))</f>
        <v>2018</v>
      </c>
      <c r="K145">
        <f>IF(TbRegistroSaídas[[#This Row],[Data da Competência]]="",0,MONTH(TbRegistroSaídas[[#This Row],[Data da Competência]]))</f>
        <v>10</v>
      </c>
      <c r="L145">
        <f>IF(TbRegistroSaídas[[#This Row],[Data da Competência]]="",0,YEAR(TbRegistroSaídas[[#This Row],[Data da Competência]]))</f>
        <v>2018</v>
      </c>
      <c r="M145" s="53">
        <f>IF(TbRegistroSaídas[[#This Row],[Data do Caixa Previsto]]="",0,MONTH(TbRegistroSaídas[[#This Row],[Data do Caixa Previsto]]))</f>
        <v>10</v>
      </c>
      <c r="N145" s="53">
        <f>IF(TbRegistroSaídas[[#This Row],[Data do Caixa Previsto]]="",0,YEAR(TbRegistroSaídas[[#This Row],[Data do Caixa Previsto]]))</f>
        <v>2018</v>
      </c>
      <c r="O145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46" spans="2:15" x14ac:dyDescent="0.3">
      <c r="B146" s="8">
        <v>43404.046693214259</v>
      </c>
      <c r="C146" s="8">
        <v>43385</v>
      </c>
      <c r="D146" s="8">
        <v>43404.046693214259</v>
      </c>
      <c r="E146" t="s">
        <v>39</v>
      </c>
      <c r="F146" t="s">
        <v>33</v>
      </c>
      <c r="G146" t="s">
        <v>428</v>
      </c>
      <c r="H146" s="14">
        <v>4287</v>
      </c>
      <c r="I146">
        <f>IF(TbRegistroSaídas[[#This Row],[Data do Caixa Realizado]]="",0,MONTH(TbRegistroSaídas[[#This Row],[Data do Caixa Realizado]]))</f>
        <v>10</v>
      </c>
      <c r="J146">
        <f>IF(TbRegistroSaídas[[#This Row],[Data do Caixa Realizado]]="",0,YEAR(TbRegistroSaídas[[#This Row],[Data do Caixa Realizado]]))</f>
        <v>2018</v>
      </c>
      <c r="K146">
        <f>IF(TbRegistroSaídas[[#This Row],[Data da Competência]]="",0,MONTH(TbRegistroSaídas[[#This Row],[Data da Competência]]))</f>
        <v>10</v>
      </c>
      <c r="L146">
        <f>IF(TbRegistroSaídas[[#This Row],[Data da Competência]]="",0,YEAR(TbRegistroSaídas[[#This Row],[Data da Competência]]))</f>
        <v>2018</v>
      </c>
      <c r="M146" s="53">
        <f>IF(TbRegistroSaídas[[#This Row],[Data do Caixa Previsto]]="",0,MONTH(TbRegistroSaídas[[#This Row],[Data do Caixa Previsto]]))</f>
        <v>10</v>
      </c>
      <c r="N146" s="53">
        <f>IF(TbRegistroSaídas[[#This Row],[Data do Caixa Previsto]]="",0,YEAR(TbRegistroSaídas[[#This Row],[Data do Caixa Previsto]]))</f>
        <v>2018</v>
      </c>
      <c r="O146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47" spans="2:15" x14ac:dyDescent="0.3">
      <c r="B147" s="8">
        <v>43507.755970956488</v>
      </c>
      <c r="C147" s="8">
        <v>43387</v>
      </c>
      <c r="D147" s="8">
        <v>43428.148562697053</v>
      </c>
      <c r="E147" t="s">
        <v>39</v>
      </c>
      <c r="F147" t="s">
        <v>35</v>
      </c>
      <c r="G147" t="s">
        <v>429</v>
      </c>
      <c r="H147" s="14">
        <v>2015</v>
      </c>
      <c r="I147">
        <f>IF(TbRegistroSaídas[[#This Row],[Data do Caixa Realizado]]="",0,MONTH(TbRegistroSaídas[[#This Row],[Data do Caixa Realizado]]))</f>
        <v>2</v>
      </c>
      <c r="J147">
        <f>IF(TbRegistroSaídas[[#This Row],[Data do Caixa Realizado]]="",0,YEAR(TbRegistroSaídas[[#This Row],[Data do Caixa Realizado]]))</f>
        <v>2019</v>
      </c>
      <c r="K147">
        <f>IF(TbRegistroSaídas[[#This Row],[Data da Competência]]="",0,MONTH(TbRegistroSaídas[[#This Row],[Data da Competência]]))</f>
        <v>10</v>
      </c>
      <c r="L147">
        <f>IF(TbRegistroSaídas[[#This Row],[Data da Competência]]="",0,YEAR(TbRegistroSaídas[[#This Row],[Data da Competência]]))</f>
        <v>2018</v>
      </c>
      <c r="M147" s="53">
        <f>IF(TbRegistroSaídas[[#This Row],[Data do Caixa Previsto]]="",0,MONTH(TbRegistroSaídas[[#This Row],[Data do Caixa Previsto]]))</f>
        <v>11</v>
      </c>
      <c r="N147" s="53">
        <f>IF(TbRegistroSaídas[[#This Row],[Data do Caixa Previsto]]="",0,YEAR(TbRegistroSaídas[[#This Row],[Data do Caixa Previsto]]))</f>
        <v>2018</v>
      </c>
      <c r="O147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79.607408259435033</v>
      </c>
    </row>
    <row r="148" spans="2:15" x14ac:dyDescent="0.3">
      <c r="B148" s="8">
        <v>43449.211879770926</v>
      </c>
      <c r="C148" s="8">
        <v>43393</v>
      </c>
      <c r="D148" s="8">
        <v>43449.211879770926</v>
      </c>
      <c r="E148" t="s">
        <v>39</v>
      </c>
      <c r="F148" t="s">
        <v>35</v>
      </c>
      <c r="G148" t="s">
        <v>430</v>
      </c>
      <c r="H148" s="14">
        <v>3369</v>
      </c>
      <c r="I148">
        <f>IF(TbRegistroSaídas[[#This Row],[Data do Caixa Realizado]]="",0,MONTH(TbRegistroSaídas[[#This Row],[Data do Caixa Realizado]]))</f>
        <v>12</v>
      </c>
      <c r="J148">
        <f>IF(TbRegistroSaídas[[#This Row],[Data do Caixa Realizado]]="",0,YEAR(TbRegistroSaídas[[#This Row],[Data do Caixa Realizado]]))</f>
        <v>2018</v>
      </c>
      <c r="K148">
        <f>IF(TbRegistroSaídas[[#This Row],[Data da Competência]]="",0,MONTH(TbRegistroSaídas[[#This Row],[Data da Competência]]))</f>
        <v>10</v>
      </c>
      <c r="L148">
        <f>IF(TbRegistroSaídas[[#This Row],[Data da Competência]]="",0,YEAR(TbRegistroSaídas[[#This Row],[Data da Competência]]))</f>
        <v>2018</v>
      </c>
      <c r="M148" s="53">
        <f>IF(TbRegistroSaídas[[#This Row],[Data do Caixa Previsto]]="",0,MONTH(TbRegistroSaídas[[#This Row],[Data do Caixa Previsto]]))</f>
        <v>12</v>
      </c>
      <c r="N148" s="53">
        <f>IF(TbRegistroSaídas[[#This Row],[Data do Caixa Previsto]]="",0,YEAR(TbRegistroSaídas[[#This Row],[Data do Caixa Previsto]]))</f>
        <v>2018</v>
      </c>
      <c r="O148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49" spans="2:15" x14ac:dyDescent="0.3">
      <c r="B149" s="8">
        <v>43404.811332468627</v>
      </c>
      <c r="C149" s="8">
        <v>43394</v>
      </c>
      <c r="D149" s="8">
        <v>43404.811332468627</v>
      </c>
      <c r="E149" t="s">
        <v>39</v>
      </c>
      <c r="F149" t="s">
        <v>46</v>
      </c>
      <c r="G149" t="s">
        <v>431</v>
      </c>
      <c r="H149" s="14">
        <v>4851</v>
      </c>
      <c r="I149">
        <f>IF(TbRegistroSaídas[[#This Row],[Data do Caixa Realizado]]="",0,MONTH(TbRegistroSaídas[[#This Row],[Data do Caixa Realizado]]))</f>
        <v>10</v>
      </c>
      <c r="J149">
        <f>IF(TbRegistroSaídas[[#This Row],[Data do Caixa Realizado]]="",0,YEAR(TbRegistroSaídas[[#This Row],[Data do Caixa Realizado]]))</f>
        <v>2018</v>
      </c>
      <c r="K149">
        <f>IF(TbRegistroSaídas[[#This Row],[Data da Competência]]="",0,MONTH(TbRegistroSaídas[[#This Row],[Data da Competência]]))</f>
        <v>10</v>
      </c>
      <c r="L149">
        <f>IF(TbRegistroSaídas[[#This Row],[Data da Competência]]="",0,YEAR(TbRegistroSaídas[[#This Row],[Data da Competência]]))</f>
        <v>2018</v>
      </c>
      <c r="M149" s="53">
        <f>IF(TbRegistroSaídas[[#This Row],[Data do Caixa Previsto]]="",0,MONTH(TbRegistroSaídas[[#This Row],[Data do Caixa Previsto]]))</f>
        <v>10</v>
      </c>
      <c r="N149" s="53">
        <f>IF(TbRegistroSaídas[[#This Row],[Data do Caixa Previsto]]="",0,YEAR(TbRegistroSaídas[[#This Row],[Data do Caixa Previsto]]))</f>
        <v>2018</v>
      </c>
      <c r="O149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50" spans="2:15" x14ac:dyDescent="0.3">
      <c r="B150" s="8">
        <v>43456.031618147535</v>
      </c>
      <c r="C150" s="8">
        <v>43398</v>
      </c>
      <c r="D150" s="8">
        <v>43449.013472196442</v>
      </c>
      <c r="E150" t="s">
        <v>39</v>
      </c>
      <c r="F150" t="s">
        <v>46</v>
      </c>
      <c r="G150" t="s">
        <v>432</v>
      </c>
      <c r="H150" s="14">
        <v>2178</v>
      </c>
      <c r="I150">
        <f>IF(TbRegistroSaídas[[#This Row],[Data do Caixa Realizado]]="",0,MONTH(TbRegistroSaídas[[#This Row],[Data do Caixa Realizado]]))</f>
        <v>12</v>
      </c>
      <c r="J150">
        <f>IF(TbRegistroSaídas[[#This Row],[Data do Caixa Realizado]]="",0,YEAR(TbRegistroSaídas[[#This Row],[Data do Caixa Realizado]]))</f>
        <v>2018</v>
      </c>
      <c r="K150">
        <f>IF(TbRegistroSaídas[[#This Row],[Data da Competência]]="",0,MONTH(TbRegistroSaídas[[#This Row],[Data da Competência]]))</f>
        <v>10</v>
      </c>
      <c r="L150">
        <f>IF(TbRegistroSaídas[[#This Row],[Data da Competência]]="",0,YEAR(TbRegistroSaídas[[#This Row],[Data da Competência]]))</f>
        <v>2018</v>
      </c>
      <c r="M150" s="53">
        <f>IF(TbRegistroSaídas[[#This Row],[Data do Caixa Previsto]]="",0,MONTH(TbRegistroSaídas[[#This Row],[Data do Caixa Previsto]]))</f>
        <v>12</v>
      </c>
      <c r="N150" s="53">
        <f>IF(TbRegistroSaídas[[#This Row],[Data do Caixa Previsto]]="",0,YEAR(TbRegistroSaídas[[#This Row],[Data do Caixa Previsto]]))</f>
        <v>2018</v>
      </c>
      <c r="O150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7.0181459510931745</v>
      </c>
    </row>
    <row r="151" spans="2:15" x14ac:dyDescent="0.3">
      <c r="B151" s="8">
        <v>43424.062053727328</v>
      </c>
      <c r="C151" s="8">
        <v>43400</v>
      </c>
      <c r="D151" s="8">
        <v>43424.062053727328</v>
      </c>
      <c r="E151" t="s">
        <v>39</v>
      </c>
      <c r="F151" t="s">
        <v>35</v>
      </c>
      <c r="G151" t="s">
        <v>433</v>
      </c>
      <c r="H151" s="14">
        <v>4052</v>
      </c>
      <c r="I151">
        <f>IF(TbRegistroSaídas[[#This Row],[Data do Caixa Realizado]]="",0,MONTH(TbRegistroSaídas[[#This Row],[Data do Caixa Realizado]]))</f>
        <v>11</v>
      </c>
      <c r="J151">
        <f>IF(TbRegistroSaídas[[#This Row],[Data do Caixa Realizado]]="",0,YEAR(TbRegistroSaídas[[#This Row],[Data do Caixa Realizado]]))</f>
        <v>2018</v>
      </c>
      <c r="K151">
        <f>IF(TbRegistroSaídas[[#This Row],[Data da Competência]]="",0,MONTH(TbRegistroSaídas[[#This Row],[Data da Competência]]))</f>
        <v>10</v>
      </c>
      <c r="L151">
        <f>IF(TbRegistroSaídas[[#This Row],[Data da Competência]]="",0,YEAR(TbRegistroSaídas[[#This Row],[Data da Competência]]))</f>
        <v>2018</v>
      </c>
      <c r="M151" s="53">
        <f>IF(TbRegistroSaídas[[#This Row],[Data do Caixa Previsto]]="",0,MONTH(TbRegistroSaídas[[#This Row],[Data do Caixa Previsto]]))</f>
        <v>11</v>
      </c>
      <c r="N151" s="53">
        <f>IF(TbRegistroSaídas[[#This Row],[Data do Caixa Previsto]]="",0,YEAR(TbRegistroSaídas[[#This Row],[Data do Caixa Previsto]]))</f>
        <v>2018</v>
      </c>
      <c r="O151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52" spans="2:15" x14ac:dyDescent="0.3">
      <c r="B152" s="8">
        <v>43420.587272347206</v>
      </c>
      <c r="C152" s="8">
        <v>43403</v>
      </c>
      <c r="D152" s="8">
        <v>43420.587272347206</v>
      </c>
      <c r="E152" t="s">
        <v>39</v>
      </c>
      <c r="F152" t="s">
        <v>33</v>
      </c>
      <c r="G152" t="s">
        <v>434</v>
      </c>
      <c r="H152" s="14">
        <v>2864</v>
      </c>
      <c r="I152">
        <f>IF(TbRegistroSaídas[[#This Row],[Data do Caixa Realizado]]="",0,MONTH(TbRegistroSaídas[[#This Row],[Data do Caixa Realizado]]))</f>
        <v>11</v>
      </c>
      <c r="J152">
        <f>IF(TbRegistroSaídas[[#This Row],[Data do Caixa Realizado]]="",0,YEAR(TbRegistroSaídas[[#This Row],[Data do Caixa Realizado]]))</f>
        <v>2018</v>
      </c>
      <c r="K152">
        <f>IF(TbRegistroSaídas[[#This Row],[Data da Competência]]="",0,MONTH(TbRegistroSaídas[[#This Row],[Data da Competência]]))</f>
        <v>10</v>
      </c>
      <c r="L152">
        <f>IF(TbRegistroSaídas[[#This Row],[Data da Competência]]="",0,YEAR(TbRegistroSaídas[[#This Row],[Data da Competência]]))</f>
        <v>2018</v>
      </c>
      <c r="M152" s="53">
        <f>IF(TbRegistroSaídas[[#This Row],[Data do Caixa Previsto]]="",0,MONTH(TbRegistroSaídas[[#This Row],[Data do Caixa Previsto]]))</f>
        <v>11</v>
      </c>
      <c r="N152" s="53">
        <f>IF(TbRegistroSaídas[[#This Row],[Data do Caixa Previsto]]="",0,YEAR(TbRegistroSaídas[[#This Row],[Data do Caixa Previsto]]))</f>
        <v>2018</v>
      </c>
      <c r="O152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53" spans="2:15" x14ac:dyDescent="0.3">
      <c r="B153" s="8">
        <v>43461.891878681301</v>
      </c>
      <c r="C153" s="8">
        <v>43405</v>
      </c>
      <c r="D153" s="8">
        <v>43461.891878681301</v>
      </c>
      <c r="E153" t="s">
        <v>39</v>
      </c>
      <c r="F153" t="s">
        <v>46</v>
      </c>
      <c r="G153" t="s">
        <v>435</v>
      </c>
      <c r="H153" s="14">
        <v>2425</v>
      </c>
      <c r="I153">
        <f>IF(TbRegistroSaídas[[#This Row],[Data do Caixa Realizado]]="",0,MONTH(TbRegistroSaídas[[#This Row],[Data do Caixa Realizado]]))</f>
        <v>12</v>
      </c>
      <c r="J153">
        <f>IF(TbRegistroSaídas[[#This Row],[Data do Caixa Realizado]]="",0,YEAR(TbRegistroSaídas[[#This Row],[Data do Caixa Realizado]]))</f>
        <v>2018</v>
      </c>
      <c r="K153">
        <f>IF(TbRegistroSaídas[[#This Row],[Data da Competência]]="",0,MONTH(TbRegistroSaídas[[#This Row],[Data da Competência]]))</f>
        <v>11</v>
      </c>
      <c r="L153">
        <f>IF(TbRegistroSaídas[[#This Row],[Data da Competência]]="",0,YEAR(TbRegistroSaídas[[#This Row],[Data da Competência]]))</f>
        <v>2018</v>
      </c>
      <c r="M153" s="53">
        <f>IF(TbRegistroSaídas[[#This Row],[Data do Caixa Previsto]]="",0,MONTH(TbRegistroSaídas[[#This Row],[Data do Caixa Previsto]]))</f>
        <v>12</v>
      </c>
      <c r="N153" s="53">
        <f>IF(TbRegistroSaídas[[#This Row],[Data do Caixa Previsto]]="",0,YEAR(TbRegistroSaídas[[#This Row],[Data do Caixa Previsto]]))</f>
        <v>2018</v>
      </c>
      <c r="O153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54" spans="2:15" x14ac:dyDescent="0.3">
      <c r="B154" s="8">
        <v>43491.131651867006</v>
      </c>
      <c r="C154" s="8">
        <v>43407</v>
      </c>
      <c r="D154" s="8">
        <v>43466.552162254069</v>
      </c>
      <c r="E154" t="s">
        <v>39</v>
      </c>
      <c r="F154" t="s">
        <v>33</v>
      </c>
      <c r="G154" t="s">
        <v>353</v>
      </c>
      <c r="H154" s="14">
        <v>1542</v>
      </c>
      <c r="I154">
        <f>IF(TbRegistroSaídas[[#This Row],[Data do Caixa Realizado]]="",0,MONTH(TbRegistroSaídas[[#This Row],[Data do Caixa Realizado]]))</f>
        <v>1</v>
      </c>
      <c r="J154">
        <f>IF(TbRegistroSaídas[[#This Row],[Data do Caixa Realizado]]="",0,YEAR(TbRegistroSaídas[[#This Row],[Data do Caixa Realizado]]))</f>
        <v>2019</v>
      </c>
      <c r="K154">
        <f>IF(TbRegistroSaídas[[#This Row],[Data da Competência]]="",0,MONTH(TbRegistroSaídas[[#This Row],[Data da Competência]]))</f>
        <v>11</v>
      </c>
      <c r="L154">
        <f>IF(TbRegistroSaídas[[#This Row],[Data da Competência]]="",0,YEAR(TbRegistroSaídas[[#This Row],[Data da Competência]]))</f>
        <v>2018</v>
      </c>
      <c r="M154" s="53">
        <f>IF(TbRegistroSaídas[[#This Row],[Data do Caixa Previsto]]="",0,MONTH(TbRegistroSaídas[[#This Row],[Data do Caixa Previsto]]))</f>
        <v>1</v>
      </c>
      <c r="N154" s="53">
        <f>IF(TbRegistroSaídas[[#This Row],[Data do Caixa Previsto]]="",0,YEAR(TbRegistroSaídas[[#This Row],[Data do Caixa Previsto]]))</f>
        <v>2019</v>
      </c>
      <c r="O154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24.579489612937323</v>
      </c>
    </row>
    <row r="155" spans="2:15" x14ac:dyDescent="0.3">
      <c r="B155" s="8">
        <v>43446.7351960983</v>
      </c>
      <c r="C155" s="8">
        <v>43412</v>
      </c>
      <c r="D155" s="8">
        <v>43446.7351960983</v>
      </c>
      <c r="E155" t="s">
        <v>39</v>
      </c>
      <c r="F155" t="s">
        <v>46</v>
      </c>
      <c r="G155" t="s">
        <v>436</v>
      </c>
      <c r="H155" s="14">
        <v>1736</v>
      </c>
      <c r="I155">
        <f>IF(TbRegistroSaídas[[#This Row],[Data do Caixa Realizado]]="",0,MONTH(TbRegistroSaídas[[#This Row],[Data do Caixa Realizado]]))</f>
        <v>12</v>
      </c>
      <c r="J155">
        <f>IF(TbRegistroSaídas[[#This Row],[Data do Caixa Realizado]]="",0,YEAR(TbRegistroSaídas[[#This Row],[Data do Caixa Realizado]]))</f>
        <v>2018</v>
      </c>
      <c r="K155">
        <f>IF(TbRegistroSaídas[[#This Row],[Data da Competência]]="",0,MONTH(TbRegistroSaídas[[#This Row],[Data da Competência]]))</f>
        <v>11</v>
      </c>
      <c r="L155">
        <f>IF(TbRegistroSaídas[[#This Row],[Data da Competência]]="",0,YEAR(TbRegistroSaídas[[#This Row],[Data da Competência]]))</f>
        <v>2018</v>
      </c>
      <c r="M155" s="53">
        <f>IF(TbRegistroSaídas[[#This Row],[Data do Caixa Previsto]]="",0,MONTH(TbRegistroSaídas[[#This Row],[Data do Caixa Previsto]]))</f>
        <v>12</v>
      </c>
      <c r="N155" s="53">
        <f>IF(TbRegistroSaídas[[#This Row],[Data do Caixa Previsto]]="",0,YEAR(TbRegistroSaídas[[#This Row],[Data do Caixa Previsto]]))</f>
        <v>2018</v>
      </c>
      <c r="O155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56" spans="2:15" x14ac:dyDescent="0.3">
      <c r="B156" s="8">
        <v>43474.679630611819</v>
      </c>
      <c r="C156" s="8">
        <v>43415</v>
      </c>
      <c r="D156" s="8">
        <v>43474.679630611819</v>
      </c>
      <c r="E156" t="s">
        <v>39</v>
      </c>
      <c r="F156" t="s">
        <v>34</v>
      </c>
      <c r="G156" t="s">
        <v>437</v>
      </c>
      <c r="H156" s="14">
        <v>1628</v>
      </c>
      <c r="I156">
        <f>IF(TbRegistroSaídas[[#This Row],[Data do Caixa Realizado]]="",0,MONTH(TbRegistroSaídas[[#This Row],[Data do Caixa Realizado]]))</f>
        <v>1</v>
      </c>
      <c r="J156">
        <f>IF(TbRegistroSaídas[[#This Row],[Data do Caixa Realizado]]="",0,YEAR(TbRegistroSaídas[[#This Row],[Data do Caixa Realizado]]))</f>
        <v>2019</v>
      </c>
      <c r="K156">
        <f>IF(TbRegistroSaídas[[#This Row],[Data da Competência]]="",0,MONTH(TbRegistroSaídas[[#This Row],[Data da Competência]]))</f>
        <v>11</v>
      </c>
      <c r="L156">
        <f>IF(TbRegistroSaídas[[#This Row],[Data da Competência]]="",0,YEAR(TbRegistroSaídas[[#This Row],[Data da Competência]]))</f>
        <v>2018</v>
      </c>
      <c r="M156" s="53">
        <f>IF(TbRegistroSaídas[[#This Row],[Data do Caixa Previsto]]="",0,MONTH(TbRegistroSaídas[[#This Row],[Data do Caixa Previsto]]))</f>
        <v>1</v>
      </c>
      <c r="N156" s="53">
        <f>IF(TbRegistroSaídas[[#This Row],[Data do Caixa Previsto]]="",0,YEAR(TbRegistroSaídas[[#This Row],[Data do Caixa Previsto]]))</f>
        <v>2019</v>
      </c>
      <c r="O156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57" spans="2:15" x14ac:dyDescent="0.3">
      <c r="B157" s="8">
        <v>43420.10775852378</v>
      </c>
      <c r="C157" s="8">
        <v>43417</v>
      </c>
      <c r="D157" s="8">
        <v>43420.10775852378</v>
      </c>
      <c r="E157" t="s">
        <v>39</v>
      </c>
      <c r="F157" t="s">
        <v>46</v>
      </c>
      <c r="G157" t="s">
        <v>438</v>
      </c>
      <c r="H157" s="14">
        <v>3853</v>
      </c>
      <c r="I157">
        <f>IF(TbRegistroSaídas[[#This Row],[Data do Caixa Realizado]]="",0,MONTH(TbRegistroSaídas[[#This Row],[Data do Caixa Realizado]]))</f>
        <v>11</v>
      </c>
      <c r="J157">
        <f>IF(TbRegistroSaídas[[#This Row],[Data do Caixa Realizado]]="",0,YEAR(TbRegistroSaídas[[#This Row],[Data do Caixa Realizado]]))</f>
        <v>2018</v>
      </c>
      <c r="K157">
        <f>IF(TbRegistroSaídas[[#This Row],[Data da Competência]]="",0,MONTH(TbRegistroSaídas[[#This Row],[Data da Competência]]))</f>
        <v>11</v>
      </c>
      <c r="L157">
        <f>IF(TbRegistroSaídas[[#This Row],[Data da Competência]]="",0,YEAR(TbRegistroSaídas[[#This Row],[Data da Competência]]))</f>
        <v>2018</v>
      </c>
      <c r="M157" s="53">
        <f>IF(TbRegistroSaídas[[#This Row],[Data do Caixa Previsto]]="",0,MONTH(TbRegistroSaídas[[#This Row],[Data do Caixa Previsto]]))</f>
        <v>11</v>
      </c>
      <c r="N157" s="53">
        <f>IF(TbRegistroSaídas[[#This Row],[Data do Caixa Previsto]]="",0,YEAR(TbRegistroSaídas[[#This Row],[Data do Caixa Previsto]]))</f>
        <v>2018</v>
      </c>
      <c r="O157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58" spans="2:15" x14ac:dyDescent="0.3">
      <c r="B158" s="8">
        <v>43451.20401159949</v>
      </c>
      <c r="C158" s="8">
        <v>43421</v>
      </c>
      <c r="D158" s="8">
        <v>43451.20401159949</v>
      </c>
      <c r="E158" t="s">
        <v>39</v>
      </c>
      <c r="F158" t="s">
        <v>34</v>
      </c>
      <c r="G158" t="s">
        <v>439</v>
      </c>
      <c r="H158" s="14">
        <v>883</v>
      </c>
      <c r="I158">
        <f>IF(TbRegistroSaídas[[#This Row],[Data do Caixa Realizado]]="",0,MONTH(TbRegistroSaídas[[#This Row],[Data do Caixa Realizado]]))</f>
        <v>12</v>
      </c>
      <c r="J158">
        <f>IF(TbRegistroSaídas[[#This Row],[Data do Caixa Realizado]]="",0,YEAR(TbRegistroSaídas[[#This Row],[Data do Caixa Realizado]]))</f>
        <v>2018</v>
      </c>
      <c r="K158">
        <f>IF(TbRegistroSaídas[[#This Row],[Data da Competência]]="",0,MONTH(TbRegistroSaídas[[#This Row],[Data da Competência]]))</f>
        <v>11</v>
      </c>
      <c r="L158">
        <f>IF(TbRegistroSaídas[[#This Row],[Data da Competência]]="",0,YEAR(TbRegistroSaídas[[#This Row],[Data da Competência]]))</f>
        <v>2018</v>
      </c>
      <c r="M158" s="53">
        <f>IF(TbRegistroSaídas[[#This Row],[Data do Caixa Previsto]]="",0,MONTH(TbRegistroSaídas[[#This Row],[Data do Caixa Previsto]]))</f>
        <v>12</v>
      </c>
      <c r="N158" s="53">
        <f>IF(TbRegistroSaídas[[#This Row],[Data do Caixa Previsto]]="",0,YEAR(TbRegistroSaídas[[#This Row],[Data do Caixa Previsto]]))</f>
        <v>2018</v>
      </c>
      <c r="O158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59" spans="2:15" x14ac:dyDescent="0.3">
      <c r="B159" s="8">
        <v>43441.762171101494</v>
      </c>
      <c r="C159" s="8">
        <v>43421</v>
      </c>
      <c r="D159" s="8">
        <v>43441.762171101494</v>
      </c>
      <c r="E159" t="s">
        <v>39</v>
      </c>
      <c r="F159" t="s">
        <v>46</v>
      </c>
      <c r="G159" t="s">
        <v>440</v>
      </c>
      <c r="H159" s="14">
        <v>976</v>
      </c>
      <c r="I159">
        <f>IF(TbRegistroSaídas[[#This Row],[Data do Caixa Realizado]]="",0,MONTH(TbRegistroSaídas[[#This Row],[Data do Caixa Realizado]]))</f>
        <v>12</v>
      </c>
      <c r="J159">
        <f>IF(TbRegistroSaídas[[#This Row],[Data do Caixa Realizado]]="",0,YEAR(TbRegistroSaídas[[#This Row],[Data do Caixa Realizado]]))</f>
        <v>2018</v>
      </c>
      <c r="K159">
        <f>IF(TbRegistroSaídas[[#This Row],[Data da Competência]]="",0,MONTH(TbRegistroSaídas[[#This Row],[Data da Competência]]))</f>
        <v>11</v>
      </c>
      <c r="L159">
        <f>IF(TbRegistroSaídas[[#This Row],[Data da Competência]]="",0,YEAR(TbRegistroSaídas[[#This Row],[Data da Competência]]))</f>
        <v>2018</v>
      </c>
      <c r="M159" s="53">
        <f>IF(TbRegistroSaídas[[#This Row],[Data do Caixa Previsto]]="",0,MONTH(TbRegistroSaídas[[#This Row],[Data do Caixa Previsto]]))</f>
        <v>12</v>
      </c>
      <c r="N159" s="53">
        <f>IF(TbRegistroSaídas[[#This Row],[Data do Caixa Previsto]]="",0,YEAR(TbRegistroSaídas[[#This Row],[Data do Caixa Previsto]]))</f>
        <v>2018</v>
      </c>
      <c r="O159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60" spans="2:15" x14ac:dyDescent="0.3">
      <c r="B160" s="8">
        <v>43465.942395888327</v>
      </c>
      <c r="C160" s="8">
        <v>43424</v>
      </c>
      <c r="D160" s="8">
        <v>43465.942395888327</v>
      </c>
      <c r="E160" t="s">
        <v>39</v>
      </c>
      <c r="F160" t="s">
        <v>34</v>
      </c>
      <c r="G160" t="s">
        <v>441</v>
      </c>
      <c r="H160" s="14">
        <v>2663</v>
      </c>
      <c r="I160">
        <f>IF(TbRegistroSaídas[[#This Row],[Data do Caixa Realizado]]="",0,MONTH(TbRegistroSaídas[[#This Row],[Data do Caixa Realizado]]))</f>
        <v>12</v>
      </c>
      <c r="J160">
        <f>IF(TbRegistroSaídas[[#This Row],[Data do Caixa Realizado]]="",0,YEAR(TbRegistroSaídas[[#This Row],[Data do Caixa Realizado]]))</f>
        <v>2018</v>
      </c>
      <c r="K160">
        <f>IF(TbRegistroSaídas[[#This Row],[Data da Competência]]="",0,MONTH(TbRegistroSaídas[[#This Row],[Data da Competência]]))</f>
        <v>11</v>
      </c>
      <c r="L160">
        <f>IF(TbRegistroSaídas[[#This Row],[Data da Competência]]="",0,YEAR(TbRegistroSaídas[[#This Row],[Data da Competência]]))</f>
        <v>2018</v>
      </c>
      <c r="M160" s="53">
        <f>IF(TbRegistroSaídas[[#This Row],[Data do Caixa Previsto]]="",0,MONTH(TbRegistroSaídas[[#This Row],[Data do Caixa Previsto]]))</f>
        <v>12</v>
      </c>
      <c r="N160" s="53">
        <f>IF(TbRegistroSaídas[[#This Row],[Data do Caixa Previsto]]="",0,YEAR(TbRegistroSaídas[[#This Row],[Data do Caixa Previsto]]))</f>
        <v>2018</v>
      </c>
      <c r="O160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61" spans="2:15" x14ac:dyDescent="0.3">
      <c r="B161" s="8">
        <v>43430.953637786966</v>
      </c>
      <c r="C161" s="8">
        <v>43430</v>
      </c>
      <c r="D161" s="8">
        <v>43430.953637786966</v>
      </c>
      <c r="E161" t="s">
        <v>39</v>
      </c>
      <c r="F161" t="s">
        <v>46</v>
      </c>
      <c r="G161" t="s">
        <v>442</v>
      </c>
      <c r="H161" s="14">
        <v>4888</v>
      </c>
      <c r="I161">
        <f>IF(TbRegistroSaídas[[#This Row],[Data do Caixa Realizado]]="",0,MONTH(TbRegistroSaídas[[#This Row],[Data do Caixa Realizado]]))</f>
        <v>11</v>
      </c>
      <c r="J161">
        <f>IF(TbRegistroSaídas[[#This Row],[Data do Caixa Realizado]]="",0,YEAR(TbRegistroSaídas[[#This Row],[Data do Caixa Realizado]]))</f>
        <v>2018</v>
      </c>
      <c r="K161">
        <f>IF(TbRegistroSaídas[[#This Row],[Data da Competência]]="",0,MONTH(TbRegistroSaídas[[#This Row],[Data da Competência]]))</f>
        <v>11</v>
      </c>
      <c r="L161">
        <f>IF(TbRegistroSaídas[[#This Row],[Data da Competência]]="",0,YEAR(TbRegistroSaídas[[#This Row],[Data da Competência]]))</f>
        <v>2018</v>
      </c>
      <c r="M161" s="53">
        <f>IF(TbRegistroSaídas[[#This Row],[Data do Caixa Previsto]]="",0,MONTH(TbRegistroSaídas[[#This Row],[Data do Caixa Previsto]]))</f>
        <v>11</v>
      </c>
      <c r="N161" s="53">
        <f>IF(TbRegistroSaídas[[#This Row],[Data do Caixa Previsto]]="",0,YEAR(TbRegistroSaídas[[#This Row],[Data do Caixa Previsto]]))</f>
        <v>2018</v>
      </c>
      <c r="O161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62" spans="2:15" x14ac:dyDescent="0.3">
      <c r="B162" s="8">
        <v>43517.76387190332</v>
      </c>
      <c r="C162" s="8">
        <v>43433</v>
      </c>
      <c r="D162" s="8">
        <v>43478.804327652433</v>
      </c>
      <c r="E162" t="s">
        <v>39</v>
      </c>
      <c r="F162" t="s">
        <v>34</v>
      </c>
      <c r="G162" t="s">
        <v>443</v>
      </c>
      <c r="H162" s="14">
        <v>2030</v>
      </c>
      <c r="I162">
        <f>IF(TbRegistroSaídas[[#This Row],[Data do Caixa Realizado]]="",0,MONTH(TbRegistroSaídas[[#This Row],[Data do Caixa Realizado]]))</f>
        <v>2</v>
      </c>
      <c r="J162">
        <f>IF(TbRegistroSaídas[[#This Row],[Data do Caixa Realizado]]="",0,YEAR(TbRegistroSaídas[[#This Row],[Data do Caixa Realizado]]))</f>
        <v>2019</v>
      </c>
      <c r="K162">
        <f>IF(TbRegistroSaídas[[#This Row],[Data da Competência]]="",0,MONTH(TbRegistroSaídas[[#This Row],[Data da Competência]]))</f>
        <v>11</v>
      </c>
      <c r="L162">
        <f>IF(TbRegistroSaídas[[#This Row],[Data da Competência]]="",0,YEAR(TbRegistroSaídas[[#This Row],[Data da Competência]]))</f>
        <v>2018</v>
      </c>
      <c r="M162" s="53">
        <f>IF(TbRegistroSaídas[[#This Row],[Data do Caixa Previsto]]="",0,MONTH(TbRegistroSaídas[[#This Row],[Data do Caixa Previsto]]))</f>
        <v>1</v>
      </c>
      <c r="N162" s="53">
        <f>IF(TbRegistroSaídas[[#This Row],[Data do Caixa Previsto]]="",0,YEAR(TbRegistroSaídas[[#This Row],[Data do Caixa Previsto]]))</f>
        <v>2019</v>
      </c>
      <c r="O162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38.95954425088712</v>
      </c>
    </row>
    <row r="163" spans="2:15" x14ac:dyDescent="0.3">
      <c r="B163" s="8" t="s">
        <v>70</v>
      </c>
      <c r="C163" s="8">
        <v>43436</v>
      </c>
      <c r="D163" s="8">
        <v>43485.820929970221</v>
      </c>
      <c r="E163" t="s">
        <v>39</v>
      </c>
      <c r="F163" t="s">
        <v>46</v>
      </c>
      <c r="G163" t="s">
        <v>444</v>
      </c>
      <c r="H163" s="14">
        <v>2117</v>
      </c>
      <c r="I163">
        <f>IF(TbRegistroSaídas[[#This Row],[Data do Caixa Realizado]]="",0,MONTH(TbRegistroSaídas[[#This Row],[Data do Caixa Realizado]]))</f>
        <v>0</v>
      </c>
      <c r="J163" s="22">
        <f>IF(TbRegistroSaídas[[#This Row],[Data do Caixa Realizado]]="",0,YEAR(TbRegistroSaídas[[#This Row],[Data do Caixa Realizado]]))</f>
        <v>0</v>
      </c>
      <c r="K163">
        <f>IF(TbRegistroSaídas[[#This Row],[Data da Competência]]="",0,MONTH(TbRegistroSaídas[[#This Row],[Data da Competência]]))</f>
        <v>12</v>
      </c>
      <c r="L163">
        <f>IF(TbRegistroSaídas[[#This Row],[Data da Competência]]="",0,YEAR(TbRegistroSaídas[[#This Row],[Data da Competência]]))</f>
        <v>2018</v>
      </c>
      <c r="M163" s="53">
        <f>IF(TbRegistroSaídas[[#This Row],[Data do Caixa Previsto]]="",0,MONTH(TbRegistroSaídas[[#This Row],[Data do Caixa Previsto]]))</f>
        <v>1</v>
      </c>
      <c r="N163" s="53">
        <f>IF(TbRegistroSaídas[[#This Row],[Data do Caixa Previsto]]="",0,YEAR(TbRegistroSaídas[[#This Row],[Data do Caixa Previsto]]))</f>
        <v>2019</v>
      </c>
      <c r="O163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2123.1790700297788</v>
      </c>
    </row>
    <row r="164" spans="2:15" x14ac:dyDescent="0.3">
      <c r="B164" s="8">
        <v>43576.35130395602</v>
      </c>
      <c r="C164" s="8">
        <v>43438</v>
      </c>
      <c r="D164" s="8">
        <v>43494.750065134205</v>
      </c>
      <c r="E164" t="s">
        <v>39</v>
      </c>
      <c r="F164" t="s">
        <v>46</v>
      </c>
      <c r="G164" t="s">
        <v>445</v>
      </c>
      <c r="H164" s="14">
        <v>1236</v>
      </c>
      <c r="I164">
        <f>IF(TbRegistroSaídas[[#This Row],[Data do Caixa Realizado]]="",0,MONTH(TbRegistroSaídas[[#This Row],[Data do Caixa Realizado]]))</f>
        <v>4</v>
      </c>
      <c r="J164">
        <f>IF(TbRegistroSaídas[[#This Row],[Data do Caixa Realizado]]="",0,YEAR(TbRegistroSaídas[[#This Row],[Data do Caixa Realizado]]))</f>
        <v>2019</v>
      </c>
      <c r="K164">
        <f>IF(TbRegistroSaídas[[#This Row],[Data da Competência]]="",0,MONTH(TbRegistroSaídas[[#This Row],[Data da Competência]]))</f>
        <v>12</v>
      </c>
      <c r="L164">
        <f>IF(TbRegistroSaídas[[#This Row],[Data da Competência]]="",0,YEAR(TbRegistroSaídas[[#This Row],[Data da Competência]]))</f>
        <v>2018</v>
      </c>
      <c r="M164" s="53">
        <f>IF(TbRegistroSaídas[[#This Row],[Data do Caixa Previsto]]="",0,MONTH(TbRegistroSaídas[[#This Row],[Data do Caixa Previsto]]))</f>
        <v>1</v>
      </c>
      <c r="N164" s="53">
        <f>IF(TbRegistroSaídas[[#This Row],[Data do Caixa Previsto]]="",0,YEAR(TbRegistroSaídas[[#This Row],[Data do Caixa Previsto]]))</f>
        <v>2019</v>
      </c>
      <c r="O164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81.601238821815059</v>
      </c>
    </row>
    <row r="165" spans="2:15" x14ac:dyDescent="0.3">
      <c r="B165" s="8">
        <v>43465.7468934922</v>
      </c>
      <c r="C165" s="8">
        <v>43443</v>
      </c>
      <c r="D165" s="8">
        <v>43465.7468934922</v>
      </c>
      <c r="E165" t="s">
        <v>39</v>
      </c>
      <c r="F165" t="s">
        <v>46</v>
      </c>
      <c r="G165" t="s">
        <v>446</v>
      </c>
      <c r="H165" s="14">
        <v>426</v>
      </c>
      <c r="I165">
        <f>IF(TbRegistroSaídas[[#This Row],[Data do Caixa Realizado]]="",0,MONTH(TbRegistroSaídas[[#This Row],[Data do Caixa Realizado]]))</f>
        <v>12</v>
      </c>
      <c r="J165">
        <f>IF(TbRegistroSaídas[[#This Row],[Data do Caixa Realizado]]="",0,YEAR(TbRegistroSaídas[[#This Row],[Data do Caixa Realizado]]))</f>
        <v>2018</v>
      </c>
      <c r="K165">
        <f>IF(TbRegistroSaídas[[#This Row],[Data da Competência]]="",0,MONTH(TbRegistroSaídas[[#This Row],[Data da Competência]]))</f>
        <v>12</v>
      </c>
      <c r="L165">
        <f>IF(TbRegistroSaídas[[#This Row],[Data da Competência]]="",0,YEAR(TbRegistroSaídas[[#This Row],[Data da Competência]]))</f>
        <v>2018</v>
      </c>
      <c r="M165" s="53">
        <f>IF(TbRegistroSaídas[[#This Row],[Data do Caixa Previsto]]="",0,MONTH(TbRegistroSaídas[[#This Row],[Data do Caixa Previsto]]))</f>
        <v>12</v>
      </c>
      <c r="N165" s="53">
        <f>IF(TbRegistroSaídas[[#This Row],[Data do Caixa Previsto]]="",0,YEAR(TbRegistroSaídas[[#This Row],[Data do Caixa Previsto]]))</f>
        <v>2018</v>
      </c>
      <c r="O165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66" spans="2:15" x14ac:dyDescent="0.3">
      <c r="B166" s="8">
        <v>43465.107280855569</v>
      </c>
      <c r="C166" s="8">
        <v>43444</v>
      </c>
      <c r="D166" s="8">
        <v>43458.160574156776</v>
      </c>
      <c r="E166" t="s">
        <v>39</v>
      </c>
      <c r="F166" t="s">
        <v>33</v>
      </c>
      <c r="G166" t="s">
        <v>447</v>
      </c>
      <c r="H166" s="14">
        <v>3956</v>
      </c>
      <c r="I166">
        <f>IF(TbRegistroSaídas[[#This Row],[Data do Caixa Realizado]]="",0,MONTH(TbRegistroSaídas[[#This Row],[Data do Caixa Realizado]]))</f>
        <v>12</v>
      </c>
      <c r="J166">
        <f>IF(TbRegistroSaídas[[#This Row],[Data do Caixa Realizado]]="",0,YEAR(TbRegistroSaídas[[#This Row],[Data do Caixa Realizado]]))</f>
        <v>2018</v>
      </c>
      <c r="K166">
        <f>IF(TbRegistroSaídas[[#This Row],[Data da Competência]]="",0,MONTH(TbRegistroSaídas[[#This Row],[Data da Competência]]))</f>
        <v>12</v>
      </c>
      <c r="L166">
        <f>IF(TbRegistroSaídas[[#This Row],[Data da Competência]]="",0,YEAR(TbRegistroSaídas[[#This Row],[Data da Competência]]))</f>
        <v>2018</v>
      </c>
      <c r="M166" s="53">
        <f>IF(TbRegistroSaídas[[#This Row],[Data do Caixa Previsto]]="",0,MONTH(TbRegistroSaídas[[#This Row],[Data do Caixa Previsto]]))</f>
        <v>12</v>
      </c>
      <c r="N166" s="53">
        <f>IF(TbRegistroSaídas[[#This Row],[Data do Caixa Previsto]]="",0,YEAR(TbRegistroSaídas[[#This Row],[Data do Caixa Previsto]]))</f>
        <v>2018</v>
      </c>
      <c r="O166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6.9467066987926955</v>
      </c>
    </row>
    <row r="167" spans="2:15" x14ac:dyDescent="0.3">
      <c r="B167" s="8" t="s">
        <v>70</v>
      </c>
      <c r="C167" s="8">
        <v>43448</v>
      </c>
      <c r="D167" s="8">
        <v>43480.746977784853</v>
      </c>
      <c r="E167" t="s">
        <v>39</v>
      </c>
      <c r="F167" t="s">
        <v>46</v>
      </c>
      <c r="G167" t="s">
        <v>448</v>
      </c>
      <c r="H167" s="14">
        <v>3042</v>
      </c>
      <c r="I167">
        <f>IF(TbRegistroSaídas[[#This Row],[Data do Caixa Realizado]]="",0,MONTH(TbRegistroSaídas[[#This Row],[Data do Caixa Realizado]]))</f>
        <v>0</v>
      </c>
      <c r="J167">
        <f>IF(TbRegistroSaídas[[#This Row],[Data do Caixa Realizado]]="",0,YEAR(TbRegistroSaídas[[#This Row],[Data do Caixa Realizado]]))</f>
        <v>0</v>
      </c>
      <c r="K167">
        <f>IF(TbRegistroSaídas[[#This Row],[Data da Competência]]="",0,MONTH(TbRegistroSaídas[[#This Row],[Data da Competência]]))</f>
        <v>12</v>
      </c>
      <c r="L167">
        <f>IF(TbRegistroSaídas[[#This Row],[Data da Competência]]="",0,YEAR(TbRegistroSaídas[[#This Row],[Data da Competência]]))</f>
        <v>2018</v>
      </c>
      <c r="M167" s="53">
        <f>IF(TbRegistroSaídas[[#This Row],[Data do Caixa Previsto]]="",0,MONTH(TbRegistroSaídas[[#This Row],[Data do Caixa Previsto]]))</f>
        <v>1</v>
      </c>
      <c r="N167" s="53">
        <f>IF(TbRegistroSaídas[[#This Row],[Data do Caixa Previsto]]="",0,YEAR(TbRegistroSaídas[[#This Row],[Data do Caixa Previsto]]))</f>
        <v>2019</v>
      </c>
      <c r="O167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2128.2530222151472</v>
      </c>
    </row>
    <row r="168" spans="2:15" x14ac:dyDescent="0.3">
      <c r="B168" s="8">
        <v>43506.264597842761</v>
      </c>
      <c r="C168" s="8">
        <v>43449</v>
      </c>
      <c r="D168" s="8">
        <v>43489.335938548378</v>
      </c>
      <c r="E168" t="s">
        <v>39</v>
      </c>
      <c r="F168" t="s">
        <v>46</v>
      </c>
      <c r="G168" t="s">
        <v>449</v>
      </c>
      <c r="H168" s="14">
        <v>1434</v>
      </c>
      <c r="I168">
        <f>IF(TbRegistroSaídas[[#This Row],[Data do Caixa Realizado]]="",0,MONTH(TbRegistroSaídas[[#This Row],[Data do Caixa Realizado]]))</f>
        <v>2</v>
      </c>
      <c r="J168">
        <f>IF(TbRegistroSaídas[[#This Row],[Data do Caixa Realizado]]="",0,YEAR(TbRegistroSaídas[[#This Row],[Data do Caixa Realizado]]))</f>
        <v>2019</v>
      </c>
      <c r="K168">
        <f>IF(TbRegistroSaídas[[#This Row],[Data da Competência]]="",0,MONTH(TbRegistroSaídas[[#This Row],[Data da Competência]]))</f>
        <v>12</v>
      </c>
      <c r="L168">
        <f>IF(TbRegistroSaídas[[#This Row],[Data da Competência]]="",0,YEAR(TbRegistroSaídas[[#This Row],[Data da Competência]]))</f>
        <v>2018</v>
      </c>
      <c r="M168" s="53">
        <f>IF(TbRegistroSaídas[[#This Row],[Data do Caixa Previsto]]="",0,MONTH(TbRegistroSaídas[[#This Row],[Data do Caixa Previsto]]))</f>
        <v>1</v>
      </c>
      <c r="N168" s="53">
        <f>IF(TbRegistroSaídas[[#This Row],[Data do Caixa Previsto]]="",0,YEAR(TbRegistroSaídas[[#This Row],[Data do Caixa Previsto]]))</f>
        <v>2019</v>
      </c>
      <c r="O168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16.928659294382669</v>
      </c>
    </row>
    <row r="169" spans="2:15" x14ac:dyDescent="0.3">
      <c r="B169" s="8">
        <v>43487.188431641203</v>
      </c>
      <c r="C169" s="8">
        <v>43452</v>
      </c>
      <c r="D169" s="8">
        <v>43487.188431641203</v>
      </c>
      <c r="E169" t="s">
        <v>39</v>
      </c>
      <c r="F169" t="s">
        <v>37</v>
      </c>
      <c r="G169" t="s">
        <v>450</v>
      </c>
      <c r="H169" s="14">
        <v>1782</v>
      </c>
      <c r="I169">
        <f>IF(TbRegistroSaídas[[#This Row],[Data do Caixa Realizado]]="",0,MONTH(TbRegistroSaídas[[#This Row],[Data do Caixa Realizado]]))</f>
        <v>1</v>
      </c>
      <c r="J169">
        <f>IF(TbRegistroSaídas[[#This Row],[Data do Caixa Realizado]]="",0,YEAR(TbRegistroSaídas[[#This Row],[Data do Caixa Realizado]]))</f>
        <v>2019</v>
      </c>
      <c r="K169">
        <f>IF(TbRegistroSaídas[[#This Row],[Data da Competência]]="",0,MONTH(TbRegistroSaídas[[#This Row],[Data da Competência]]))</f>
        <v>12</v>
      </c>
      <c r="L169">
        <f>IF(TbRegistroSaídas[[#This Row],[Data da Competência]]="",0,YEAR(TbRegistroSaídas[[#This Row],[Data da Competência]]))</f>
        <v>2018</v>
      </c>
      <c r="M169" s="53">
        <f>IF(TbRegistroSaídas[[#This Row],[Data do Caixa Previsto]]="",0,MONTH(TbRegistroSaídas[[#This Row],[Data do Caixa Previsto]]))</f>
        <v>1</v>
      </c>
      <c r="N169" s="53">
        <f>IF(TbRegistroSaídas[[#This Row],[Data do Caixa Previsto]]="",0,YEAR(TbRegistroSaídas[[#This Row],[Data do Caixa Previsto]]))</f>
        <v>2019</v>
      </c>
      <c r="O169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70" spans="2:15" x14ac:dyDescent="0.3">
      <c r="B170" s="8">
        <v>43514.403187421965</v>
      </c>
      <c r="C170" s="8">
        <v>43459</v>
      </c>
      <c r="D170" s="8">
        <v>43514.403187421965</v>
      </c>
      <c r="E170" t="s">
        <v>39</v>
      </c>
      <c r="F170" t="s">
        <v>46</v>
      </c>
      <c r="G170" t="s">
        <v>451</v>
      </c>
      <c r="H170" s="14">
        <v>365</v>
      </c>
      <c r="I170">
        <f>IF(TbRegistroSaídas[[#This Row],[Data do Caixa Realizado]]="",0,MONTH(TbRegistroSaídas[[#This Row],[Data do Caixa Realizado]]))</f>
        <v>2</v>
      </c>
      <c r="J170">
        <f>IF(TbRegistroSaídas[[#This Row],[Data do Caixa Realizado]]="",0,YEAR(TbRegistroSaídas[[#This Row],[Data do Caixa Realizado]]))</f>
        <v>2019</v>
      </c>
      <c r="K170">
        <f>IF(TbRegistroSaídas[[#This Row],[Data da Competência]]="",0,MONTH(TbRegistroSaídas[[#This Row],[Data da Competência]]))</f>
        <v>12</v>
      </c>
      <c r="L170">
        <f>IF(TbRegistroSaídas[[#This Row],[Data da Competência]]="",0,YEAR(TbRegistroSaídas[[#This Row],[Data da Competência]]))</f>
        <v>2018</v>
      </c>
      <c r="M170" s="53">
        <f>IF(TbRegistroSaídas[[#This Row],[Data do Caixa Previsto]]="",0,MONTH(TbRegistroSaídas[[#This Row],[Data do Caixa Previsto]]))</f>
        <v>2</v>
      </c>
      <c r="N170" s="53">
        <f>IF(TbRegistroSaídas[[#This Row],[Data do Caixa Previsto]]="",0,YEAR(TbRegistroSaídas[[#This Row],[Data do Caixa Previsto]]))</f>
        <v>2019</v>
      </c>
      <c r="O170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71" spans="2:15" x14ac:dyDescent="0.3">
      <c r="B171" s="8">
        <v>43491.679228472654</v>
      </c>
      <c r="C171" s="8">
        <v>43461</v>
      </c>
      <c r="D171" s="8">
        <v>43491.679228472654</v>
      </c>
      <c r="E171" t="s">
        <v>39</v>
      </c>
      <c r="F171" t="s">
        <v>46</v>
      </c>
      <c r="G171" t="s">
        <v>452</v>
      </c>
      <c r="H171" s="14">
        <v>2757</v>
      </c>
      <c r="I171">
        <f>IF(TbRegistroSaídas[[#This Row],[Data do Caixa Realizado]]="",0,MONTH(TbRegistroSaídas[[#This Row],[Data do Caixa Realizado]]))</f>
        <v>1</v>
      </c>
      <c r="J171">
        <f>IF(TbRegistroSaídas[[#This Row],[Data do Caixa Realizado]]="",0,YEAR(TbRegistroSaídas[[#This Row],[Data do Caixa Realizado]]))</f>
        <v>2019</v>
      </c>
      <c r="K171">
        <f>IF(TbRegistroSaídas[[#This Row],[Data da Competência]]="",0,MONTH(TbRegistroSaídas[[#This Row],[Data da Competência]]))</f>
        <v>12</v>
      </c>
      <c r="L171">
        <f>IF(TbRegistroSaídas[[#This Row],[Data da Competência]]="",0,YEAR(TbRegistroSaídas[[#This Row],[Data da Competência]]))</f>
        <v>2018</v>
      </c>
      <c r="M171" s="53">
        <f>IF(TbRegistroSaídas[[#This Row],[Data do Caixa Previsto]]="",0,MONTH(TbRegistroSaídas[[#This Row],[Data do Caixa Previsto]]))</f>
        <v>1</v>
      </c>
      <c r="N171" s="53">
        <f>IF(TbRegistroSaídas[[#This Row],[Data do Caixa Previsto]]="",0,YEAR(TbRegistroSaídas[[#This Row],[Data do Caixa Previsto]]))</f>
        <v>2019</v>
      </c>
      <c r="O171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72" spans="2:15" x14ac:dyDescent="0.3">
      <c r="B172" s="8">
        <v>43515.206907104708</v>
      </c>
      <c r="C172" s="8">
        <v>43464</v>
      </c>
      <c r="D172" s="8">
        <v>43515.206907104708</v>
      </c>
      <c r="E172" t="s">
        <v>39</v>
      </c>
      <c r="F172" t="s">
        <v>37</v>
      </c>
      <c r="G172" t="s">
        <v>453</v>
      </c>
      <c r="H172" s="14">
        <v>2112</v>
      </c>
      <c r="I172">
        <f>IF(TbRegistroSaídas[[#This Row],[Data do Caixa Realizado]]="",0,MONTH(TbRegistroSaídas[[#This Row],[Data do Caixa Realizado]]))</f>
        <v>2</v>
      </c>
      <c r="J172">
        <f>IF(TbRegistroSaídas[[#This Row],[Data do Caixa Realizado]]="",0,YEAR(TbRegistroSaídas[[#This Row],[Data do Caixa Realizado]]))</f>
        <v>2019</v>
      </c>
      <c r="K172">
        <f>IF(TbRegistroSaídas[[#This Row],[Data da Competência]]="",0,MONTH(TbRegistroSaídas[[#This Row],[Data da Competência]]))</f>
        <v>12</v>
      </c>
      <c r="L172">
        <f>IF(TbRegistroSaídas[[#This Row],[Data da Competência]]="",0,YEAR(TbRegistroSaídas[[#This Row],[Data da Competência]]))</f>
        <v>2018</v>
      </c>
      <c r="M172" s="53">
        <f>IF(TbRegistroSaídas[[#This Row],[Data do Caixa Previsto]]="",0,MONTH(TbRegistroSaídas[[#This Row],[Data do Caixa Previsto]]))</f>
        <v>2</v>
      </c>
      <c r="N172" s="53">
        <f>IF(TbRegistroSaídas[[#This Row],[Data do Caixa Previsto]]="",0,YEAR(TbRegistroSaídas[[#This Row],[Data do Caixa Previsto]]))</f>
        <v>2019</v>
      </c>
      <c r="O172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73" spans="2:15" x14ac:dyDescent="0.3">
      <c r="B173" s="8">
        <v>43573.207294267304</v>
      </c>
      <c r="C173" s="8">
        <v>43467</v>
      </c>
      <c r="D173" s="8">
        <v>43483.579939553441</v>
      </c>
      <c r="E173" t="s">
        <v>39</v>
      </c>
      <c r="F173" t="s">
        <v>37</v>
      </c>
      <c r="G173" t="s">
        <v>454</v>
      </c>
      <c r="H173" s="14">
        <v>2190</v>
      </c>
      <c r="I173">
        <f>IF(TbRegistroSaídas[[#This Row],[Data do Caixa Realizado]]="",0,MONTH(TbRegistroSaídas[[#This Row],[Data do Caixa Realizado]]))</f>
        <v>4</v>
      </c>
      <c r="J173">
        <f>IF(TbRegistroSaídas[[#This Row],[Data do Caixa Realizado]]="",0,YEAR(TbRegistroSaídas[[#This Row],[Data do Caixa Realizado]]))</f>
        <v>2019</v>
      </c>
      <c r="K173">
        <f>IF(TbRegistroSaídas[[#This Row],[Data da Competência]]="",0,MONTH(TbRegistroSaídas[[#This Row],[Data da Competência]]))</f>
        <v>1</v>
      </c>
      <c r="L173">
        <f>IF(TbRegistroSaídas[[#This Row],[Data da Competência]]="",0,YEAR(TbRegistroSaídas[[#This Row],[Data da Competência]]))</f>
        <v>2019</v>
      </c>
      <c r="M173" s="53">
        <f>IF(TbRegistroSaídas[[#This Row],[Data do Caixa Previsto]]="",0,MONTH(TbRegistroSaídas[[#This Row],[Data do Caixa Previsto]]))</f>
        <v>1</v>
      </c>
      <c r="N173" s="53">
        <f>IF(TbRegistroSaídas[[#This Row],[Data do Caixa Previsto]]="",0,YEAR(TbRegistroSaídas[[#This Row],[Data do Caixa Previsto]]))</f>
        <v>2019</v>
      </c>
      <c r="O173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89.627354713862587</v>
      </c>
    </row>
    <row r="174" spans="2:15" x14ac:dyDescent="0.3">
      <c r="B174" s="8">
        <v>43485.642328387614</v>
      </c>
      <c r="C174" s="8">
        <v>43469</v>
      </c>
      <c r="D174" s="8">
        <v>43485.642328387614</v>
      </c>
      <c r="E174" t="s">
        <v>39</v>
      </c>
      <c r="F174" t="s">
        <v>46</v>
      </c>
      <c r="G174" t="s">
        <v>455</v>
      </c>
      <c r="H174" s="14">
        <v>2998</v>
      </c>
      <c r="I174">
        <f>IF(TbRegistroSaídas[[#This Row],[Data do Caixa Realizado]]="",0,MONTH(TbRegistroSaídas[[#This Row],[Data do Caixa Realizado]]))</f>
        <v>1</v>
      </c>
      <c r="J174">
        <f>IF(TbRegistroSaídas[[#This Row],[Data do Caixa Realizado]]="",0,YEAR(TbRegistroSaídas[[#This Row],[Data do Caixa Realizado]]))</f>
        <v>2019</v>
      </c>
      <c r="K174">
        <f>IF(TbRegistroSaídas[[#This Row],[Data da Competência]]="",0,MONTH(TbRegistroSaídas[[#This Row],[Data da Competência]]))</f>
        <v>1</v>
      </c>
      <c r="L174">
        <f>IF(TbRegistroSaídas[[#This Row],[Data da Competência]]="",0,YEAR(TbRegistroSaídas[[#This Row],[Data da Competência]]))</f>
        <v>2019</v>
      </c>
      <c r="M174" s="53">
        <f>IF(TbRegistroSaídas[[#This Row],[Data do Caixa Previsto]]="",0,MONTH(TbRegistroSaídas[[#This Row],[Data do Caixa Previsto]]))</f>
        <v>1</v>
      </c>
      <c r="N174" s="53">
        <f>IF(TbRegistroSaídas[[#This Row],[Data do Caixa Previsto]]="",0,YEAR(TbRegistroSaídas[[#This Row],[Data do Caixa Previsto]]))</f>
        <v>2019</v>
      </c>
      <c r="O174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75" spans="2:15" x14ac:dyDescent="0.3">
      <c r="B175" s="8">
        <v>43501.032672097659</v>
      </c>
      <c r="C175" s="8">
        <v>43476</v>
      </c>
      <c r="D175" s="8">
        <v>43501.032672097659</v>
      </c>
      <c r="E175" t="s">
        <v>39</v>
      </c>
      <c r="F175" t="s">
        <v>46</v>
      </c>
      <c r="G175" t="s">
        <v>456</v>
      </c>
      <c r="H175" s="14">
        <v>3808</v>
      </c>
      <c r="I175">
        <f>IF(TbRegistroSaídas[[#This Row],[Data do Caixa Realizado]]="",0,MONTH(TbRegistroSaídas[[#This Row],[Data do Caixa Realizado]]))</f>
        <v>2</v>
      </c>
      <c r="J175">
        <f>IF(TbRegistroSaídas[[#This Row],[Data do Caixa Realizado]]="",0,YEAR(TbRegistroSaídas[[#This Row],[Data do Caixa Realizado]]))</f>
        <v>2019</v>
      </c>
      <c r="K175">
        <f>IF(TbRegistroSaídas[[#This Row],[Data da Competência]]="",0,MONTH(TbRegistroSaídas[[#This Row],[Data da Competência]]))</f>
        <v>1</v>
      </c>
      <c r="L175">
        <f>IF(TbRegistroSaídas[[#This Row],[Data da Competência]]="",0,YEAR(TbRegistroSaídas[[#This Row],[Data da Competência]]))</f>
        <v>2019</v>
      </c>
      <c r="M175" s="53">
        <f>IF(TbRegistroSaídas[[#This Row],[Data do Caixa Previsto]]="",0,MONTH(TbRegistroSaídas[[#This Row],[Data do Caixa Previsto]]))</f>
        <v>2</v>
      </c>
      <c r="N175" s="53">
        <f>IF(TbRegistroSaídas[[#This Row],[Data do Caixa Previsto]]="",0,YEAR(TbRegistroSaídas[[#This Row],[Data do Caixa Previsto]]))</f>
        <v>2019</v>
      </c>
      <c r="O175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76" spans="2:15" x14ac:dyDescent="0.3">
      <c r="B176" s="8">
        <v>43495.478907818499</v>
      </c>
      <c r="C176" s="8">
        <v>43479</v>
      </c>
      <c r="D176" s="8">
        <v>43495.478907818499</v>
      </c>
      <c r="E176" t="s">
        <v>39</v>
      </c>
      <c r="F176" t="s">
        <v>46</v>
      </c>
      <c r="G176" t="s">
        <v>457</v>
      </c>
      <c r="H176" s="14">
        <v>4928</v>
      </c>
      <c r="I176">
        <f>IF(TbRegistroSaídas[[#This Row],[Data do Caixa Realizado]]="",0,MONTH(TbRegistroSaídas[[#This Row],[Data do Caixa Realizado]]))</f>
        <v>1</v>
      </c>
      <c r="J176">
        <f>IF(TbRegistroSaídas[[#This Row],[Data do Caixa Realizado]]="",0,YEAR(TbRegistroSaídas[[#This Row],[Data do Caixa Realizado]]))</f>
        <v>2019</v>
      </c>
      <c r="K176">
        <f>IF(TbRegistroSaídas[[#This Row],[Data da Competência]]="",0,MONTH(TbRegistroSaídas[[#This Row],[Data da Competência]]))</f>
        <v>1</v>
      </c>
      <c r="L176">
        <f>IF(TbRegistroSaídas[[#This Row],[Data da Competência]]="",0,YEAR(TbRegistroSaídas[[#This Row],[Data da Competência]]))</f>
        <v>2019</v>
      </c>
      <c r="M176" s="53">
        <f>IF(TbRegistroSaídas[[#This Row],[Data do Caixa Previsto]]="",0,MONTH(TbRegistroSaídas[[#This Row],[Data do Caixa Previsto]]))</f>
        <v>1</v>
      </c>
      <c r="N176" s="53">
        <f>IF(TbRegistroSaídas[[#This Row],[Data do Caixa Previsto]]="",0,YEAR(TbRegistroSaídas[[#This Row],[Data do Caixa Previsto]]))</f>
        <v>2019</v>
      </c>
      <c r="O176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77" spans="2:15" x14ac:dyDescent="0.3">
      <c r="B177" s="8">
        <v>43536.025611727033</v>
      </c>
      <c r="C177" s="8">
        <v>43482</v>
      </c>
      <c r="D177" s="8">
        <v>43536.025611727033</v>
      </c>
      <c r="E177" t="s">
        <v>39</v>
      </c>
      <c r="F177" t="s">
        <v>37</v>
      </c>
      <c r="G177" t="s">
        <v>458</v>
      </c>
      <c r="H177" s="14">
        <v>4179</v>
      </c>
      <c r="I177">
        <f>IF(TbRegistroSaídas[[#This Row],[Data do Caixa Realizado]]="",0,MONTH(TbRegistroSaídas[[#This Row],[Data do Caixa Realizado]]))</f>
        <v>3</v>
      </c>
      <c r="J177">
        <f>IF(TbRegistroSaídas[[#This Row],[Data do Caixa Realizado]]="",0,YEAR(TbRegistroSaídas[[#This Row],[Data do Caixa Realizado]]))</f>
        <v>2019</v>
      </c>
      <c r="K177">
        <f>IF(TbRegistroSaídas[[#This Row],[Data da Competência]]="",0,MONTH(TbRegistroSaídas[[#This Row],[Data da Competência]]))</f>
        <v>1</v>
      </c>
      <c r="L177">
        <f>IF(TbRegistroSaídas[[#This Row],[Data da Competência]]="",0,YEAR(TbRegistroSaídas[[#This Row],[Data da Competência]]))</f>
        <v>2019</v>
      </c>
      <c r="M177" s="53">
        <f>IF(TbRegistroSaídas[[#This Row],[Data do Caixa Previsto]]="",0,MONTH(TbRegistroSaídas[[#This Row],[Data do Caixa Previsto]]))</f>
        <v>3</v>
      </c>
      <c r="N177" s="53">
        <f>IF(TbRegistroSaídas[[#This Row],[Data do Caixa Previsto]]="",0,YEAR(TbRegistroSaídas[[#This Row],[Data do Caixa Previsto]]))</f>
        <v>2019</v>
      </c>
      <c r="O177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78" spans="2:15" x14ac:dyDescent="0.3">
      <c r="B178" s="8">
        <v>43499.993512821027</v>
      </c>
      <c r="C178" s="8">
        <v>43484</v>
      </c>
      <c r="D178" s="8">
        <v>43499.993512821027</v>
      </c>
      <c r="E178" t="s">
        <v>39</v>
      </c>
      <c r="F178" t="s">
        <v>33</v>
      </c>
      <c r="G178" t="s">
        <v>459</v>
      </c>
      <c r="H178" s="14">
        <v>4896</v>
      </c>
      <c r="I178">
        <f>IF(TbRegistroSaídas[[#This Row],[Data do Caixa Realizado]]="",0,MONTH(TbRegistroSaídas[[#This Row],[Data do Caixa Realizado]]))</f>
        <v>2</v>
      </c>
      <c r="J178">
        <f>IF(TbRegistroSaídas[[#This Row],[Data do Caixa Realizado]]="",0,YEAR(TbRegistroSaídas[[#This Row],[Data do Caixa Realizado]]))</f>
        <v>2019</v>
      </c>
      <c r="K178">
        <f>IF(TbRegistroSaídas[[#This Row],[Data da Competência]]="",0,MONTH(TbRegistroSaídas[[#This Row],[Data da Competência]]))</f>
        <v>1</v>
      </c>
      <c r="L178">
        <f>IF(TbRegistroSaídas[[#This Row],[Data da Competência]]="",0,YEAR(TbRegistroSaídas[[#This Row],[Data da Competência]]))</f>
        <v>2019</v>
      </c>
      <c r="M178" s="53">
        <f>IF(TbRegistroSaídas[[#This Row],[Data do Caixa Previsto]]="",0,MONTH(TbRegistroSaídas[[#This Row],[Data do Caixa Previsto]]))</f>
        <v>2</v>
      </c>
      <c r="N178" s="53">
        <f>IF(TbRegistroSaídas[[#This Row],[Data do Caixa Previsto]]="",0,YEAR(TbRegistroSaídas[[#This Row],[Data do Caixa Previsto]]))</f>
        <v>2019</v>
      </c>
      <c r="O178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79" spans="2:15" x14ac:dyDescent="0.3">
      <c r="B179" s="8">
        <v>43498.131083059947</v>
      </c>
      <c r="C179" s="8">
        <v>43487</v>
      </c>
      <c r="D179" s="8">
        <v>43498.131083059947</v>
      </c>
      <c r="E179" t="s">
        <v>39</v>
      </c>
      <c r="F179" t="s">
        <v>37</v>
      </c>
      <c r="G179" t="s">
        <v>375</v>
      </c>
      <c r="H179" s="14">
        <v>4092</v>
      </c>
      <c r="I179">
        <f>IF(TbRegistroSaídas[[#This Row],[Data do Caixa Realizado]]="",0,MONTH(TbRegistroSaídas[[#This Row],[Data do Caixa Realizado]]))</f>
        <v>2</v>
      </c>
      <c r="J179">
        <f>IF(TbRegistroSaídas[[#This Row],[Data do Caixa Realizado]]="",0,YEAR(TbRegistroSaídas[[#This Row],[Data do Caixa Realizado]]))</f>
        <v>2019</v>
      </c>
      <c r="K179">
        <f>IF(TbRegistroSaídas[[#This Row],[Data da Competência]]="",0,MONTH(TbRegistroSaídas[[#This Row],[Data da Competência]]))</f>
        <v>1</v>
      </c>
      <c r="L179">
        <f>IF(TbRegistroSaídas[[#This Row],[Data da Competência]]="",0,YEAR(TbRegistroSaídas[[#This Row],[Data da Competência]]))</f>
        <v>2019</v>
      </c>
      <c r="M179" s="53">
        <f>IF(TbRegistroSaídas[[#This Row],[Data do Caixa Previsto]]="",0,MONTH(TbRegistroSaídas[[#This Row],[Data do Caixa Previsto]]))</f>
        <v>2</v>
      </c>
      <c r="N179" s="53">
        <f>IF(TbRegistroSaídas[[#This Row],[Data do Caixa Previsto]]="",0,YEAR(TbRegistroSaídas[[#This Row],[Data do Caixa Previsto]]))</f>
        <v>2019</v>
      </c>
      <c r="O179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80" spans="2:15" x14ac:dyDescent="0.3">
      <c r="B180" s="8">
        <v>43496.93367126838</v>
      </c>
      <c r="C180" s="8">
        <v>43492</v>
      </c>
      <c r="D180" s="8">
        <v>43496.93367126838</v>
      </c>
      <c r="E180" t="s">
        <v>39</v>
      </c>
      <c r="F180" t="s">
        <v>46</v>
      </c>
      <c r="G180" t="s">
        <v>460</v>
      </c>
      <c r="H180" s="14">
        <v>2956</v>
      </c>
      <c r="I180">
        <f>IF(TbRegistroSaídas[[#This Row],[Data do Caixa Realizado]]="",0,MONTH(TbRegistroSaídas[[#This Row],[Data do Caixa Realizado]]))</f>
        <v>1</v>
      </c>
      <c r="J180">
        <f>IF(TbRegistroSaídas[[#This Row],[Data do Caixa Realizado]]="",0,YEAR(TbRegistroSaídas[[#This Row],[Data do Caixa Realizado]]))</f>
        <v>2019</v>
      </c>
      <c r="K180">
        <f>IF(TbRegistroSaídas[[#This Row],[Data da Competência]]="",0,MONTH(TbRegistroSaídas[[#This Row],[Data da Competência]]))</f>
        <v>1</v>
      </c>
      <c r="L180">
        <f>IF(TbRegistroSaídas[[#This Row],[Data da Competência]]="",0,YEAR(TbRegistroSaídas[[#This Row],[Data da Competência]]))</f>
        <v>2019</v>
      </c>
      <c r="M180" s="53">
        <f>IF(TbRegistroSaídas[[#This Row],[Data do Caixa Previsto]]="",0,MONTH(TbRegistroSaídas[[#This Row],[Data do Caixa Previsto]]))</f>
        <v>1</v>
      </c>
      <c r="N180" s="53">
        <f>IF(TbRegistroSaídas[[#This Row],[Data do Caixa Previsto]]="",0,YEAR(TbRegistroSaídas[[#This Row],[Data do Caixa Previsto]]))</f>
        <v>2019</v>
      </c>
      <c r="O180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81" spans="2:15" x14ac:dyDescent="0.3">
      <c r="B181" s="8">
        <v>43509.777939985303</v>
      </c>
      <c r="C181" s="8">
        <v>43496</v>
      </c>
      <c r="D181" s="8">
        <v>43509.777939985303</v>
      </c>
      <c r="E181" t="s">
        <v>39</v>
      </c>
      <c r="F181" t="s">
        <v>37</v>
      </c>
      <c r="G181" t="s">
        <v>461</v>
      </c>
      <c r="H181" s="14">
        <v>533</v>
      </c>
      <c r="I181">
        <f>IF(TbRegistroSaídas[[#This Row],[Data do Caixa Realizado]]="",0,MONTH(TbRegistroSaídas[[#This Row],[Data do Caixa Realizado]]))</f>
        <v>2</v>
      </c>
      <c r="J181">
        <f>IF(TbRegistroSaídas[[#This Row],[Data do Caixa Realizado]]="",0,YEAR(TbRegistroSaídas[[#This Row],[Data do Caixa Realizado]]))</f>
        <v>2019</v>
      </c>
      <c r="K181">
        <f>IF(TbRegistroSaídas[[#This Row],[Data da Competência]]="",0,MONTH(TbRegistroSaídas[[#This Row],[Data da Competência]]))</f>
        <v>1</v>
      </c>
      <c r="L181">
        <f>IF(TbRegistroSaídas[[#This Row],[Data da Competência]]="",0,YEAR(TbRegistroSaídas[[#This Row],[Data da Competência]]))</f>
        <v>2019</v>
      </c>
      <c r="M181" s="53">
        <f>IF(TbRegistroSaídas[[#This Row],[Data do Caixa Previsto]]="",0,MONTH(TbRegistroSaídas[[#This Row],[Data do Caixa Previsto]]))</f>
        <v>2</v>
      </c>
      <c r="N181" s="53">
        <f>IF(TbRegistroSaídas[[#This Row],[Data do Caixa Previsto]]="",0,YEAR(TbRegistroSaídas[[#This Row],[Data do Caixa Previsto]]))</f>
        <v>2019</v>
      </c>
      <c r="O181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82" spans="2:15" x14ac:dyDescent="0.3">
      <c r="B182" s="8">
        <v>43520.73063092697</v>
      </c>
      <c r="C182" s="8">
        <v>43497</v>
      </c>
      <c r="D182" s="8">
        <v>43520.73063092697</v>
      </c>
      <c r="E182" t="s">
        <v>39</v>
      </c>
      <c r="F182" t="s">
        <v>34</v>
      </c>
      <c r="G182" t="s">
        <v>462</v>
      </c>
      <c r="H182" s="14">
        <v>3519</v>
      </c>
      <c r="I182">
        <f>IF(TbRegistroSaídas[[#This Row],[Data do Caixa Realizado]]="",0,MONTH(TbRegistroSaídas[[#This Row],[Data do Caixa Realizado]]))</f>
        <v>2</v>
      </c>
      <c r="J182">
        <f>IF(TbRegistroSaídas[[#This Row],[Data do Caixa Realizado]]="",0,YEAR(TbRegistroSaídas[[#This Row],[Data do Caixa Realizado]]))</f>
        <v>2019</v>
      </c>
      <c r="K182">
        <f>IF(TbRegistroSaídas[[#This Row],[Data da Competência]]="",0,MONTH(TbRegistroSaídas[[#This Row],[Data da Competência]]))</f>
        <v>2</v>
      </c>
      <c r="L182">
        <f>IF(TbRegistroSaídas[[#This Row],[Data da Competência]]="",0,YEAR(TbRegistroSaídas[[#This Row],[Data da Competência]]))</f>
        <v>2019</v>
      </c>
      <c r="M182" s="53">
        <f>IF(TbRegistroSaídas[[#This Row],[Data do Caixa Previsto]]="",0,MONTH(TbRegistroSaídas[[#This Row],[Data do Caixa Previsto]]))</f>
        <v>2</v>
      </c>
      <c r="N182" s="53">
        <f>IF(TbRegistroSaídas[[#This Row],[Data do Caixa Previsto]]="",0,YEAR(TbRegistroSaídas[[#This Row],[Data do Caixa Previsto]]))</f>
        <v>2019</v>
      </c>
      <c r="O182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83" spans="2:15" x14ac:dyDescent="0.3">
      <c r="B183" s="8">
        <v>43548.78797907626</v>
      </c>
      <c r="C183" s="8">
        <v>43499</v>
      </c>
      <c r="D183" s="8">
        <v>43548.78797907626</v>
      </c>
      <c r="E183" t="s">
        <v>39</v>
      </c>
      <c r="F183" t="s">
        <v>33</v>
      </c>
      <c r="G183" t="s">
        <v>463</v>
      </c>
      <c r="H183" s="14">
        <v>757</v>
      </c>
      <c r="I183">
        <f>IF(TbRegistroSaídas[[#This Row],[Data do Caixa Realizado]]="",0,MONTH(TbRegistroSaídas[[#This Row],[Data do Caixa Realizado]]))</f>
        <v>3</v>
      </c>
      <c r="J183">
        <f>IF(TbRegistroSaídas[[#This Row],[Data do Caixa Realizado]]="",0,YEAR(TbRegistroSaídas[[#This Row],[Data do Caixa Realizado]]))</f>
        <v>2019</v>
      </c>
      <c r="K183">
        <f>IF(TbRegistroSaídas[[#This Row],[Data da Competência]]="",0,MONTH(TbRegistroSaídas[[#This Row],[Data da Competência]]))</f>
        <v>2</v>
      </c>
      <c r="L183">
        <f>IF(TbRegistroSaídas[[#This Row],[Data da Competência]]="",0,YEAR(TbRegistroSaídas[[#This Row],[Data da Competência]]))</f>
        <v>2019</v>
      </c>
      <c r="M183" s="53">
        <f>IF(TbRegistroSaídas[[#This Row],[Data do Caixa Previsto]]="",0,MONTH(TbRegistroSaídas[[#This Row],[Data do Caixa Previsto]]))</f>
        <v>3</v>
      </c>
      <c r="N183" s="53">
        <f>IF(TbRegistroSaídas[[#This Row],[Data do Caixa Previsto]]="",0,YEAR(TbRegistroSaídas[[#This Row],[Data do Caixa Previsto]]))</f>
        <v>2019</v>
      </c>
      <c r="O183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84" spans="2:15" x14ac:dyDescent="0.3">
      <c r="B184" s="8">
        <v>43552.247547339066</v>
      </c>
      <c r="C184" s="8">
        <v>43503</v>
      </c>
      <c r="D184" s="8">
        <v>43552.247547339066</v>
      </c>
      <c r="E184" t="s">
        <v>39</v>
      </c>
      <c r="F184" t="s">
        <v>46</v>
      </c>
      <c r="G184" t="s">
        <v>464</v>
      </c>
      <c r="H184" s="14">
        <v>2688</v>
      </c>
      <c r="I184">
        <f>IF(TbRegistroSaídas[[#This Row],[Data do Caixa Realizado]]="",0,MONTH(TbRegistroSaídas[[#This Row],[Data do Caixa Realizado]]))</f>
        <v>3</v>
      </c>
      <c r="J184">
        <f>IF(TbRegistroSaídas[[#This Row],[Data do Caixa Realizado]]="",0,YEAR(TbRegistroSaídas[[#This Row],[Data do Caixa Realizado]]))</f>
        <v>2019</v>
      </c>
      <c r="K184">
        <f>IF(TbRegistroSaídas[[#This Row],[Data da Competência]]="",0,MONTH(TbRegistroSaídas[[#This Row],[Data da Competência]]))</f>
        <v>2</v>
      </c>
      <c r="L184">
        <f>IF(TbRegistroSaídas[[#This Row],[Data da Competência]]="",0,YEAR(TbRegistroSaídas[[#This Row],[Data da Competência]]))</f>
        <v>2019</v>
      </c>
      <c r="M184" s="53">
        <f>IF(TbRegistroSaídas[[#This Row],[Data do Caixa Previsto]]="",0,MONTH(TbRegistroSaídas[[#This Row],[Data do Caixa Previsto]]))</f>
        <v>3</v>
      </c>
      <c r="N184" s="53">
        <f>IF(TbRegistroSaídas[[#This Row],[Data do Caixa Previsto]]="",0,YEAR(TbRegistroSaídas[[#This Row],[Data do Caixa Previsto]]))</f>
        <v>2019</v>
      </c>
      <c r="O184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85" spans="2:15" x14ac:dyDescent="0.3">
      <c r="B185" s="8">
        <v>43554.442660476037</v>
      </c>
      <c r="C185" s="8">
        <v>43505</v>
      </c>
      <c r="D185" s="8">
        <v>43554.442660476037</v>
      </c>
      <c r="E185" t="s">
        <v>39</v>
      </c>
      <c r="F185" t="s">
        <v>35</v>
      </c>
      <c r="G185" t="s">
        <v>465</v>
      </c>
      <c r="H185" s="14">
        <v>340</v>
      </c>
      <c r="I185">
        <f>IF(TbRegistroSaídas[[#This Row],[Data do Caixa Realizado]]="",0,MONTH(TbRegistroSaídas[[#This Row],[Data do Caixa Realizado]]))</f>
        <v>3</v>
      </c>
      <c r="J185">
        <f>IF(TbRegistroSaídas[[#This Row],[Data do Caixa Realizado]]="",0,YEAR(TbRegistroSaídas[[#This Row],[Data do Caixa Realizado]]))</f>
        <v>2019</v>
      </c>
      <c r="K185">
        <f>IF(TbRegistroSaídas[[#This Row],[Data da Competência]]="",0,MONTH(TbRegistroSaídas[[#This Row],[Data da Competência]]))</f>
        <v>2</v>
      </c>
      <c r="L185">
        <f>IF(TbRegistroSaídas[[#This Row],[Data da Competência]]="",0,YEAR(TbRegistroSaídas[[#This Row],[Data da Competência]]))</f>
        <v>2019</v>
      </c>
      <c r="M185" s="53">
        <f>IF(TbRegistroSaídas[[#This Row],[Data do Caixa Previsto]]="",0,MONTH(TbRegistroSaídas[[#This Row],[Data do Caixa Previsto]]))</f>
        <v>3</v>
      </c>
      <c r="N185" s="53">
        <f>IF(TbRegistroSaídas[[#This Row],[Data do Caixa Previsto]]="",0,YEAR(TbRegistroSaídas[[#This Row],[Data do Caixa Previsto]]))</f>
        <v>2019</v>
      </c>
      <c r="O185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86" spans="2:15" x14ac:dyDescent="0.3">
      <c r="B186" s="8">
        <v>43508.592568137858</v>
      </c>
      <c r="C186" s="8">
        <v>43506</v>
      </c>
      <c r="D186" s="8">
        <v>43508.592568137858</v>
      </c>
      <c r="E186" t="s">
        <v>39</v>
      </c>
      <c r="F186" t="s">
        <v>35</v>
      </c>
      <c r="G186" t="s">
        <v>466</v>
      </c>
      <c r="H186" s="14">
        <v>4204</v>
      </c>
      <c r="I186">
        <f>IF(TbRegistroSaídas[[#This Row],[Data do Caixa Realizado]]="",0,MONTH(TbRegistroSaídas[[#This Row],[Data do Caixa Realizado]]))</f>
        <v>2</v>
      </c>
      <c r="J186">
        <f>IF(TbRegistroSaídas[[#This Row],[Data do Caixa Realizado]]="",0,YEAR(TbRegistroSaídas[[#This Row],[Data do Caixa Realizado]]))</f>
        <v>2019</v>
      </c>
      <c r="K186">
        <f>IF(TbRegistroSaídas[[#This Row],[Data da Competência]]="",0,MONTH(TbRegistroSaídas[[#This Row],[Data da Competência]]))</f>
        <v>2</v>
      </c>
      <c r="L186">
        <f>IF(TbRegistroSaídas[[#This Row],[Data da Competência]]="",0,YEAR(TbRegistroSaídas[[#This Row],[Data da Competência]]))</f>
        <v>2019</v>
      </c>
      <c r="M186" s="53">
        <f>IF(TbRegistroSaídas[[#This Row],[Data do Caixa Previsto]]="",0,MONTH(TbRegistroSaídas[[#This Row],[Data do Caixa Previsto]]))</f>
        <v>2</v>
      </c>
      <c r="N186" s="53">
        <f>IF(TbRegistroSaídas[[#This Row],[Data do Caixa Previsto]]="",0,YEAR(TbRegistroSaídas[[#This Row],[Data do Caixa Previsto]]))</f>
        <v>2019</v>
      </c>
      <c r="O186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87" spans="2:15" x14ac:dyDescent="0.3">
      <c r="B187" s="8">
        <v>43555.285152896111</v>
      </c>
      <c r="C187" s="8">
        <v>43508</v>
      </c>
      <c r="D187" s="8">
        <v>43555.285152896111</v>
      </c>
      <c r="E187" t="s">
        <v>39</v>
      </c>
      <c r="F187" t="s">
        <v>34</v>
      </c>
      <c r="G187" t="s">
        <v>467</v>
      </c>
      <c r="H187" s="14">
        <v>3695</v>
      </c>
      <c r="I187">
        <f>IF(TbRegistroSaídas[[#This Row],[Data do Caixa Realizado]]="",0,MONTH(TbRegistroSaídas[[#This Row],[Data do Caixa Realizado]]))</f>
        <v>3</v>
      </c>
      <c r="J187">
        <f>IF(TbRegistroSaídas[[#This Row],[Data do Caixa Realizado]]="",0,YEAR(TbRegistroSaídas[[#This Row],[Data do Caixa Realizado]]))</f>
        <v>2019</v>
      </c>
      <c r="K187">
        <f>IF(TbRegistroSaídas[[#This Row],[Data da Competência]]="",0,MONTH(TbRegistroSaídas[[#This Row],[Data da Competência]]))</f>
        <v>2</v>
      </c>
      <c r="L187">
        <f>IF(TbRegistroSaídas[[#This Row],[Data da Competência]]="",0,YEAR(TbRegistroSaídas[[#This Row],[Data da Competência]]))</f>
        <v>2019</v>
      </c>
      <c r="M187" s="53">
        <f>IF(TbRegistroSaídas[[#This Row],[Data do Caixa Previsto]]="",0,MONTH(TbRegistroSaídas[[#This Row],[Data do Caixa Previsto]]))</f>
        <v>3</v>
      </c>
      <c r="N187" s="53">
        <f>IF(TbRegistroSaídas[[#This Row],[Data do Caixa Previsto]]="",0,YEAR(TbRegistroSaídas[[#This Row],[Data do Caixa Previsto]]))</f>
        <v>2019</v>
      </c>
      <c r="O187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88" spans="2:15" x14ac:dyDescent="0.3">
      <c r="B188" s="8">
        <v>43619.877278489352</v>
      </c>
      <c r="C188" s="8">
        <v>43517</v>
      </c>
      <c r="D188" s="8">
        <v>43548.006375386678</v>
      </c>
      <c r="E188" t="s">
        <v>39</v>
      </c>
      <c r="F188" t="s">
        <v>37</v>
      </c>
      <c r="G188" t="s">
        <v>468</v>
      </c>
      <c r="H188" s="14">
        <v>4148</v>
      </c>
      <c r="I188">
        <f>IF(TbRegistroSaídas[[#This Row],[Data do Caixa Realizado]]="",0,MONTH(TbRegistroSaídas[[#This Row],[Data do Caixa Realizado]]))</f>
        <v>6</v>
      </c>
      <c r="J188">
        <f>IF(TbRegistroSaídas[[#This Row],[Data do Caixa Realizado]]="",0,YEAR(TbRegistroSaídas[[#This Row],[Data do Caixa Realizado]]))</f>
        <v>2019</v>
      </c>
      <c r="K188">
        <f>IF(TbRegistroSaídas[[#This Row],[Data da Competência]]="",0,MONTH(TbRegistroSaídas[[#This Row],[Data da Competência]]))</f>
        <v>2</v>
      </c>
      <c r="L188">
        <f>IF(TbRegistroSaídas[[#This Row],[Data da Competência]]="",0,YEAR(TbRegistroSaídas[[#This Row],[Data da Competência]]))</f>
        <v>2019</v>
      </c>
      <c r="M188" s="53">
        <f>IF(TbRegistroSaídas[[#This Row],[Data do Caixa Previsto]]="",0,MONTH(TbRegistroSaídas[[#This Row],[Data do Caixa Previsto]]))</f>
        <v>3</v>
      </c>
      <c r="N188" s="53">
        <f>IF(TbRegistroSaídas[[#This Row],[Data do Caixa Previsto]]="",0,YEAR(TbRegistroSaídas[[#This Row],[Data do Caixa Previsto]]))</f>
        <v>2019</v>
      </c>
      <c r="O188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71.870903102673765</v>
      </c>
    </row>
    <row r="189" spans="2:15" x14ac:dyDescent="0.3">
      <c r="B189" s="8">
        <v>43566.482468635586</v>
      </c>
      <c r="C189" s="8">
        <v>43521</v>
      </c>
      <c r="D189" s="8">
        <v>43553.920091748245</v>
      </c>
      <c r="E189" t="s">
        <v>39</v>
      </c>
      <c r="F189" t="s">
        <v>46</v>
      </c>
      <c r="G189" t="s">
        <v>469</v>
      </c>
      <c r="H189" s="14">
        <v>4303</v>
      </c>
      <c r="I189">
        <f>IF(TbRegistroSaídas[[#This Row],[Data do Caixa Realizado]]="",0,MONTH(TbRegistroSaídas[[#This Row],[Data do Caixa Realizado]]))</f>
        <v>4</v>
      </c>
      <c r="J189">
        <f>IF(TbRegistroSaídas[[#This Row],[Data do Caixa Realizado]]="",0,YEAR(TbRegistroSaídas[[#This Row],[Data do Caixa Realizado]]))</f>
        <v>2019</v>
      </c>
      <c r="K189">
        <f>IF(TbRegistroSaídas[[#This Row],[Data da Competência]]="",0,MONTH(TbRegistroSaídas[[#This Row],[Data da Competência]]))</f>
        <v>2</v>
      </c>
      <c r="L189">
        <f>IF(TbRegistroSaídas[[#This Row],[Data da Competência]]="",0,YEAR(TbRegistroSaídas[[#This Row],[Data da Competência]]))</f>
        <v>2019</v>
      </c>
      <c r="M189" s="53">
        <f>IF(TbRegistroSaídas[[#This Row],[Data do Caixa Previsto]]="",0,MONTH(TbRegistroSaídas[[#This Row],[Data do Caixa Previsto]]))</f>
        <v>3</v>
      </c>
      <c r="N189" s="53">
        <f>IF(TbRegistroSaídas[[#This Row],[Data do Caixa Previsto]]="",0,YEAR(TbRegistroSaídas[[#This Row],[Data do Caixa Previsto]]))</f>
        <v>2019</v>
      </c>
      <c r="O189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12.562376887341088</v>
      </c>
    </row>
    <row r="190" spans="2:15" x14ac:dyDescent="0.3">
      <c r="B190" s="8">
        <v>43531.738180250693</v>
      </c>
      <c r="C190" s="8">
        <v>43523</v>
      </c>
      <c r="D190" s="8">
        <v>43531.738180250693</v>
      </c>
      <c r="E190" t="s">
        <v>39</v>
      </c>
      <c r="F190" t="s">
        <v>35</v>
      </c>
      <c r="G190" t="s">
        <v>470</v>
      </c>
      <c r="H190" s="14">
        <v>2674</v>
      </c>
      <c r="I190">
        <f>IF(TbRegistroSaídas[[#This Row],[Data do Caixa Realizado]]="",0,MONTH(TbRegistroSaídas[[#This Row],[Data do Caixa Realizado]]))</f>
        <v>3</v>
      </c>
      <c r="J190">
        <f>IF(TbRegistroSaídas[[#This Row],[Data do Caixa Realizado]]="",0,YEAR(TbRegistroSaídas[[#This Row],[Data do Caixa Realizado]]))</f>
        <v>2019</v>
      </c>
      <c r="K190">
        <f>IF(TbRegistroSaídas[[#This Row],[Data da Competência]]="",0,MONTH(TbRegistroSaídas[[#This Row],[Data da Competência]]))</f>
        <v>2</v>
      </c>
      <c r="L190">
        <f>IF(TbRegistroSaídas[[#This Row],[Data da Competência]]="",0,YEAR(TbRegistroSaídas[[#This Row],[Data da Competência]]))</f>
        <v>2019</v>
      </c>
      <c r="M190" s="53">
        <f>IF(TbRegistroSaídas[[#This Row],[Data do Caixa Previsto]]="",0,MONTH(TbRegistroSaídas[[#This Row],[Data do Caixa Previsto]]))</f>
        <v>3</v>
      </c>
      <c r="N190" s="53">
        <f>IF(TbRegistroSaídas[[#This Row],[Data do Caixa Previsto]]="",0,YEAR(TbRegistroSaídas[[#This Row],[Data do Caixa Previsto]]))</f>
        <v>2019</v>
      </c>
      <c r="O190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91" spans="2:15" x14ac:dyDescent="0.3">
      <c r="B191" s="8">
        <v>43569.835590824536</v>
      </c>
      <c r="C191" s="8">
        <v>43526</v>
      </c>
      <c r="D191" s="8">
        <v>43569.835590824536</v>
      </c>
      <c r="E191" t="s">
        <v>39</v>
      </c>
      <c r="F191" t="s">
        <v>33</v>
      </c>
      <c r="G191" t="s">
        <v>471</v>
      </c>
      <c r="H191" s="14">
        <v>1720</v>
      </c>
      <c r="I191">
        <f>IF(TbRegistroSaídas[[#This Row],[Data do Caixa Realizado]]="",0,MONTH(TbRegistroSaídas[[#This Row],[Data do Caixa Realizado]]))</f>
        <v>4</v>
      </c>
      <c r="J191">
        <f>IF(TbRegistroSaídas[[#This Row],[Data do Caixa Realizado]]="",0,YEAR(TbRegistroSaídas[[#This Row],[Data do Caixa Realizado]]))</f>
        <v>2019</v>
      </c>
      <c r="K191">
        <f>IF(TbRegistroSaídas[[#This Row],[Data da Competência]]="",0,MONTH(TbRegistroSaídas[[#This Row],[Data da Competência]]))</f>
        <v>3</v>
      </c>
      <c r="L191">
        <f>IF(TbRegistroSaídas[[#This Row],[Data da Competência]]="",0,YEAR(TbRegistroSaídas[[#This Row],[Data da Competência]]))</f>
        <v>2019</v>
      </c>
      <c r="M191" s="53">
        <f>IF(TbRegistroSaídas[[#This Row],[Data do Caixa Previsto]]="",0,MONTH(TbRegistroSaídas[[#This Row],[Data do Caixa Previsto]]))</f>
        <v>4</v>
      </c>
      <c r="N191" s="53">
        <f>IF(TbRegistroSaídas[[#This Row],[Data do Caixa Previsto]]="",0,YEAR(TbRegistroSaídas[[#This Row],[Data do Caixa Previsto]]))</f>
        <v>2019</v>
      </c>
      <c r="O191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92" spans="2:15" x14ac:dyDescent="0.3">
      <c r="B192" s="8">
        <v>43567.757979105008</v>
      </c>
      <c r="C192" s="8">
        <v>43530</v>
      </c>
      <c r="D192" s="8">
        <v>43567.757979105008</v>
      </c>
      <c r="E192" t="s">
        <v>39</v>
      </c>
      <c r="F192" t="s">
        <v>33</v>
      </c>
      <c r="G192" t="s">
        <v>472</v>
      </c>
      <c r="H192" s="14">
        <v>1854</v>
      </c>
      <c r="I192">
        <f>IF(TbRegistroSaídas[[#This Row],[Data do Caixa Realizado]]="",0,MONTH(TbRegistroSaídas[[#This Row],[Data do Caixa Realizado]]))</f>
        <v>4</v>
      </c>
      <c r="J192">
        <f>IF(TbRegistroSaídas[[#This Row],[Data do Caixa Realizado]]="",0,YEAR(TbRegistroSaídas[[#This Row],[Data do Caixa Realizado]]))</f>
        <v>2019</v>
      </c>
      <c r="K192">
        <f>IF(TbRegistroSaídas[[#This Row],[Data da Competência]]="",0,MONTH(TbRegistroSaídas[[#This Row],[Data da Competência]]))</f>
        <v>3</v>
      </c>
      <c r="L192">
        <f>IF(TbRegistroSaídas[[#This Row],[Data da Competência]]="",0,YEAR(TbRegistroSaídas[[#This Row],[Data da Competência]]))</f>
        <v>2019</v>
      </c>
      <c r="M192" s="53">
        <f>IF(TbRegistroSaídas[[#This Row],[Data do Caixa Previsto]]="",0,MONTH(TbRegistroSaídas[[#This Row],[Data do Caixa Previsto]]))</f>
        <v>4</v>
      </c>
      <c r="N192" s="53">
        <f>IF(TbRegistroSaídas[[#This Row],[Data do Caixa Previsto]]="",0,YEAR(TbRegistroSaídas[[#This Row],[Data do Caixa Previsto]]))</f>
        <v>2019</v>
      </c>
      <c r="O192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93" spans="2:15" x14ac:dyDescent="0.3">
      <c r="B193" s="8">
        <v>43535.079288493936</v>
      </c>
      <c r="C193" s="8">
        <v>43532</v>
      </c>
      <c r="D193" s="8">
        <v>43535.079288493936</v>
      </c>
      <c r="E193" t="s">
        <v>39</v>
      </c>
      <c r="F193" t="s">
        <v>46</v>
      </c>
      <c r="G193" t="s">
        <v>473</v>
      </c>
      <c r="H193" s="14">
        <v>2568</v>
      </c>
      <c r="I193">
        <f>IF(TbRegistroSaídas[[#This Row],[Data do Caixa Realizado]]="",0,MONTH(TbRegistroSaídas[[#This Row],[Data do Caixa Realizado]]))</f>
        <v>3</v>
      </c>
      <c r="J193">
        <f>IF(TbRegistroSaídas[[#This Row],[Data do Caixa Realizado]]="",0,YEAR(TbRegistroSaídas[[#This Row],[Data do Caixa Realizado]]))</f>
        <v>2019</v>
      </c>
      <c r="K193">
        <f>IF(TbRegistroSaídas[[#This Row],[Data da Competência]]="",0,MONTH(TbRegistroSaídas[[#This Row],[Data da Competência]]))</f>
        <v>3</v>
      </c>
      <c r="L193">
        <f>IF(TbRegistroSaídas[[#This Row],[Data da Competência]]="",0,YEAR(TbRegistroSaídas[[#This Row],[Data da Competência]]))</f>
        <v>2019</v>
      </c>
      <c r="M193" s="53">
        <f>IF(TbRegistroSaídas[[#This Row],[Data do Caixa Previsto]]="",0,MONTH(TbRegistroSaídas[[#This Row],[Data do Caixa Previsto]]))</f>
        <v>3</v>
      </c>
      <c r="N193" s="53">
        <f>IF(TbRegistroSaídas[[#This Row],[Data do Caixa Previsto]]="",0,YEAR(TbRegistroSaídas[[#This Row],[Data do Caixa Previsto]]))</f>
        <v>2019</v>
      </c>
      <c r="O193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94" spans="2:15" x14ac:dyDescent="0.3">
      <c r="B194" s="8">
        <v>43572.596134843683</v>
      </c>
      <c r="C194" s="8">
        <v>43532</v>
      </c>
      <c r="D194" s="8">
        <v>43572.596134843683</v>
      </c>
      <c r="E194" t="s">
        <v>39</v>
      </c>
      <c r="F194" t="s">
        <v>46</v>
      </c>
      <c r="G194" t="s">
        <v>474</v>
      </c>
      <c r="H194" s="14">
        <v>3690</v>
      </c>
      <c r="I194">
        <f>IF(TbRegistroSaídas[[#This Row],[Data do Caixa Realizado]]="",0,MONTH(TbRegistroSaídas[[#This Row],[Data do Caixa Realizado]]))</f>
        <v>4</v>
      </c>
      <c r="J194">
        <f>IF(TbRegistroSaídas[[#This Row],[Data do Caixa Realizado]]="",0,YEAR(TbRegistroSaídas[[#This Row],[Data do Caixa Realizado]]))</f>
        <v>2019</v>
      </c>
      <c r="K194">
        <f>IF(TbRegistroSaídas[[#This Row],[Data da Competência]]="",0,MONTH(TbRegistroSaídas[[#This Row],[Data da Competência]]))</f>
        <v>3</v>
      </c>
      <c r="L194">
        <f>IF(TbRegistroSaídas[[#This Row],[Data da Competência]]="",0,YEAR(TbRegistroSaídas[[#This Row],[Data da Competência]]))</f>
        <v>2019</v>
      </c>
      <c r="M194" s="53">
        <f>IF(TbRegistroSaídas[[#This Row],[Data do Caixa Previsto]]="",0,MONTH(TbRegistroSaídas[[#This Row],[Data do Caixa Previsto]]))</f>
        <v>4</v>
      </c>
      <c r="N194" s="53">
        <f>IF(TbRegistroSaídas[[#This Row],[Data do Caixa Previsto]]="",0,YEAR(TbRegistroSaídas[[#This Row],[Data do Caixa Previsto]]))</f>
        <v>2019</v>
      </c>
      <c r="O194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95" spans="2:15" x14ac:dyDescent="0.3">
      <c r="B195" s="8">
        <v>43621.515266358365</v>
      </c>
      <c r="C195" s="8">
        <v>43534</v>
      </c>
      <c r="D195" s="8">
        <v>43570.539022448429</v>
      </c>
      <c r="E195" t="s">
        <v>39</v>
      </c>
      <c r="F195" t="s">
        <v>37</v>
      </c>
      <c r="G195" t="s">
        <v>475</v>
      </c>
      <c r="H195" s="14">
        <v>3746</v>
      </c>
      <c r="I195">
        <f>IF(TbRegistroSaídas[[#This Row],[Data do Caixa Realizado]]="",0,MONTH(TbRegistroSaídas[[#This Row],[Data do Caixa Realizado]]))</f>
        <v>6</v>
      </c>
      <c r="J195">
        <f>IF(TbRegistroSaídas[[#This Row],[Data do Caixa Realizado]]="",0,YEAR(TbRegistroSaídas[[#This Row],[Data do Caixa Realizado]]))</f>
        <v>2019</v>
      </c>
      <c r="K195">
        <f>IF(TbRegistroSaídas[[#This Row],[Data da Competência]]="",0,MONTH(TbRegistroSaídas[[#This Row],[Data da Competência]]))</f>
        <v>3</v>
      </c>
      <c r="L195">
        <f>IF(TbRegistroSaídas[[#This Row],[Data da Competência]]="",0,YEAR(TbRegistroSaídas[[#This Row],[Data da Competência]]))</f>
        <v>2019</v>
      </c>
      <c r="M195" s="53">
        <f>IF(TbRegistroSaídas[[#This Row],[Data do Caixa Previsto]]="",0,MONTH(TbRegistroSaídas[[#This Row],[Data do Caixa Previsto]]))</f>
        <v>4</v>
      </c>
      <c r="N195" s="53">
        <f>IF(TbRegistroSaídas[[#This Row],[Data do Caixa Previsto]]="",0,YEAR(TbRegistroSaídas[[#This Row],[Data do Caixa Previsto]]))</f>
        <v>2019</v>
      </c>
      <c r="O195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50.976243909935874</v>
      </c>
    </row>
    <row r="196" spans="2:15" x14ac:dyDescent="0.3">
      <c r="B196" s="8">
        <v>43571.740759038665</v>
      </c>
      <c r="C196" s="8">
        <v>43536</v>
      </c>
      <c r="D196" s="8">
        <v>43571.740759038665</v>
      </c>
      <c r="E196" t="s">
        <v>39</v>
      </c>
      <c r="F196" t="s">
        <v>33</v>
      </c>
      <c r="G196" t="s">
        <v>476</v>
      </c>
      <c r="H196" s="14">
        <v>4360</v>
      </c>
      <c r="I196">
        <f>IF(TbRegistroSaídas[[#This Row],[Data do Caixa Realizado]]="",0,MONTH(TbRegistroSaídas[[#This Row],[Data do Caixa Realizado]]))</f>
        <v>4</v>
      </c>
      <c r="J196">
        <f>IF(TbRegistroSaídas[[#This Row],[Data do Caixa Realizado]]="",0,YEAR(TbRegistroSaídas[[#This Row],[Data do Caixa Realizado]]))</f>
        <v>2019</v>
      </c>
      <c r="K196">
        <f>IF(TbRegistroSaídas[[#This Row],[Data da Competência]]="",0,MONTH(TbRegistroSaídas[[#This Row],[Data da Competência]]))</f>
        <v>3</v>
      </c>
      <c r="L196">
        <f>IF(TbRegistroSaídas[[#This Row],[Data da Competência]]="",0,YEAR(TbRegistroSaídas[[#This Row],[Data da Competência]]))</f>
        <v>2019</v>
      </c>
      <c r="M196" s="53">
        <f>IF(TbRegistroSaídas[[#This Row],[Data do Caixa Previsto]]="",0,MONTH(TbRegistroSaídas[[#This Row],[Data do Caixa Previsto]]))</f>
        <v>4</v>
      </c>
      <c r="N196" s="53">
        <f>IF(TbRegistroSaídas[[#This Row],[Data do Caixa Previsto]]="",0,YEAR(TbRegistroSaídas[[#This Row],[Data do Caixa Previsto]]))</f>
        <v>2019</v>
      </c>
      <c r="O196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97" spans="2:15" x14ac:dyDescent="0.3">
      <c r="B197" s="8" t="s">
        <v>70</v>
      </c>
      <c r="C197" s="8">
        <v>43537</v>
      </c>
      <c r="D197" s="8">
        <v>43576.376924808807</v>
      </c>
      <c r="E197" t="s">
        <v>39</v>
      </c>
      <c r="F197" t="s">
        <v>37</v>
      </c>
      <c r="G197" t="s">
        <v>477</v>
      </c>
      <c r="H197" s="14">
        <v>1753</v>
      </c>
      <c r="I197">
        <f>IF(TbRegistroSaídas[[#This Row],[Data do Caixa Realizado]]="",0,MONTH(TbRegistroSaídas[[#This Row],[Data do Caixa Realizado]]))</f>
        <v>0</v>
      </c>
      <c r="J197">
        <f>IF(TbRegistroSaídas[[#This Row],[Data do Caixa Realizado]]="",0,YEAR(TbRegistroSaídas[[#This Row],[Data do Caixa Realizado]]))</f>
        <v>0</v>
      </c>
      <c r="K197">
        <f>IF(TbRegistroSaídas[[#This Row],[Data da Competência]]="",0,MONTH(TbRegistroSaídas[[#This Row],[Data da Competência]]))</f>
        <v>3</v>
      </c>
      <c r="L197">
        <f>IF(TbRegistroSaídas[[#This Row],[Data da Competência]]="",0,YEAR(TbRegistroSaídas[[#This Row],[Data da Competência]]))</f>
        <v>2019</v>
      </c>
      <c r="M197" s="53">
        <f>IF(TbRegistroSaídas[[#This Row],[Data do Caixa Previsto]]="",0,MONTH(TbRegistroSaídas[[#This Row],[Data do Caixa Previsto]]))</f>
        <v>4</v>
      </c>
      <c r="N197" s="53">
        <f>IF(TbRegistroSaídas[[#This Row],[Data do Caixa Previsto]]="",0,YEAR(TbRegistroSaídas[[#This Row],[Data do Caixa Previsto]]))</f>
        <v>2019</v>
      </c>
      <c r="O197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2032.6230751911935</v>
      </c>
    </row>
    <row r="198" spans="2:15" x14ac:dyDescent="0.3">
      <c r="B198" s="8">
        <v>43543.657350348039</v>
      </c>
      <c r="C198" s="8">
        <v>43540</v>
      </c>
      <c r="D198" s="8">
        <v>43543.657350348039</v>
      </c>
      <c r="E198" t="s">
        <v>39</v>
      </c>
      <c r="F198" t="s">
        <v>33</v>
      </c>
      <c r="G198" t="s">
        <v>478</v>
      </c>
      <c r="H198" s="14">
        <v>1421</v>
      </c>
      <c r="I198">
        <f>IF(TbRegistroSaídas[[#This Row],[Data do Caixa Realizado]]="",0,MONTH(TbRegistroSaídas[[#This Row],[Data do Caixa Realizado]]))</f>
        <v>3</v>
      </c>
      <c r="J198">
        <f>IF(TbRegistroSaídas[[#This Row],[Data do Caixa Realizado]]="",0,YEAR(TbRegistroSaídas[[#This Row],[Data do Caixa Realizado]]))</f>
        <v>2019</v>
      </c>
      <c r="K198">
        <f>IF(TbRegistroSaídas[[#This Row],[Data da Competência]]="",0,MONTH(TbRegistroSaídas[[#This Row],[Data da Competência]]))</f>
        <v>3</v>
      </c>
      <c r="L198">
        <f>IF(TbRegistroSaídas[[#This Row],[Data da Competência]]="",0,YEAR(TbRegistroSaídas[[#This Row],[Data da Competência]]))</f>
        <v>2019</v>
      </c>
      <c r="M198" s="53">
        <f>IF(TbRegistroSaídas[[#This Row],[Data do Caixa Previsto]]="",0,MONTH(TbRegistroSaídas[[#This Row],[Data do Caixa Previsto]]))</f>
        <v>3</v>
      </c>
      <c r="N198" s="53">
        <f>IF(TbRegistroSaídas[[#This Row],[Data do Caixa Previsto]]="",0,YEAR(TbRegistroSaídas[[#This Row],[Data do Caixa Previsto]]))</f>
        <v>2019</v>
      </c>
      <c r="O198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99" spans="2:15" x14ac:dyDescent="0.3">
      <c r="B199" s="8">
        <v>43566.33302641497</v>
      </c>
      <c r="C199" s="8">
        <v>43543</v>
      </c>
      <c r="D199" s="8">
        <v>43566.33302641497</v>
      </c>
      <c r="E199" t="s">
        <v>39</v>
      </c>
      <c r="F199" t="s">
        <v>37</v>
      </c>
      <c r="G199" t="s">
        <v>479</v>
      </c>
      <c r="H199" s="14">
        <v>3565</v>
      </c>
      <c r="I199">
        <f>IF(TbRegistroSaídas[[#This Row],[Data do Caixa Realizado]]="",0,MONTH(TbRegistroSaídas[[#This Row],[Data do Caixa Realizado]]))</f>
        <v>4</v>
      </c>
      <c r="J199">
        <f>IF(TbRegistroSaídas[[#This Row],[Data do Caixa Realizado]]="",0,YEAR(TbRegistroSaídas[[#This Row],[Data do Caixa Realizado]]))</f>
        <v>2019</v>
      </c>
      <c r="K199">
        <f>IF(TbRegistroSaídas[[#This Row],[Data da Competência]]="",0,MONTH(TbRegistroSaídas[[#This Row],[Data da Competência]]))</f>
        <v>3</v>
      </c>
      <c r="L199">
        <f>IF(TbRegistroSaídas[[#This Row],[Data da Competência]]="",0,YEAR(TbRegistroSaídas[[#This Row],[Data da Competência]]))</f>
        <v>2019</v>
      </c>
      <c r="M199" s="53">
        <f>IF(TbRegistroSaídas[[#This Row],[Data do Caixa Previsto]]="",0,MONTH(TbRegistroSaídas[[#This Row],[Data do Caixa Previsto]]))</f>
        <v>4</v>
      </c>
      <c r="N199" s="53">
        <f>IF(TbRegistroSaídas[[#This Row],[Data do Caixa Previsto]]="",0,YEAR(TbRegistroSaídas[[#This Row],[Data do Caixa Previsto]]))</f>
        <v>2019</v>
      </c>
      <c r="O199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200" spans="2:15" x14ac:dyDescent="0.3">
      <c r="B200" s="8">
        <v>43663.382687512385</v>
      </c>
      <c r="C200" s="8">
        <v>43546</v>
      </c>
      <c r="D200" s="8">
        <v>43586.481925868669</v>
      </c>
      <c r="E200" t="s">
        <v>39</v>
      </c>
      <c r="F200" t="s">
        <v>46</v>
      </c>
      <c r="G200" t="s">
        <v>480</v>
      </c>
      <c r="H200" s="14">
        <v>1961</v>
      </c>
      <c r="I200">
        <f>IF(TbRegistroSaídas[[#This Row],[Data do Caixa Realizado]]="",0,MONTH(TbRegistroSaídas[[#This Row],[Data do Caixa Realizado]]))</f>
        <v>7</v>
      </c>
      <c r="J200">
        <f>IF(TbRegistroSaídas[[#This Row],[Data do Caixa Realizado]]="",0,YEAR(TbRegistroSaídas[[#This Row],[Data do Caixa Realizado]]))</f>
        <v>2019</v>
      </c>
      <c r="K200">
        <f>IF(TbRegistroSaídas[[#This Row],[Data da Competência]]="",0,MONTH(TbRegistroSaídas[[#This Row],[Data da Competência]]))</f>
        <v>3</v>
      </c>
      <c r="L200">
        <f>IF(TbRegistroSaídas[[#This Row],[Data da Competência]]="",0,YEAR(TbRegistroSaídas[[#This Row],[Data da Competência]]))</f>
        <v>2019</v>
      </c>
      <c r="M200" s="53">
        <f>IF(TbRegistroSaídas[[#This Row],[Data do Caixa Previsto]]="",0,MONTH(TbRegistroSaídas[[#This Row],[Data do Caixa Previsto]]))</f>
        <v>5</v>
      </c>
      <c r="N200" s="53">
        <f>IF(TbRegistroSaídas[[#This Row],[Data do Caixa Previsto]]="",0,YEAR(TbRegistroSaídas[[#This Row],[Data do Caixa Previsto]]))</f>
        <v>2019</v>
      </c>
      <c r="O200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76.900761643715668</v>
      </c>
    </row>
    <row r="201" spans="2:15" x14ac:dyDescent="0.3">
      <c r="B201" s="8">
        <v>43570.097263655982</v>
      </c>
      <c r="C201" s="8">
        <v>43551</v>
      </c>
      <c r="D201" s="8">
        <v>43557.083579079888</v>
      </c>
      <c r="E201" t="s">
        <v>39</v>
      </c>
      <c r="F201" t="s">
        <v>35</v>
      </c>
      <c r="G201" t="s">
        <v>481</v>
      </c>
      <c r="H201" s="14">
        <v>4854</v>
      </c>
      <c r="I201">
        <f>IF(TbRegistroSaídas[[#This Row],[Data do Caixa Realizado]]="",0,MONTH(TbRegistroSaídas[[#This Row],[Data do Caixa Realizado]]))</f>
        <v>4</v>
      </c>
      <c r="J201">
        <f>IF(TbRegistroSaídas[[#This Row],[Data do Caixa Realizado]]="",0,YEAR(TbRegistroSaídas[[#This Row],[Data do Caixa Realizado]]))</f>
        <v>2019</v>
      </c>
      <c r="K201">
        <f>IF(TbRegistroSaídas[[#This Row],[Data da Competência]]="",0,MONTH(TbRegistroSaídas[[#This Row],[Data da Competência]]))</f>
        <v>3</v>
      </c>
      <c r="L201">
        <f>IF(TbRegistroSaídas[[#This Row],[Data da Competência]]="",0,YEAR(TbRegistroSaídas[[#This Row],[Data da Competência]]))</f>
        <v>2019</v>
      </c>
      <c r="M201" s="53">
        <f>IF(TbRegistroSaídas[[#This Row],[Data do Caixa Previsto]]="",0,MONTH(TbRegistroSaídas[[#This Row],[Data do Caixa Previsto]]))</f>
        <v>4</v>
      </c>
      <c r="N201" s="53">
        <f>IF(TbRegistroSaídas[[#This Row],[Data do Caixa Previsto]]="",0,YEAR(TbRegistroSaídas[[#This Row],[Data do Caixa Previsto]]))</f>
        <v>2019</v>
      </c>
      <c r="O201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13.01368457609351</v>
      </c>
    </row>
    <row r="202" spans="2:15" x14ac:dyDescent="0.3">
      <c r="B202" s="8">
        <v>43578.736317775256</v>
      </c>
      <c r="C202" s="8">
        <v>43557</v>
      </c>
      <c r="D202" s="8">
        <v>43578.736317775256</v>
      </c>
      <c r="E202" t="s">
        <v>39</v>
      </c>
      <c r="F202" t="s">
        <v>33</v>
      </c>
      <c r="G202" t="s">
        <v>482</v>
      </c>
      <c r="H202" s="14">
        <v>3453</v>
      </c>
      <c r="I202">
        <f>IF(TbRegistroSaídas[[#This Row],[Data do Caixa Realizado]]="",0,MONTH(TbRegistroSaídas[[#This Row],[Data do Caixa Realizado]]))</f>
        <v>4</v>
      </c>
      <c r="J202">
        <f>IF(TbRegistroSaídas[[#This Row],[Data do Caixa Realizado]]="",0,YEAR(TbRegistroSaídas[[#This Row],[Data do Caixa Realizado]]))</f>
        <v>2019</v>
      </c>
      <c r="K202">
        <f>IF(TbRegistroSaídas[[#This Row],[Data da Competência]]="",0,MONTH(TbRegistroSaídas[[#This Row],[Data da Competência]]))</f>
        <v>4</v>
      </c>
      <c r="L202">
        <f>IF(TbRegistroSaídas[[#This Row],[Data da Competência]]="",0,YEAR(TbRegistroSaídas[[#This Row],[Data da Competência]]))</f>
        <v>2019</v>
      </c>
      <c r="M202" s="53">
        <f>IF(TbRegistroSaídas[[#This Row],[Data do Caixa Previsto]]="",0,MONTH(TbRegistroSaídas[[#This Row],[Data do Caixa Previsto]]))</f>
        <v>4</v>
      </c>
      <c r="N202" s="53">
        <f>IF(TbRegistroSaídas[[#This Row],[Data do Caixa Previsto]]="",0,YEAR(TbRegistroSaídas[[#This Row],[Data do Caixa Previsto]]))</f>
        <v>2019</v>
      </c>
      <c r="O202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203" spans="2:15" x14ac:dyDescent="0.3">
      <c r="B203" s="8">
        <v>43575.110312084966</v>
      </c>
      <c r="C203" s="8">
        <v>43558</v>
      </c>
      <c r="D203" s="8">
        <v>43560.81847105785</v>
      </c>
      <c r="E203" t="s">
        <v>39</v>
      </c>
      <c r="F203" t="s">
        <v>46</v>
      </c>
      <c r="G203" t="s">
        <v>483</v>
      </c>
      <c r="H203" s="14">
        <v>3341</v>
      </c>
      <c r="I203">
        <f>IF(TbRegistroSaídas[[#This Row],[Data do Caixa Realizado]]="",0,MONTH(TbRegistroSaídas[[#This Row],[Data do Caixa Realizado]]))</f>
        <v>4</v>
      </c>
      <c r="J203">
        <f>IF(TbRegistroSaídas[[#This Row],[Data do Caixa Realizado]]="",0,YEAR(TbRegistroSaídas[[#This Row],[Data do Caixa Realizado]]))</f>
        <v>2019</v>
      </c>
      <c r="K203">
        <f>IF(TbRegistroSaídas[[#This Row],[Data da Competência]]="",0,MONTH(TbRegistroSaídas[[#This Row],[Data da Competência]]))</f>
        <v>4</v>
      </c>
      <c r="L203">
        <f>IF(TbRegistroSaídas[[#This Row],[Data da Competência]]="",0,YEAR(TbRegistroSaídas[[#This Row],[Data da Competência]]))</f>
        <v>2019</v>
      </c>
      <c r="M203" s="53">
        <f>IF(TbRegistroSaídas[[#This Row],[Data do Caixa Previsto]]="",0,MONTH(TbRegistroSaídas[[#This Row],[Data do Caixa Previsto]]))</f>
        <v>4</v>
      </c>
      <c r="N203" s="53">
        <f>IF(TbRegistroSaídas[[#This Row],[Data do Caixa Previsto]]="",0,YEAR(TbRegistroSaídas[[#This Row],[Data do Caixa Previsto]]))</f>
        <v>2019</v>
      </c>
      <c r="O203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14.291841027115879</v>
      </c>
    </row>
    <row r="204" spans="2:15" x14ac:dyDescent="0.3">
      <c r="B204" s="8">
        <v>43605.865431208142</v>
      </c>
      <c r="C204" s="8">
        <v>43561</v>
      </c>
      <c r="D204" s="8">
        <v>43605.865431208142</v>
      </c>
      <c r="E204" t="s">
        <v>39</v>
      </c>
      <c r="F204" t="s">
        <v>35</v>
      </c>
      <c r="G204" t="s">
        <v>484</v>
      </c>
      <c r="H204" s="14">
        <v>2707</v>
      </c>
      <c r="I204">
        <f>IF(TbRegistroSaídas[[#This Row],[Data do Caixa Realizado]]="",0,MONTH(TbRegistroSaídas[[#This Row],[Data do Caixa Realizado]]))</f>
        <v>5</v>
      </c>
      <c r="J204">
        <f>IF(TbRegistroSaídas[[#This Row],[Data do Caixa Realizado]]="",0,YEAR(TbRegistroSaídas[[#This Row],[Data do Caixa Realizado]]))</f>
        <v>2019</v>
      </c>
      <c r="K204">
        <f>IF(TbRegistroSaídas[[#This Row],[Data da Competência]]="",0,MONTH(TbRegistroSaídas[[#This Row],[Data da Competência]]))</f>
        <v>4</v>
      </c>
      <c r="L204">
        <f>IF(TbRegistroSaídas[[#This Row],[Data da Competência]]="",0,YEAR(TbRegistroSaídas[[#This Row],[Data da Competência]]))</f>
        <v>2019</v>
      </c>
      <c r="M204" s="53">
        <f>IF(TbRegistroSaídas[[#This Row],[Data do Caixa Previsto]]="",0,MONTH(TbRegistroSaídas[[#This Row],[Data do Caixa Previsto]]))</f>
        <v>5</v>
      </c>
      <c r="N204" s="53">
        <f>IF(TbRegistroSaídas[[#This Row],[Data do Caixa Previsto]]="",0,YEAR(TbRegistroSaídas[[#This Row],[Data do Caixa Previsto]]))</f>
        <v>2019</v>
      </c>
      <c r="O204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205" spans="2:15" x14ac:dyDescent="0.3">
      <c r="B205" s="8">
        <v>43603.683759744941</v>
      </c>
      <c r="C205" s="8">
        <v>43563</v>
      </c>
      <c r="D205" s="8">
        <v>43603.683759744941</v>
      </c>
      <c r="E205" t="s">
        <v>39</v>
      </c>
      <c r="F205" t="s">
        <v>46</v>
      </c>
      <c r="G205" t="s">
        <v>485</v>
      </c>
      <c r="H205" s="14">
        <v>1582</v>
      </c>
      <c r="I205">
        <f>IF(TbRegistroSaídas[[#This Row],[Data do Caixa Realizado]]="",0,MONTH(TbRegistroSaídas[[#This Row],[Data do Caixa Realizado]]))</f>
        <v>5</v>
      </c>
      <c r="J205">
        <f>IF(TbRegistroSaídas[[#This Row],[Data do Caixa Realizado]]="",0,YEAR(TbRegistroSaídas[[#This Row],[Data do Caixa Realizado]]))</f>
        <v>2019</v>
      </c>
      <c r="K205">
        <f>IF(TbRegistroSaídas[[#This Row],[Data da Competência]]="",0,MONTH(TbRegistroSaídas[[#This Row],[Data da Competência]]))</f>
        <v>4</v>
      </c>
      <c r="L205">
        <f>IF(TbRegistroSaídas[[#This Row],[Data da Competência]]="",0,YEAR(TbRegistroSaídas[[#This Row],[Data da Competência]]))</f>
        <v>2019</v>
      </c>
      <c r="M205" s="53">
        <f>IF(TbRegistroSaídas[[#This Row],[Data do Caixa Previsto]]="",0,MONTH(TbRegistroSaídas[[#This Row],[Data do Caixa Previsto]]))</f>
        <v>5</v>
      </c>
      <c r="N205" s="53">
        <f>IF(TbRegistroSaídas[[#This Row],[Data do Caixa Previsto]]="",0,YEAR(TbRegistroSaídas[[#This Row],[Data do Caixa Previsto]]))</f>
        <v>2019</v>
      </c>
      <c r="O205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206" spans="2:15" x14ac:dyDescent="0.3">
      <c r="B206" s="8">
        <v>43599.508668008042</v>
      </c>
      <c r="C206" s="8">
        <v>43565</v>
      </c>
      <c r="D206" s="8">
        <v>43599.508668008042</v>
      </c>
      <c r="E206" t="s">
        <v>39</v>
      </c>
      <c r="F206" t="s">
        <v>46</v>
      </c>
      <c r="G206" t="s">
        <v>486</v>
      </c>
      <c r="H206" s="14">
        <v>3889</v>
      </c>
      <c r="I206">
        <f>IF(TbRegistroSaídas[[#This Row],[Data do Caixa Realizado]]="",0,MONTH(TbRegistroSaídas[[#This Row],[Data do Caixa Realizado]]))</f>
        <v>5</v>
      </c>
      <c r="J206">
        <f>IF(TbRegistroSaídas[[#This Row],[Data do Caixa Realizado]]="",0,YEAR(TbRegistroSaídas[[#This Row],[Data do Caixa Realizado]]))</f>
        <v>2019</v>
      </c>
      <c r="K206">
        <f>IF(TbRegistroSaídas[[#This Row],[Data da Competência]]="",0,MONTH(TbRegistroSaídas[[#This Row],[Data da Competência]]))</f>
        <v>4</v>
      </c>
      <c r="L206">
        <f>IF(TbRegistroSaídas[[#This Row],[Data da Competência]]="",0,YEAR(TbRegistroSaídas[[#This Row],[Data da Competência]]))</f>
        <v>2019</v>
      </c>
      <c r="M206" s="53">
        <f>IF(TbRegistroSaídas[[#This Row],[Data do Caixa Previsto]]="",0,MONTH(TbRegistroSaídas[[#This Row],[Data do Caixa Previsto]]))</f>
        <v>5</v>
      </c>
      <c r="N206" s="53">
        <f>IF(TbRegistroSaídas[[#This Row],[Data do Caixa Previsto]]="",0,YEAR(TbRegistroSaídas[[#This Row],[Data do Caixa Previsto]]))</f>
        <v>2019</v>
      </c>
      <c r="O206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207" spans="2:15" x14ac:dyDescent="0.3">
      <c r="B207" s="8">
        <v>43584.569223583399</v>
      </c>
      <c r="C207" s="8">
        <v>43569</v>
      </c>
      <c r="D207" s="8">
        <v>43584.569223583399</v>
      </c>
      <c r="E207" t="s">
        <v>39</v>
      </c>
      <c r="F207" t="s">
        <v>46</v>
      </c>
      <c r="G207" t="s">
        <v>487</v>
      </c>
      <c r="H207" s="14">
        <v>2303</v>
      </c>
      <c r="I207">
        <f>IF(TbRegistroSaídas[[#This Row],[Data do Caixa Realizado]]="",0,MONTH(TbRegistroSaídas[[#This Row],[Data do Caixa Realizado]]))</f>
        <v>4</v>
      </c>
      <c r="J207">
        <f>IF(TbRegistroSaídas[[#This Row],[Data do Caixa Realizado]]="",0,YEAR(TbRegistroSaídas[[#This Row],[Data do Caixa Realizado]]))</f>
        <v>2019</v>
      </c>
      <c r="K207">
        <f>IF(TbRegistroSaídas[[#This Row],[Data da Competência]]="",0,MONTH(TbRegistroSaídas[[#This Row],[Data da Competência]]))</f>
        <v>4</v>
      </c>
      <c r="L207">
        <f>IF(TbRegistroSaídas[[#This Row],[Data da Competência]]="",0,YEAR(TbRegistroSaídas[[#This Row],[Data da Competência]]))</f>
        <v>2019</v>
      </c>
      <c r="M207" s="53">
        <f>IF(TbRegistroSaídas[[#This Row],[Data do Caixa Previsto]]="",0,MONTH(TbRegistroSaídas[[#This Row],[Data do Caixa Previsto]]))</f>
        <v>4</v>
      </c>
      <c r="N207" s="53">
        <f>IF(TbRegistroSaídas[[#This Row],[Data do Caixa Previsto]]="",0,YEAR(TbRegistroSaídas[[#This Row],[Data do Caixa Previsto]]))</f>
        <v>2019</v>
      </c>
      <c r="O207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208" spans="2:15" x14ac:dyDescent="0.3">
      <c r="B208" s="8">
        <v>43604.655561438565</v>
      </c>
      <c r="C208" s="8">
        <v>43572</v>
      </c>
      <c r="D208" s="8">
        <v>43604.655561438565</v>
      </c>
      <c r="E208" t="s">
        <v>39</v>
      </c>
      <c r="F208" t="s">
        <v>34</v>
      </c>
      <c r="G208" t="s">
        <v>488</v>
      </c>
      <c r="H208" s="14">
        <v>802</v>
      </c>
      <c r="I208">
        <f>IF(TbRegistroSaídas[[#This Row],[Data do Caixa Realizado]]="",0,MONTH(TbRegistroSaídas[[#This Row],[Data do Caixa Realizado]]))</f>
        <v>5</v>
      </c>
      <c r="J208">
        <f>IF(TbRegistroSaídas[[#This Row],[Data do Caixa Realizado]]="",0,YEAR(TbRegistroSaídas[[#This Row],[Data do Caixa Realizado]]))</f>
        <v>2019</v>
      </c>
      <c r="K208">
        <f>IF(TbRegistroSaídas[[#This Row],[Data da Competência]]="",0,MONTH(TbRegistroSaídas[[#This Row],[Data da Competência]]))</f>
        <v>4</v>
      </c>
      <c r="L208">
        <f>IF(TbRegistroSaídas[[#This Row],[Data da Competência]]="",0,YEAR(TbRegistroSaídas[[#This Row],[Data da Competência]]))</f>
        <v>2019</v>
      </c>
      <c r="M208" s="53">
        <f>IF(TbRegistroSaídas[[#This Row],[Data do Caixa Previsto]]="",0,MONTH(TbRegistroSaídas[[#This Row],[Data do Caixa Previsto]]))</f>
        <v>5</v>
      </c>
      <c r="N208" s="53">
        <f>IF(TbRegistroSaídas[[#This Row],[Data do Caixa Previsto]]="",0,YEAR(TbRegistroSaídas[[#This Row],[Data do Caixa Previsto]]))</f>
        <v>2019</v>
      </c>
      <c r="O208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209" spans="2:15" x14ac:dyDescent="0.3">
      <c r="B209" s="8">
        <v>43589.233184767916</v>
      </c>
      <c r="C209" s="8">
        <v>43574</v>
      </c>
      <c r="D209" s="8">
        <v>43589.233184767916</v>
      </c>
      <c r="E209" t="s">
        <v>39</v>
      </c>
      <c r="F209" t="s">
        <v>46</v>
      </c>
      <c r="G209" t="s">
        <v>489</v>
      </c>
      <c r="H209" s="14">
        <v>4513</v>
      </c>
      <c r="I209">
        <f>IF(TbRegistroSaídas[[#This Row],[Data do Caixa Realizado]]="",0,MONTH(TbRegistroSaídas[[#This Row],[Data do Caixa Realizado]]))</f>
        <v>5</v>
      </c>
      <c r="J209">
        <f>IF(TbRegistroSaídas[[#This Row],[Data do Caixa Realizado]]="",0,YEAR(TbRegistroSaídas[[#This Row],[Data do Caixa Realizado]]))</f>
        <v>2019</v>
      </c>
      <c r="K209">
        <f>IF(TbRegistroSaídas[[#This Row],[Data da Competência]]="",0,MONTH(TbRegistroSaídas[[#This Row],[Data da Competência]]))</f>
        <v>4</v>
      </c>
      <c r="L209">
        <f>IF(TbRegistroSaídas[[#This Row],[Data da Competência]]="",0,YEAR(TbRegistroSaídas[[#This Row],[Data da Competência]]))</f>
        <v>2019</v>
      </c>
      <c r="M209" s="53">
        <f>IF(TbRegistroSaídas[[#This Row],[Data do Caixa Previsto]]="",0,MONTH(TbRegistroSaídas[[#This Row],[Data do Caixa Previsto]]))</f>
        <v>5</v>
      </c>
      <c r="N209" s="53">
        <f>IF(TbRegistroSaídas[[#This Row],[Data do Caixa Previsto]]="",0,YEAR(TbRegistroSaídas[[#This Row],[Data do Caixa Previsto]]))</f>
        <v>2019</v>
      </c>
      <c r="O209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210" spans="2:15" x14ac:dyDescent="0.3">
      <c r="B210" s="8">
        <v>43586.8659361682</v>
      </c>
      <c r="C210" s="8">
        <v>43576</v>
      </c>
      <c r="D210" s="8">
        <v>43586.8659361682</v>
      </c>
      <c r="E210" t="s">
        <v>39</v>
      </c>
      <c r="F210" t="s">
        <v>46</v>
      </c>
      <c r="G210" t="s">
        <v>490</v>
      </c>
      <c r="H210" s="14">
        <v>3908</v>
      </c>
      <c r="I210">
        <f>IF(TbRegistroSaídas[[#This Row],[Data do Caixa Realizado]]="",0,MONTH(TbRegistroSaídas[[#This Row],[Data do Caixa Realizado]]))</f>
        <v>5</v>
      </c>
      <c r="J210">
        <f>IF(TbRegistroSaídas[[#This Row],[Data do Caixa Realizado]]="",0,YEAR(TbRegistroSaídas[[#This Row],[Data do Caixa Realizado]]))</f>
        <v>2019</v>
      </c>
      <c r="K210">
        <f>IF(TbRegistroSaídas[[#This Row],[Data da Competência]]="",0,MONTH(TbRegistroSaídas[[#This Row],[Data da Competência]]))</f>
        <v>4</v>
      </c>
      <c r="L210">
        <f>IF(TbRegistroSaídas[[#This Row],[Data da Competência]]="",0,YEAR(TbRegistroSaídas[[#This Row],[Data da Competência]]))</f>
        <v>2019</v>
      </c>
      <c r="M210" s="53">
        <f>IF(TbRegistroSaídas[[#This Row],[Data do Caixa Previsto]]="",0,MONTH(TbRegistroSaídas[[#This Row],[Data do Caixa Previsto]]))</f>
        <v>5</v>
      </c>
      <c r="N210" s="53">
        <f>IF(TbRegistroSaídas[[#This Row],[Data do Caixa Previsto]]="",0,YEAR(TbRegistroSaídas[[#This Row],[Data do Caixa Previsto]]))</f>
        <v>2019</v>
      </c>
      <c r="O210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211" spans="2:15" x14ac:dyDescent="0.3">
      <c r="B211" s="8">
        <v>43641.890700157783</v>
      </c>
      <c r="C211" s="8">
        <v>43580</v>
      </c>
      <c r="D211" s="8">
        <v>43635.027119606828</v>
      </c>
      <c r="E211" t="s">
        <v>39</v>
      </c>
      <c r="F211" t="s">
        <v>46</v>
      </c>
      <c r="G211" t="s">
        <v>491</v>
      </c>
      <c r="H211" s="14">
        <v>156</v>
      </c>
      <c r="I211">
        <f>IF(TbRegistroSaídas[[#This Row],[Data do Caixa Realizado]]="",0,MONTH(TbRegistroSaídas[[#This Row],[Data do Caixa Realizado]]))</f>
        <v>6</v>
      </c>
      <c r="J211">
        <f>IF(TbRegistroSaídas[[#This Row],[Data do Caixa Realizado]]="",0,YEAR(TbRegistroSaídas[[#This Row],[Data do Caixa Realizado]]))</f>
        <v>2019</v>
      </c>
      <c r="K211">
        <f>IF(TbRegistroSaídas[[#This Row],[Data da Competência]]="",0,MONTH(TbRegistroSaídas[[#This Row],[Data da Competência]]))</f>
        <v>4</v>
      </c>
      <c r="L211">
        <f>IF(TbRegistroSaídas[[#This Row],[Data da Competência]]="",0,YEAR(TbRegistroSaídas[[#This Row],[Data da Competência]]))</f>
        <v>2019</v>
      </c>
      <c r="M211" s="53">
        <f>IF(TbRegistroSaídas[[#This Row],[Data do Caixa Previsto]]="",0,MONTH(TbRegistroSaídas[[#This Row],[Data do Caixa Previsto]]))</f>
        <v>6</v>
      </c>
      <c r="N211" s="53">
        <f>IF(TbRegistroSaídas[[#This Row],[Data do Caixa Previsto]]="",0,YEAR(TbRegistroSaídas[[#This Row],[Data do Caixa Previsto]]))</f>
        <v>2019</v>
      </c>
      <c r="O211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6.8635805509547936</v>
      </c>
    </row>
    <row r="212" spans="2:15" x14ac:dyDescent="0.3">
      <c r="B212" s="8">
        <v>43622.113483825102</v>
      </c>
      <c r="C212" s="8">
        <v>43582</v>
      </c>
      <c r="D212" s="8">
        <v>43622.113483825102</v>
      </c>
      <c r="E212" t="s">
        <v>39</v>
      </c>
      <c r="F212" t="s">
        <v>34</v>
      </c>
      <c r="G212" t="s">
        <v>492</v>
      </c>
      <c r="H212" s="14">
        <v>457</v>
      </c>
      <c r="I212">
        <f>IF(TbRegistroSaídas[[#This Row],[Data do Caixa Realizado]]="",0,MONTH(TbRegistroSaídas[[#This Row],[Data do Caixa Realizado]]))</f>
        <v>6</v>
      </c>
      <c r="J212">
        <f>IF(TbRegistroSaídas[[#This Row],[Data do Caixa Realizado]]="",0,YEAR(TbRegistroSaídas[[#This Row],[Data do Caixa Realizado]]))</f>
        <v>2019</v>
      </c>
      <c r="K212">
        <f>IF(TbRegistroSaídas[[#This Row],[Data da Competência]]="",0,MONTH(TbRegistroSaídas[[#This Row],[Data da Competência]]))</f>
        <v>4</v>
      </c>
      <c r="L212">
        <f>IF(TbRegistroSaídas[[#This Row],[Data da Competência]]="",0,YEAR(TbRegistroSaídas[[#This Row],[Data da Competência]]))</f>
        <v>2019</v>
      </c>
      <c r="M212" s="53">
        <f>IF(TbRegistroSaídas[[#This Row],[Data do Caixa Previsto]]="",0,MONTH(TbRegistroSaídas[[#This Row],[Data do Caixa Previsto]]))</f>
        <v>6</v>
      </c>
      <c r="N212" s="53">
        <f>IF(TbRegistroSaídas[[#This Row],[Data do Caixa Previsto]]="",0,YEAR(TbRegistroSaídas[[#This Row],[Data do Caixa Previsto]]))</f>
        <v>2019</v>
      </c>
      <c r="O212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213" spans="2:15" x14ac:dyDescent="0.3">
      <c r="B213" s="8">
        <v>43624.026611669258</v>
      </c>
      <c r="C213" s="8">
        <v>43588</v>
      </c>
      <c r="D213" s="8">
        <v>43624.026611669258</v>
      </c>
      <c r="E213" t="s">
        <v>39</v>
      </c>
      <c r="F213" t="s">
        <v>46</v>
      </c>
      <c r="G213" t="s">
        <v>493</v>
      </c>
      <c r="H213" s="14">
        <v>3536</v>
      </c>
      <c r="I213">
        <f>IF(TbRegistroSaídas[[#This Row],[Data do Caixa Realizado]]="",0,MONTH(TbRegistroSaídas[[#This Row],[Data do Caixa Realizado]]))</f>
        <v>6</v>
      </c>
      <c r="J213">
        <f>IF(TbRegistroSaídas[[#This Row],[Data do Caixa Realizado]]="",0,YEAR(TbRegistroSaídas[[#This Row],[Data do Caixa Realizado]]))</f>
        <v>2019</v>
      </c>
      <c r="K213">
        <f>IF(TbRegistroSaídas[[#This Row],[Data da Competência]]="",0,MONTH(TbRegistroSaídas[[#This Row],[Data da Competência]]))</f>
        <v>5</v>
      </c>
      <c r="L213">
        <f>IF(TbRegistroSaídas[[#This Row],[Data da Competência]]="",0,YEAR(TbRegistroSaídas[[#This Row],[Data da Competência]]))</f>
        <v>2019</v>
      </c>
      <c r="M213" s="53">
        <f>IF(TbRegistroSaídas[[#This Row],[Data do Caixa Previsto]]="",0,MONTH(TbRegistroSaídas[[#This Row],[Data do Caixa Previsto]]))</f>
        <v>6</v>
      </c>
      <c r="N213" s="53">
        <f>IF(TbRegistroSaídas[[#This Row],[Data do Caixa Previsto]]="",0,YEAR(TbRegistroSaídas[[#This Row],[Data do Caixa Previsto]]))</f>
        <v>2019</v>
      </c>
      <c r="O213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214" spans="2:15" x14ac:dyDescent="0.3">
      <c r="B214" s="8">
        <v>43595.700139752473</v>
      </c>
      <c r="C214" s="8">
        <v>43590</v>
      </c>
      <c r="D214" s="8">
        <v>43595.700139752473</v>
      </c>
      <c r="E214" t="s">
        <v>39</v>
      </c>
      <c r="F214" t="s">
        <v>46</v>
      </c>
      <c r="G214" t="s">
        <v>494</v>
      </c>
      <c r="H214" s="14">
        <v>1809</v>
      </c>
      <c r="I214">
        <f>IF(TbRegistroSaídas[[#This Row],[Data do Caixa Realizado]]="",0,MONTH(TbRegistroSaídas[[#This Row],[Data do Caixa Realizado]]))</f>
        <v>5</v>
      </c>
      <c r="J214">
        <f>IF(TbRegistroSaídas[[#This Row],[Data do Caixa Realizado]]="",0,YEAR(TbRegistroSaídas[[#This Row],[Data do Caixa Realizado]]))</f>
        <v>2019</v>
      </c>
      <c r="K214">
        <f>IF(TbRegistroSaídas[[#This Row],[Data da Competência]]="",0,MONTH(TbRegistroSaídas[[#This Row],[Data da Competência]]))</f>
        <v>5</v>
      </c>
      <c r="L214">
        <f>IF(TbRegistroSaídas[[#This Row],[Data da Competência]]="",0,YEAR(TbRegistroSaídas[[#This Row],[Data da Competência]]))</f>
        <v>2019</v>
      </c>
      <c r="M214" s="53">
        <f>IF(TbRegistroSaídas[[#This Row],[Data do Caixa Previsto]]="",0,MONTH(TbRegistroSaídas[[#This Row],[Data do Caixa Previsto]]))</f>
        <v>5</v>
      </c>
      <c r="N214" s="53">
        <f>IF(TbRegistroSaídas[[#This Row],[Data do Caixa Previsto]]="",0,YEAR(TbRegistroSaídas[[#This Row],[Data do Caixa Previsto]]))</f>
        <v>2019</v>
      </c>
      <c r="O214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215" spans="2:15" x14ac:dyDescent="0.3">
      <c r="B215" s="8">
        <v>43613.712962366597</v>
      </c>
      <c r="C215" s="8">
        <v>43591</v>
      </c>
      <c r="D215" s="8">
        <v>43613.712962366597</v>
      </c>
      <c r="E215" t="s">
        <v>39</v>
      </c>
      <c r="F215" t="s">
        <v>34</v>
      </c>
      <c r="G215" t="s">
        <v>495</v>
      </c>
      <c r="H215" s="14">
        <v>4172</v>
      </c>
      <c r="I215">
        <f>IF(TbRegistroSaídas[[#This Row],[Data do Caixa Realizado]]="",0,MONTH(TbRegistroSaídas[[#This Row],[Data do Caixa Realizado]]))</f>
        <v>5</v>
      </c>
      <c r="J215">
        <f>IF(TbRegistroSaídas[[#This Row],[Data do Caixa Realizado]]="",0,YEAR(TbRegistroSaídas[[#This Row],[Data do Caixa Realizado]]))</f>
        <v>2019</v>
      </c>
      <c r="K215">
        <f>IF(TbRegistroSaídas[[#This Row],[Data da Competência]]="",0,MONTH(TbRegistroSaídas[[#This Row],[Data da Competência]]))</f>
        <v>5</v>
      </c>
      <c r="L215">
        <f>IF(TbRegistroSaídas[[#This Row],[Data da Competência]]="",0,YEAR(TbRegistroSaídas[[#This Row],[Data da Competência]]))</f>
        <v>2019</v>
      </c>
      <c r="M215" s="53">
        <f>IF(TbRegistroSaídas[[#This Row],[Data do Caixa Previsto]]="",0,MONTH(TbRegistroSaídas[[#This Row],[Data do Caixa Previsto]]))</f>
        <v>5</v>
      </c>
      <c r="N215" s="53">
        <f>IF(TbRegistroSaídas[[#This Row],[Data do Caixa Previsto]]="",0,YEAR(TbRegistroSaídas[[#This Row],[Data do Caixa Previsto]]))</f>
        <v>2019</v>
      </c>
      <c r="O215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216" spans="2:15" x14ac:dyDescent="0.3">
      <c r="B216" s="8">
        <v>43623.498752151929</v>
      </c>
      <c r="C216" s="8">
        <v>43592</v>
      </c>
      <c r="D216" s="8">
        <v>43623.498752151929</v>
      </c>
      <c r="E216" t="s">
        <v>39</v>
      </c>
      <c r="F216" t="s">
        <v>34</v>
      </c>
      <c r="G216" t="s">
        <v>496</v>
      </c>
      <c r="H216" s="14">
        <v>3827</v>
      </c>
      <c r="I216">
        <f>IF(TbRegistroSaídas[[#This Row],[Data do Caixa Realizado]]="",0,MONTH(TbRegistroSaídas[[#This Row],[Data do Caixa Realizado]]))</f>
        <v>6</v>
      </c>
      <c r="J216">
        <f>IF(TbRegistroSaídas[[#This Row],[Data do Caixa Realizado]]="",0,YEAR(TbRegistroSaídas[[#This Row],[Data do Caixa Realizado]]))</f>
        <v>2019</v>
      </c>
      <c r="K216">
        <f>IF(TbRegistroSaídas[[#This Row],[Data da Competência]]="",0,MONTH(TbRegistroSaídas[[#This Row],[Data da Competência]]))</f>
        <v>5</v>
      </c>
      <c r="L216">
        <f>IF(TbRegistroSaídas[[#This Row],[Data da Competência]]="",0,YEAR(TbRegistroSaídas[[#This Row],[Data da Competência]]))</f>
        <v>2019</v>
      </c>
      <c r="M216" s="53">
        <f>IF(TbRegistroSaídas[[#This Row],[Data do Caixa Previsto]]="",0,MONTH(TbRegistroSaídas[[#This Row],[Data do Caixa Previsto]]))</f>
        <v>6</v>
      </c>
      <c r="N216" s="53">
        <f>IF(TbRegistroSaídas[[#This Row],[Data do Caixa Previsto]]="",0,YEAR(TbRegistroSaídas[[#This Row],[Data do Caixa Previsto]]))</f>
        <v>2019</v>
      </c>
      <c r="O216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217" spans="2:15" x14ac:dyDescent="0.3">
      <c r="B217" s="8">
        <v>43732.354485773343</v>
      </c>
      <c r="C217" s="8">
        <v>43594</v>
      </c>
      <c r="D217" s="8">
        <v>43645.188079108193</v>
      </c>
      <c r="E217" t="s">
        <v>39</v>
      </c>
      <c r="F217" t="s">
        <v>34</v>
      </c>
      <c r="G217" t="s">
        <v>497</v>
      </c>
      <c r="H217" s="14">
        <v>1700</v>
      </c>
      <c r="I217">
        <f>IF(TbRegistroSaídas[[#This Row],[Data do Caixa Realizado]]="",0,MONTH(TbRegistroSaídas[[#This Row],[Data do Caixa Realizado]]))</f>
        <v>9</v>
      </c>
      <c r="J217">
        <f>IF(TbRegistroSaídas[[#This Row],[Data do Caixa Realizado]]="",0,YEAR(TbRegistroSaídas[[#This Row],[Data do Caixa Realizado]]))</f>
        <v>2019</v>
      </c>
      <c r="K217">
        <f>IF(TbRegistroSaídas[[#This Row],[Data da Competência]]="",0,MONTH(TbRegistroSaídas[[#This Row],[Data da Competência]]))</f>
        <v>5</v>
      </c>
      <c r="L217">
        <f>IF(TbRegistroSaídas[[#This Row],[Data da Competência]]="",0,YEAR(TbRegistroSaídas[[#This Row],[Data da Competência]]))</f>
        <v>2019</v>
      </c>
      <c r="M217" s="53">
        <f>IF(TbRegistroSaídas[[#This Row],[Data do Caixa Previsto]]="",0,MONTH(TbRegistroSaídas[[#This Row],[Data do Caixa Previsto]]))</f>
        <v>6</v>
      </c>
      <c r="N217" s="53">
        <f>IF(TbRegistroSaídas[[#This Row],[Data do Caixa Previsto]]="",0,YEAR(TbRegistroSaídas[[#This Row],[Data do Caixa Previsto]]))</f>
        <v>2019</v>
      </c>
      <c r="O217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87.166406665150134</v>
      </c>
    </row>
    <row r="218" spans="2:15" x14ac:dyDescent="0.3">
      <c r="B218" s="8">
        <v>43614.76373708652</v>
      </c>
      <c r="C218" s="8">
        <v>43595</v>
      </c>
      <c r="D218" s="8">
        <v>43614.76373708652</v>
      </c>
      <c r="E218" t="s">
        <v>39</v>
      </c>
      <c r="F218" t="s">
        <v>34</v>
      </c>
      <c r="G218" t="s">
        <v>498</v>
      </c>
      <c r="H218" s="14">
        <v>2090</v>
      </c>
      <c r="I218">
        <f>IF(TbRegistroSaídas[[#This Row],[Data do Caixa Realizado]]="",0,MONTH(TbRegistroSaídas[[#This Row],[Data do Caixa Realizado]]))</f>
        <v>5</v>
      </c>
      <c r="J218">
        <f>IF(TbRegistroSaídas[[#This Row],[Data do Caixa Realizado]]="",0,YEAR(TbRegistroSaídas[[#This Row],[Data do Caixa Realizado]]))</f>
        <v>2019</v>
      </c>
      <c r="K218">
        <f>IF(TbRegistroSaídas[[#This Row],[Data da Competência]]="",0,MONTH(TbRegistroSaídas[[#This Row],[Data da Competência]]))</f>
        <v>5</v>
      </c>
      <c r="L218">
        <f>IF(TbRegistroSaídas[[#This Row],[Data da Competência]]="",0,YEAR(TbRegistroSaídas[[#This Row],[Data da Competência]]))</f>
        <v>2019</v>
      </c>
      <c r="M218" s="53">
        <f>IF(TbRegistroSaídas[[#This Row],[Data do Caixa Previsto]]="",0,MONTH(TbRegistroSaídas[[#This Row],[Data do Caixa Previsto]]))</f>
        <v>5</v>
      </c>
      <c r="N218" s="53">
        <f>IF(TbRegistroSaídas[[#This Row],[Data do Caixa Previsto]]="",0,YEAR(TbRegistroSaídas[[#This Row],[Data do Caixa Previsto]]))</f>
        <v>2019</v>
      </c>
      <c r="O218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219" spans="2:15" x14ac:dyDescent="0.3">
      <c r="B219" s="8">
        <v>43602.13448735002</v>
      </c>
      <c r="C219" s="8">
        <v>43598</v>
      </c>
      <c r="D219" s="8">
        <v>43602.13448735002</v>
      </c>
      <c r="E219" t="s">
        <v>39</v>
      </c>
      <c r="F219" t="s">
        <v>37</v>
      </c>
      <c r="G219" t="s">
        <v>499</v>
      </c>
      <c r="H219" s="14">
        <v>3230</v>
      </c>
      <c r="I219">
        <f>IF(TbRegistroSaídas[[#This Row],[Data do Caixa Realizado]]="",0,MONTH(TbRegistroSaídas[[#This Row],[Data do Caixa Realizado]]))</f>
        <v>5</v>
      </c>
      <c r="J219">
        <f>IF(TbRegistroSaídas[[#This Row],[Data do Caixa Realizado]]="",0,YEAR(TbRegistroSaídas[[#This Row],[Data do Caixa Realizado]]))</f>
        <v>2019</v>
      </c>
      <c r="K219">
        <f>IF(TbRegistroSaídas[[#This Row],[Data da Competência]]="",0,MONTH(TbRegistroSaídas[[#This Row],[Data da Competência]]))</f>
        <v>5</v>
      </c>
      <c r="L219">
        <f>IF(TbRegistroSaídas[[#This Row],[Data da Competência]]="",0,YEAR(TbRegistroSaídas[[#This Row],[Data da Competência]]))</f>
        <v>2019</v>
      </c>
      <c r="M219" s="53">
        <f>IF(TbRegistroSaídas[[#This Row],[Data do Caixa Previsto]]="",0,MONTH(TbRegistroSaídas[[#This Row],[Data do Caixa Previsto]]))</f>
        <v>5</v>
      </c>
      <c r="N219" s="53">
        <f>IF(TbRegistroSaídas[[#This Row],[Data do Caixa Previsto]]="",0,YEAR(TbRegistroSaídas[[#This Row],[Data do Caixa Previsto]]))</f>
        <v>2019</v>
      </c>
      <c r="O219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220" spans="2:15" x14ac:dyDescent="0.3">
      <c r="B220" s="8">
        <v>43618.94333879678</v>
      </c>
      <c r="C220" s="8">
        <v>43601</v>
      </c>
      <c r="D220" s="8">
        <v>43618.94333879678</v>
      </c>
      <c r="E220" t="s">
        <v>39</v>
      </c>
      <c r="F220" t="s">
        <v>46</v>
      </c>
      <c r="G220" t="s">
        <v>500</v>
      </c>
      <c r="H220" s="14">
        <v>4030</v>
      </c>
      <c r="I220">
        <f>IF(TbRegistroSaídas[[#This Row],[Data do Caixa Realizado]]="",0,MONTH(TbRegistroSaídas[[#This Row],[Data do Caixa Realizado]]))</f>
        <v>6</v>
      </c>
      <c r="J220">
        <f>IF(TbRegistroSaídas[[#This Row],[Data do Caixa Realizado]]="",0,YEAR(TbRegistroSaídas[[#This Row],[Data do Caixa Realizado]]))</f>
        <v>2019</v>
      </c>
      <c r="K220">
        <f>IF(TbRegistroSaídas[[#This Row],[Data da Competência]]="",0,MONTH(TbRegistroSaídas[[#This Row],[Data da Competência]]))</f>
        <v>5</v>
      </c>
      <c r="L220">
        <f>IF(TbRegistroSaídas[[#This Row],[Data da Competência]]="",0,YEAR(TbRegistroSaídas[[#This Row],[Data da Competência]]))</f>
        <v>2019</v>
      </c>
      <c r="M220" s="53">
        <f>IF(TbRegistroSaídas[[#This Row],[Data do Caixa Previsto]]="",0,MONTH(TbRegistroSaídas[[#This Row],[Data do Caixa Previsto]]))</f>
        <v>6</v>
      </c>
      <c r="N220" s="53">
        <f>IF(TbRegistroSaídas[[#This Row],[Data do Caixa Previsto]]="",0,YEAR(TbRegistroSaídas[[#This Row],[Data do Caixa Previsto]]))</f>
        <v>2019</v>
      </c>
      <c r="O220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221" spans="2:15" x14ac:dyDescent="0.3">
      <c r="B221" s="8">
        <v>43703.895777057623</v>
      </c>
      <c r="C221" s="8">
        <v>43604</v>
      </c>
      <c r="D221" s="8">
        <v>43615.96984606648</v>
      </c>
      <c r="E221" t="s">
        <v>39</v>
      </c>
      <c r="F221" t="s">
        <v>37</v>
      </c>
      <c r="G221" t="s">
        <v>501</v>
      </c>
      <c r="H221" s="14">
        <v>1367</v>
      </c>
      <c r="I221">
        <f>IF(TbRegistroSaídas[[#This Row],[Data do Caixa Realizado]]="",0,MONTH(TbRegistroSaídas[[#This Row],[Data do Caixa Realizado]]))</f>
        <v>8</v>
      </c>
      <c r="J221">
        <f>IF(TbRegistroSaídas[[#This Row],[Data do Caixa Realizado]]="",0,YEAR(TbRegistroSaídas[[#This Row],[Data do Caixa Realizado]]))</f>
        <v>2019</v>
      </c>
      <c r="K221">
        <f>IF(TbRegistroSaídas[[#This Row],[Data da Competência]]="",0,MONTH(TbRegistroSaídas[[#This Row],[Data da Competência]]))</f>
        <v>5</v>
      </c>
      <c r="L221">
        <f>IF(TbRegistroSaídas[[#This Row],[Data da Competência]]="",0,YEAR(TbRegistroSaídas[[#This Row],[Data da Competência]]))</f>
        <v>2019</v>
      </c>
      <c r="M221" s="53">
        <f>IF(TbRegistroSaídas[[#This Row],[Data do Caixa Previsto]]="",0,MONTH(TbRegistroSaídas[[#This Row],[Data do Caixa Previsto]]))</f>
        <v>5</v>
      </c>
      <c r="N221" s="53">
        <f>IF(TbRegistroSaídas[[#This Row],[Data do Caixa Previsto]]="",0,YEAR(TbRegistroSaídas[[#This Row],[Data do Caixa Previsto]]))</f>
        <v>2019</v>
      </c>
      <c r="O221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87.925930991143105</v>
      </c>
    </row>
    <row r="222" spans="2:15" x14ac:dyDescent="0.3">
      <c r="B222" s="8">
        <v>43626.228578403905</v>
      </c>
      <c r="C222" s="8">
        <v>43607</v>
      </c>
      <c r="D222" s="8">
        <v>43626.228578403905</v>
      </c>
      <c r="E222" t="s">
        <v>39</v>
      </c>
      <c r="F222" t="s">
        <v>46</v>
      </c>
      <c r="G222" t="s">
        <v>502</v>
      </c>
      <c r="H222" s="14">
        <v>3945</v>
      </c>
      <c r="I222">
        <f>IF(TbRegistroSaídas[[#This Row],[Data do Caixa Realizado]]="",0,MONTH(TbRegistroSaídas[[#This Row],[Data do Caixa Realizado]]))</f>
        <v>6</v>
      </c>
      <c r="J222">
        <f>IF(TbRegistroSaídas[[#This Row],[Data do Caixa Realizado]]="",0,YEAR(TbRegistroSaídas[[#This Row],[Data do Caixa Realizado]]))</f>
        <v>2019</v>
      </c>
      <c r="K222">
        <f>IF(TbRegistroSaídas[[#This Row],[Data da Competência]]="",0,MONTH(TbRegistroSaídas[[#This Row],[Data da Competência]]))</f>
        <v>5</v>
      </c>
      <c r="L222">
        <f>IF(TbRegistroSaídas[[#This Row],[Data da Competência]]="",0,YEAR(TbRegistroSaídas[[#This Row],[Data da Competência]]))</f>
        <v>2019</v>
      </c>
      <c r="M222" s="53">
        <f>IF(TbRegistroSaídas[[#This Row],[Data do Caixa Previsto]]="",0,MONTH(TbRegistroSaídas[[#This Row],[Data do Caixa Previsto]]))</f>
        <v>6</v>
      </c>
      <c r="N222" s="53">
        <f>IF(TbRegistroSaídas[[#This Row],[Data do Caixa Previsto]]="",0,YEAR(TbRegistroSaídas[[#This Row],[Data do Caixa Previsto]]))</f>
        <v>2019</v>
      </c>
      <c r="O222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223" spans="2:15" x14ac:dyDescent="0.3">
      <c r="B223" s="8">
        <v>43643.772479924686</v>
      </c>
      <c r="C223" s="8">
        <v>43610</v>
      </c>
      <c r="D223" s="8">
        <v>43641.740590364629</v>
      </c>
      <c r="E223" t="s">
        <v>39</v>
      </c>
      <c r="F223" t="s">
        <v>33</v>
      </c>
      <c r="G223" s="22" t="s">
        <v>503</v>
      </c>
      <c r="H223" s="14">
        <v>4518</v>
      </c>
      <c r="I223">
        <f>IF(TbRegistroSaídas[[#This Row],[Data do Caixa Realizado]]="",0,MONTH(TbRegistroSaídas[[#This Row],[Data do Caixa Realizado]]))</f>
        <v>6</v>
      </c>
      <c r="J223">
        <f>IF(TbRegistroSaídas[[#This Row],[Data do Caixa Realizado]]="",0,YEAR(TbRegistroSaídas[[#This Row],[Data do Caixa Realizado]]))</f>
        <v>2019</v>
      </c>
      <c r="K223">
        <f>IF(TbRegistroSaídas[[#This Row],[Data da Competência]]="",0,MONTH(TbRegistroSaídas[[#This Row],[Data da Competência]]))</f>
        <v>5</v>
      </c>
      <c r="L223">
        <f>IF(TbRegistroSaídas[[#This Row],[Data da Competência]]="",0,YEAR(TbRegistroSaídas[[#This Row],[Data da Competência]]))</f>
        <v>2019</v>
      </c>
      <c r="M223" s="53">
        <f>IF(TbRegistroSaídas[[#This Row],[Data do Caixa Previsto]]="",0,MONTH(TbRegistroSaídas[[#This Row],[Data do Caixa Previsto]]))</f>
        <v>6</v>
      </c>
      <c r="N223" s="53">
        <f>IF(TbRegistroSaídas[[#This Row],[Data do Caixa Previsto]]="",0,YEAR(TbRegistroSaídas[[#This Row],[Data do Caixa Previsto]]))</f>
        <v>2019</v>
      </c>
      <c r="O223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2.031889560057607</v>
      </c>
    </row>
    <row r="224" spans="2:15" x14ac:dyDescent="0.3">
      <c r="B224" s="8">
        <v>43673.934978004319</v>
      </c>
      <c r="C224" s="8">
        <v>43614</v>
      </c>
      <c r="D224" s="8">
        <v>43645.508154061761</v>
      </c>
      <c r="E224" t="s">
        <v>39</v>
      </c>
      <c r="F224" t="s">
        <v>46</v>
      </c>
      <c r="G224" t="s">
        <v>347</v>
      </c>
      <c r="H224" s="14">
        <v>3086</v>
      </c>
      <c r="I224">
        <f>IF(TbRegistroSaídas[[#This Row],[Data do Caixa Realizado]]="",0,MONTH(TbRegistroSaídas[[#This Row],[Data do Caixa Realizado]]))</f>
        <v>7</v>
      </c>
      <c r="J224">
        <f>IF(TbRegistroSaídas[[#This Row],[Data do Caixa Realizado]]="",0,YEAR(TbRegistroSaídas[[#This Row],[Data do Caixa Realizado]]))</f>
        <v>2019</v>
      </c>
      <c r="K224">
        <f>IF(TbRegistroSaídas[[#This Row],[Data da Competência]]="",0,MONTH(TbRegistroSaídas[[#This Row],[Data da Competência]]))</f>
        <v>5</v>
      </c>
      <c r="L224">
        <f>IF(TbRegistroSaídas[[#This Row],[Data da Competência]]="",0,YEAR(TbRegistroSaídas[[#This Row],[Data da Competência]]))</f>
        <v>2019</v>
      </c>
      <c r="M224" s="53">
        <f>IF(TbRegistroSaídas[[#This Row],[Data do Caixa Previsto]]="",0,MONTH(TbRegistroSaídas[[#This Row],[Data do Caixa Previsto]]))</f>
        <v>6</v>
      </c>
      <c r="N224" s="53">
        <f>IF(TbRegistroSaídas[[#This Row],[Data do Caixa Previsto]]="",0,YEAR(TbRegistroSaídas[[#This Row],[Data do Caixa Previsto]]))</f>
        <v>2019</v>
      </c>
      <c r="O224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28.426823942558258</v>
      </c>
    </row>
    <row r="225" spans="2:15" x14ac:dyDescent="0.3">
      <c r="B225" s="8">
        <v>43628.969362987358</v>
      </c>
      <c r="C225" s="8">
        <v>43619</v>
      </c>
      <c r="D225" s="8">
        <v>43628.969362987358</v>
      </c>
      <c r="E225" t="s">
        <v>39</v>
      </c>
      <c r="F225" t="s">
        <v>34</v>
      </c>
      <c r="G225" t="s">
        <v>504</v>
      </c>
      <c r="H225" s="14">
        <v>297</v>
      </c>
      <c r="I225">
        <f>IF(TbRegistroSaídas[[#This Row],[Data do Caixa Realizado]]="",0,MONTH(TbRegistroSaídas[[#This Row],[Data do Caixa Realizado]]))</f>
        <v>6</v>
      </c>
      <c r="J225">
        <f>IF(TbRegistroSaídas[[#This Row],[Data do Caixa Realizado]]="",0,YEAR(TbRegistroSaídas[[#This Row],[Data do Caixa Realizado]]))</f>
        <v>2019</v>
      </c>
      <c r="K225">
        <f>IF(TbRegistroSaídas[[#This Row],[Data da Competência]]="",0,MONTH(TbRegistroSaídas[[#This Row],[Data da Competência]]))</f>
        <v>6</v>
      </c>
      <c r="L225">
        <f>IF(TbRegistroSaídas[[#This Row],[Data da Competência]]="",0,YEAR(TbRegistroSaídas[[#This Row],[Data da Competência]]))</f>
        <v>2019</v>
      </c>
      <c r="M225" s="53">
        <f>IF(TbRegistroSaídas[[#This Row],[Data do Caixa Previsto]]="",0,MONTH(TbRegistroSaídas[[#This Row],[Data do Caixa Previsto]]))</f>
        <v>6</v>
      </c>
      <c r="N225" s="53">
        <f>IF(TbRegistroSaídas[[#This Row],[Data do Caixa Previsto]]="",0,YEAR(TbRegistroSaídas[[#This Row],[Data do Caixa Previsto]]))</f>
        <v>2019</v>
      </c>
      <c r="O225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226" spans="2:15" x14ac:dyDescent="0.3">
      <c r="B226" s="8">
        <v>43639.192651531121</v>
      </c>
      <c r="C226" s="8">
        <v>43623</v>
      </c>
      <c r="D226" s="8">
        <v>43639.192651531121</v>
      </c>
      <c r="E226" t="s">
        <v>39</v>
      </c>
      <c r="F226" t="s">
        <v>37</v>
      </c>
      <c r="G226" t="s">
        <v>505</v>
      </c>
      <c r="H226" s="14">
        <v>3226</v>
      </c>
      <c r="I226">
        <f>IF(TbRegistroSaídas[[#This Row],[Data do Caixa Realizado]]="",0,MONTH(TbRegistroSaídas[[#This Row],[Data do Caixa Realizado]]))</f>
        <v>6</v>
      </c>
      <c r="J226">
        <f>IF(TbRegistroSaídas[[#This Row],[Data do Caixa Realizado]]="",0,YEAR(TbRegistroSaídas[[#This Row],[Data do Caixa Realizado]]))</f>
        <v>2019</v>
      </c>
      <c r="K226">
        <f>IF(TbRegistroSaídas[[#This Row],[Data da Competência]]="",0,MONTH(TbRegistroSaídas[[#This Row],[Data da Competência]]))</f>
        <v>6</v>
      </c>
      <c r="L226">
        <f>IF(TbRegistroSaídas[[#This Row],[Data da Competência]]="",0,YEAR(TbRegistroSaídas[[#This Row],[Data da Competência]]))</f>
        <v>2019</v>
      </c>
      <c r="M226" s="53">
        <f>IF(TbRegistroSaídas[[#This Row],[Data do Caixa Previsto]]="",0,MONTH(TbRegistroSaídas[[#This Row],[Data do Caixa Previsto]]))</f>
        <v>6</v>
      </c>
      <c r="N226" s="53">
        <f>IF(TbRegistroSaídas[[#This Row],[Data do Caixa Previsto]]="",0,YEAR(TbRegistroSaídas[[#This Row],[Data do Caixa Previsto]]))</f>
        <v>2019</v>
      </c>
      <c r="O226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227" spans="2:15" x14ac:dyDescent="0.3">
      <c r="B227" s="8" t="s">
        <v>70</v>
      </c>
      <c r="C227" s="8">
        <v>43625</v>
      </c>
      <c r="D227" s="8">
        <v>43672.670884183579</v>
      </c>
      <c r="E227" t="s">
        <v>39</v>
      </c>
      <c r="F227" t="s">
        <v>46</v>
      </c>
      <c r="G227" t="s">
        <v>506</v>
      </c>
      <c r="H227" s="14">
        <v>2338</v>
      </c>
      <c r="I227">
        <f>IF(TbRegistroSaídas[[#This Row],[Data do Caixa Realizado]]="",0,MONTH(TbRegistroSaídas[[#This Row],[Data do Caixa Realizado]]))</f>
        <v>0</v>
      </c>
      <c r="J227">
        <f>IF(TbRegistroSaídas[[#This Row],[Data do Caixa Realizado]]="",0,YEAR(TbRegistroSaídas[[#This Row],[Data do Caixa Realizado]]))</f>
        <v>0</v>
      </c>
      <c r="K227">
        <f>IF(TbRegistroSaídas[[#This Row],[Data da Competência]]="",0,MONTH(TbRegistroSaídas[[#This Row],[Data da Competência]]))</f>
        <v>6</v>
      </c>
      <c r="L227">
        <f>IF(TbRegistroSaídas[[#This Row],[Data da Competência]]="",0,YEAR(TbRegistroSaídas[[#This Row],[Data da Competência]]))</f>
        <v>2019</v>
      </c>
      <c r="M227" s="53">
        <f>IF(TbRegistroSaídas[[#This Row],[Data do Caixa Previsto]]="",0,MONTH(TbRegistroSaídas[[#This Row],[Data do Caixa Previsto]]))</f>
        <v>7</v>
      </c>
      <c r="N227" s="53">
        <f>IF(TbRegistroSaídas[[#This Row],[Data do Caixa Previsto]]="",0,YEAR(TbRegistroSaídas[[#This Row],[Data do Caixa Previsto]]))</f>
        <v>2019</v>
      </c>
      <c r="O227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1936.3291158164211</v>
      </c>
    </row>
    <row r="228" spans="2:15" x14ac:dyDescent="0.3">
      <c r="B228" s="8">
        <v>43741.508211497443</v>
      </c>
      <c r="C228" s="8">
        <v>43632</v>
      </c>
      <c r="D228" s="8">
        <v>43664.662454163976</v>
      </c>
      <c r="E228" t="s">
        <v>39</v>
      </c>
      <c r="F228" t="s">
        <v>37</v>
      </c>
      <c r="G228" t="s">
        <v>507</v>
      </c>
      <c r="H228" s="14">
        <v>3773</v>
      </c>
      <c r="I228">
        <f>IF(TbRegistroSaídas[[#This Row],[Data do Caixa Realizado]]="",0,MONTH(TbRegistroSaídas[[#This Row],[Data do Caixa Realizado]]))</f>
        <v>10</v>
      </c>
      <c r="J228">
        <f>IF(TbRegistroSaídas[[#This Row],[Data do Caixa Realizado]]="",0,YEAR(TbRegistroSaídas[[#This Row],[Data do Caixa Realizado]]))</f>
        <v>2019</v>
      </c>
      <c r="K228">
        <f>IF(TbRegistroSaídas[[#This Row],[Data da Competência]]="",0,MONTH(TbRegistroSaídas[[#This Row],[Data da Competência]]))</f>
        <v>6</v>
      </c>
      <c r="L228">
        <f>IF(TbRegistroSaídas[[#This Row],[Data da Competência]]="",0,YEAR(TbRegistroSaídas[[#This Row],[Data da Competência]]))</f>
        <v>2019</v>
      </c>
      <c r="M228" s="53">
        <f>IF(TbRegistroSaídas[[#This Row],[Data do Caixa Previsto]]="",0,MONTH(TbRegistroSaídas[[#This Row],[Data do Caixa Previsto]]))</f>
        <v>7</v>
      </c>
      <c r="N228" s="53">
        <f>IF(TbRegistroSaídas[[#This Row],[Data do Caixa Previsto]]="",0,YEAR(TbRegistroSaídas[[#This Row],[Data do Caixa Previsto]]))</f>
        <v>2019</v>
      </c>
      <c r="O228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76.845757333467191</v>
      </c>
    </row>
    <row r="229" spans="2:15" x14ac:dyDescent="0.3">
      <c r="B229" s="8" t="s">
        <v>70</v>
      </c>
      <c r="C229" s="8">
        <v>43635</v>
      </c>
      <c r="D229" s="8">
        <v>43686.085509883509</v>
      </c>
      <c r="E229" t="s">
        <v>39</v>
      </c>
      <c r="F229" t="s">
        <v>37</v>
      </c>
      <c r="G229" t="s">
        <v>508</v>
      </c>
      <c r="H229" s="14">
        <v>2759</v>
      </c>
      <c r="I229">
        <f>IF(TbRegistroSaídas[[#This Row],[Data do Caixa Realizado]]="",0,MONTH(TbRegistroSaídas[[#This Row],[Data do Caixa Realizado]]))</f>
        <v>0</v>
      </c>
      <c r="J229">
        <f>IF(TbRegistroSaídas[[#This Row],[Data do Caixa Realizado]]="",0,YEAR(TbRegistroSaídas[[#This Row],[Data do Caixa Realizado]]))</f>
        <v>0</v>
      </c>
      <c r="K229">
        <f>IF(TbRegistroSaídas[[#This Row],[Data da Competência]]="",0,MONTH(TbRegistroSaídas[[#This Row],[Data da Competência]]))</f>
        <v>6</v>
      </c>
      <c r="L229">
        <f>IF(TbRegistroSaídas[[#This Row],[Data da Competência]]="",0,YEAR(TbRegistroSaídas[[#This Row],[Data da Competência]]))</f>
        <v>2019</v>
      </c>
      <c r="M229" s="53">
        <f>IF(TbRegistroSaídas[[#This Row],[Data do Caixa Previsto]]="",0,MONTH(TbRegistroSaídas[[#This Row],[Data do Caixa Previsto]]))</f>
        <v>8</v>
      </c>
      <c r="N229" s="53">
        <f>IF(TbRegistroSaídas[[#This Row],[Data do Caixa Previsto]]="",0,YEAR(TbRegistroSaídas[[#This Row],[Data do Caixa Previsto]]))</f>
        <v>2019</v>
      </c>
      <c r="O229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1922.9144901164909</v>
      </c>
    </row>
    <row r="230" spans="2:15" x14ac:dyDescent="0.3">
      <c r="B230" s="8">
        <v>43682.520022083132</v>
      </c>
      <c r="C230" s="8">
        <v>43637</v>
      </c>
      <c r="D230" s="8">
        <v>43682.520022083132</v>
      </c>
      <c r="E230" t="s">
        <v>39</v>
      </c>
      <c r="F230" t="s">
        <v>37</v>
      </c>
      <c r="G230" t="s">
        <v>509</v>
      </c>
      <c r="H230" s="14">
        <v>1425</v>
      </c>
      <c r="I230">
        <f>IF(TbRegistroSaídas[[#This Row],[Data do Caixa Realizado]]="",0,MONTH(TbRegistroSaídas[[#This Row],[Data do Caixa Realizado]]))</f>
        <v>8</v>
      </c>
      <c r="J230">
        <f>IF(TbRegistroSaídas[[#This Row],[Data do Caixa Realizado]]="",0,YEAR(TbRegistroSaídas[[#This Row],[Data do Caixa Realizado]]))</f>
        <v>2019</v>
      </c>
      <c r="K230">
        <f>IF(TbRegistroSaídas[[#This Row],[Data da Competência]]="",0,MONTH(TbRegistroSaídas[[#This Row],[Data da Competência]]))</f>
        <v>6</v>
      </c>
      <c r="L230">
        <f>IF(TbRegistroSaídas[[#This Row],[Data da Competência]]="",0,YEAR(TbRegistroSaídas[[#This Row],[Data da Competência]]))</f>
        <v>2019</v>
      </c>
      <c r="M230" s="53">
        <f>IF(TbRegistroSaídas[[#This Row],[Data do Caixa Previsto]]="",0,MONTH(TbRegistroSaídas[[#This Row],[Data do Caixa Previsto]]))</f>
        <v>8</v>
      </c>
      <c r="N230" s="53">
        <f>IF(TbRegistroSaídas[[#This Row],[Data do Caixa Previsto]]="",0,YEAR(TbRegistroSaídas[[#This Row],[Data do Caixa Previsto]]))</f>
        <v>2019</v>
      </c>
      <c r="O230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231" spans="2:15" x14ac:dyDescent="0.3">
      <c r="B231" s="8">
        <v>43697.929033863591</v>
      </c>
      <c r="C231" s="8">
        <v>43639</v>
      </c>
      <c r="D231" s="8">
        <v>43697.929033863591</v>
      </c>
      <c r="E231" t="s">
        <v>39</v>
      </c>
      <c r="F231" t="s">
        <v>37</v>
      </c>
      <c r="G231" t="s">
        <v>510</v>
      </c>
      <c r="H231" s="14">
        <v>332</v>
      </c>
      <c r="I231">
        <f>IF(TbRegistroSaídas[[#This Row],[Data do Caixa Realizado]]="",0,MONTH(TbRegistroSaídas[[#This Row],[Data do Caixa Realizado]]))</f>
        <v>8</v>
      </c>
      <c r="J231">
        <f>IF(TbRegistroSaídas[[#This Row],[Data do Caixa Realizado]]="",0,YEAR(TbRegistroSaídas[[#This Row],[Data do Caixa Realizado]]))</f>
        <v>2019</v>
      </c>
      <c r="K231">
        <f>IF(TbRegistroSaídas[[#This Row],[Data da Competência]]="",0,MONTH(TbRegistroSaídas[[#This Row],[Data da Competência]]))</f>
        <v>6</v>
      </c>
      <c r="L231">
        <f>IF(TbRegistroSaídas[[#This Row],[Data da Competência]]="",0,YEAR(TbRegistroSaídas[[#This Row],[Data da Competência]]))</f>
        <v>2019</v>
      </c>
      <c r="M231" s="53">
        <f>IF(TbRegistroSaídas[[#This Row],[Data do Caixa Previsto]]="",0,MONTH(TbRegistroSaídas[[#This Row],[Data do Caixa Previsto]]))</f>
        <v>8</v>
      </c>
      <c r="N231" s="53">
        <f>IF(TbRegistroSaídas[[#This Row],[Data do Caixa Previsto]]="",0,YEAR(TbRegistroSaídas[[#This Row],[Data do Caixa Previsto]]))</f>
        <v>2019</v>
      </c>
      <c r="O231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232" spans="2:15" x14ac:dyDescent="0.3">
      <c r="B232" s="8">
        <v>43653.195660130521</v>
      </c>
      <c r="C232" s="8">
        <v>43646</v>
      </c>
      <c r="D232" s="8">
        <v>43653.195660130521</v>
      </c>
      <c r="E232" t="s">
        <v>39</v>
      </c>
      <c r="F232" t="s">
        <v>46</v>
      </c>
      <c r="G232" t="s">
        <v>511</v>
      </c>
      <c r="H232" s="14">
        <v>2819</v>
      </c>
      <c r="I232">
        <f>IF(TbRegistroSaídas[[#This Row],[Data do Caixa Realizado]]="",0,MONTH(TbRegistroSaídas[[#This Row],[Data do Caixa Realizado]]))</f>
        <v>7</v>
      </c>
      <c r="J232">
        <f>IF(TbRegistroSaídas[[#This Row],[Data do Caixa Realizado]]="",0,YEAR(TbRegistroSaídas[[#This Row],[Data do Caixa Realizado]]))</f>
        <v>2019</v>
      </c>
      <c r="K232">
        <f>IF(TbRegistroSaídas[[#This Row],[Data da Competência]]="",0,MONTH(TbRegistroSaídas[[#This Row],[Data da Competência]]))</f>
        <v>6</v>
      </c>
      <c r="L232">
        <f>IF(TbRegistroSaídas[[#This Row],[Data da Competência]]="",0,YEAR(TbRegistroSaídas[[#This Row],[Data da Competência]]))</f>
        <v>2019</v>
      </c>
      <c r="M232" s="53">
        <f>IF(TbRegistroSaídas[[#This Row],[Data do Caixa Previsto]]="",0,MONTH(TbRegistroSaídas[[#This Row],[Data do Caixa Previsto]]))</f>
        <v>7</v>
      </c>
      <c r="N232" s="53">
        <f>IF(TbRegistroSaídas[[#This Row],[Data do Caixa Previsto]]="",0,YEAR(TbRegistroSaídas[[#This Row],[Data do Caixa Previsto]]))</f>
        <v>2019</v>
      </c>
      <c r="O232" s="53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</sheetData>
  <dataValidations count="2">
    <dataValidation type="list" allowBlank="1" showInputMessage="1" showErrorMessage="1" sqref="E4:E232" xr:uid="{A1996284-5E46-4AA2-8F9E-6197A02F1970}">
      <formula1>PCSaídasN1_Nível_1</formula1>
    </dataValidation>
    <dataValidation type="list" allowBlank="1" showInputMessage="1" showErrorMessage="1" sqref="F4:F232" xr:uid="{F04DADDE-C26C-413C-ABCC-FAAD4FABFEBD}">
      <formula1>OFFSET(PCSaídasN2_Nível_2,MATCH(E4,PCSaídasN2_Nível_1,0)-1,0,COUNTIF(PCSaídasN2_Nível_1,E4))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7"/>
  <sheetViews>
    <sheetView showGridLines="0" zoomScaleNormal="100" workbookViewId="0">
      <selection activeCell="H11" sqref="H11"/>
    </sheetView>
  </sheetViews>
  <sheetFormatPr defaultColWidth="0" defaultRowHeight="14.4" x14ac:dyDescent="0.3"/>
  <cols>
    <col min="1" max="1" width="2.88671875" customWidth="1"/>
    <col min="2" max="2" width="20.77734375" customWidth="1"/>
    <col min="3" max="14" width="13.77734375" customWidth="1"/>
    <col min="15" max="15" width="2.5546875" customWidth="1"/>
    <col min="16" max="16384" width="9.109375" hidden="1"/>
  </cols>
  <sheetData>
    <row r="1" spans="1:14" ht="39.9" customHeight="1" x14ac:dyDescent="0.3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43" t="s">
        <v>14</v>
      </c>
      <c r="K1" s="43"/>
      <c r="L1" s="43"/>
      <c r="M1" s="43"/>
      <c r="N1" s="43"/>
    </row>
    <row r="2" spans="1:14" ht="39.9" customHeigh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20.100000000000001" customHeight="1" x14ac:dyDescent="0.3">
      <c r="B3" s="7" t="s">
        <v>512</v>
      </c>
      <c r="C3" s="23">
        <v>2019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20.100000000000001" customHeight="1" x14ac:dyDescent="0.3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20.100000000000001" customHeight="1" x14ac:dyDescent="0.3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</row>
    <row r="6" spans="1:14" ht="20.100000000000001" customHeight="1" x14ac:dyDescent="0.3">
      <c r="B6" s="24" t="s">
        <v>513</v>
      </c>
    </row>
    <row r="7" spans="1:14" ht="20.100000000000001" customHeight="1" x14ac:dyDescent="0.3">
      <c r="B7" s="27" t="s">
        <v>514</v>
      </c>
      <c r="C7" s="25" t="s">
        <v>518</v>
      </c>
      <c r="D7" s="25" t="s">
        <v>519</v>
      </c>
      <c r="E7" s="25" t="s">
        <v>520</v>
      </c>
      <c r="F7" s="25" t="s">
        <v>521</v>
      </c>
      <c r="G7" s="25" t="s">
        <v>522</v>
      </c>
      <c r="H7" s="25" t="s">
        <v>523</v>
      </c>
      <c r="I7" s="25" t="s">
        <v>524</v>
      </c>
      <c r="J7" s="25" t="s">
        <v>525</v>
      </c>
      <c r="K7" s="25" t="s">
        <v>526</v>
      </c>
      <c r="L7" s="25" t="s">
        <v>527</v>
      </c>
      <c r="M7" s="25" t="s">
        <v>528</v>
      </c>
      <c r="N7" s="26" t="s">
        <v>529</v>
      </c>
    </row>
    <row r="8" spans="1:14" ht="19.95" customHeight="1" x14ac:dyDescent="0.3">
      <c r="B8" s="33" t="s">
        <v>530</v>
      </c>
      <c r="C8" s="28">
        <f>SUMIFS(TbRegistroEntradas[Valor],TbRegistroEntradas[Ano Caixa],"&lt;"&amp;C3,TbRegistroEntradas[Ano Caixa],"&lt;&gt;0")-SUMIFS(TbRegistroSaídas[Valor],TbRegistroSaídas[Ano Caixa],"&lt;"&amp;C3,TbRegistroSaídas[Ano Caixa],"&lt;&gt;0")</f>
        <v>14746</v>
      </c>
      <c r="D8" s="28">
        <f xml:space="preserve"> C11</f>
        <v>16188</v>
      </c>
      <c r="E8" s="28">
        <f t="shared" ref="E8:N8" si="0" xml:space="preserve"> D11</f>
        <v>21863</v>
      </c>
      <c r="F8" s="28">
        <f t="shared" si="0"/>
        <v>23864</v>
      </c>
      <c r="G8" s="28">
        <f t="shared" si="0"/>
        <v>12147</v>
      </c>
      <c r="H8" s="28">
        <f t="shared" si="0"/>
        <v>10954</v>
      </c>
      <c r="I8" s="28">
        <f t="shared" si="0"/>
        <v>-2743</v>
      </c>
      <c r="J8" s="28">
        <f t="shared" si="0"/>
        <v>-2189</v>
      </c>
      <c r="K8" s="28">
        <f t="shared" si="0"/>
        <v>-2976</v>
      </c>
      <c r="L8" s="28">
        <f t="shared" si="0"/>
        <v>-1230</v>
      </c>
      <c r="M8" s="28">
        <f t="shared" si="0"/>
        <v>-3097</v>
      </c>
      <c r="N8" s="44">
        <f t="shared" si="0"/>
        <v>-3097</v>
      </c>
    </row>
    <row r="9" spans="1:14" ht="19.95" customHeight="1" x14ac:dyDescent="0.3">
      <c r="B9" s="33" t="s">
        <v>515</v>
      </c>
      <c r="C9" s="28">
        <f>SUMIFS(TbRegistroEntradas[Valor],TbRegistroEntradas[Mês Caixa],C5,TbRegistroEntradas[Ano Caixa],$C$3)</f>
        <v>20033</v>
      </c>
      <c r="D9" s="28">
        <f>SUMIFS(TbRegistroEntradas[Valor],TbRegistroEntradas[Mês Caixa],D5,TbRegistroEntradas[Ano Caixa],$C$3)</f>
        <v>34683</v>
      </c>
      <c r="E9" s="28">
        <f>SUMIFS(TbRegistroEntradas[Valor],TbRegistroEntradas[Mês Caixa],E5,TbRegistroEntradas[Ano Caixa],$C$3)</f>
        <v>20323</v>
      </c>
      <c r="F9" s="28">
        <f>SUMIFS(TbRegistroEntradas[Valor],TbRegistroEntradas[Mês Caixa],F5,TbRegistroEntradas[Ano Caixa],$C$3)</f>
        <v>25152</v>
      </c>
      <c r="G9" s="28">
        <f>SUMIFS(TbRegistroEntradas[Valor],TbRegistroEntradas[Mês Caixa],G5,TbRegistroEntradas[Ano Caixa],$C$3)</f>
        <v>27509</v>
      </c>
      <c r="H9" s="28">
        <f>SUMIFS(TbRegistroEntradas[Valor],TbRegistroEntradas[Mês Caixa],H5,TbRegistroEntradas[Ano Caixa],$C$3)</f>
        <v>18189</v>
      </c>
      <c r="I9" s="28">
        <f>SUMIFS(TbRegistroEntradas[Valor],TbRegistroEntradas[Mês Caixa],I5,TbRegistroEntradas[Ano Caixa],$C$3)</f>
        <v>8420</v>
      </c>
      <c r="J9" s="28">
        <f>SUMIFS(TbRegistroEntradas[Valor],TbRegistroEntradas[Mês Caixa],J5,TbRegistroEntradas[Ano Caixa],$C$3)</f>
        <v>2337</v>
      </c>
      <c r="K9" s="28">
        <f>SUMIFS(TbRegistroEntradas[Valor],TbRegistroEntradas[Mês Caixa],K5,TbRegistroEntradas[Ano Caixa],$C$3)</f>
        <v>3446</v>
      </c>
      <c r="L9" s="28">
        <f>SUMIFS(TbRegistroEntradas[Valor],TbRegistroEntradas[Mês Caixa],L5,TbRegistroEntradas[Ano Caixa],$C$3)</f>
        <v>1906</v>
      </c>
      <c r="M9" s="28">
        <f>SUMIFS(TbRegistroEntradas[Valor],TbRegistroEntradas[Mês Caixa],M5,TbRegistroEntradas[Ano Caixa],$C$3)</f>
        <v>0</v>
      </c>
      <c r="N9" s="29">
        <f>SUMIFS(TbRegistroEntradas[Valor],TbRegistroEntradas[Mês Caixa],N5,TbRegistroEntradas[Ano Caixa],$C$3)</f>
        <v>0</v>
      </c>
    </row>
    <row r="10" spans="1:14" ht="19.95" customHeight="1" x14ac:dyDescent="0.3">
      <c r="B10" s="33" t="s">
        <v>516</v>
      </c>
      <c r="C10" s="28">
        <f>SUMIFS(TbRegistroSaídas[Valor],TbRegistroSaídas[Mês Caixa],C5,TbRegistroSaídas[Ano Caixa],$C$3)</f>
        <v>18591</v>
      </c>
      <c r="D10" s="28">
        <f>SUMIFS(TbRegistroSaídas[Valor],TbRegistroSaídas[Mês Caixa],D5,TbRegistroSaídas[Ano Caixa],$C$3)</f>
        <v>29008</v>
      </c>
      <c r="E10" s="28">
        <f>SUMIFS(TbRegistroSaídas[Valor],TbRegistroSaídas[Mês Caixa],E5,TbRegistroSaídas[Ano Caixa],$C$3)</f>
        <v>18322</v>
      </c>
      <c r="F10" s="28">
        <f>SUMIFS(TbRegistroSaídas[Valor],TbRegistroSaídas[Mês Caixa],F5,TbRegistroSaídas[Ano Caixa],$C$3)</f>
        <v>36869</v>
      </c>
      <c r="G10" s="28">
        <f>SUMIFS(TbRegistroSaídas[Valor],TbRegistroSaídas[Mês Caixa],G5,TbRegistroSaídas[Ano Caixa],$C$3)</f>
        <v>28702</v>
      </c>
      <c r="H10" s="28">
        <f>SUMIFS(TbRegistroSaídas[Valor],TbRegistroSaídas[Mês Caixa],H5,TbRegistroSaídas[Ano Caixa],$C$3)</f>
        <v>31886</v>
      </c>
      <c r="I10" s="28">
        <f>SUMIFS(TbRegistroSaídas[Valor],TbRegistroSaídas[Mês Caixa],I5,TbRegistroSaídas[Ano Caixa],$C$3)</f>
        <v>7866</v>
      </c>
      <c r="J10" s="28">
        <f>SUMIFS(TbRegistroSaídas[Valor],TbRegistroSaídas[Mês Caixa],J5,TbRegistroSaídas[Ano Caixa],$C$3)</f>
        <v>3124</v>
      </c>
      <c r="K10" s="28">
        <f>SUMIFS(TbRegistroSaídas[Valor],TbRegistroSaídas[Mês Caixa],K5,TbRegistroSaídas[Ano Caixa],$C$3)</f>
        <v>1700</v>
      </c>
      <c r="L10" s="28">
        <f>SUMIFS(TbRegistroSaídas[Valor],TbRegistroSaídas[Mês Caixa],L5,TbRegistroSaídas[Ano Caixa],$C$3)</f>
        <v>3773</v>
      </c>
      <c r="M10" s="28">
        <f>SUMIFS(TbRegistroSaídas[Valor],TbRegistroSaídas[Mês Caixa],M5,TbRegistroSaídas[Ano Caixa],$C$3)</f>
        <v>0</v>
      </c>
      <c r="N10" s="29">
        <f>SUMIFS(TbRegistroSaídas[Valor],TbRegistroSaídas[Mês Caixa],N5,TbRegistroSaídas[Ano Caixa],$C$3)</f>
        <v>0</v>
      </c>
    </row>
    <row r="11" spans="1:14" ht="19.95" customHeight="1" x14ac:dyDescent="0.3">
      <c r="B11" s="34" t="s">
        <v>517</v>
      </c>
      <c r="C11" s="30">
        <f>C8+C9-C10</f>
        <v>16188</v>
      </c>
      <c r="D11" s="30">
        <f t="shared" ref="D11:N11" si="1">D8+D9-D10</f>
        <v>21863</v>
      </c>
      <c r="E11" s="30">
        <f t="shared" si="1"/>
        <v>23864</v>
      </c>
      <c r="F11" s="30">
        <f t="shared" si="1"/>
        <v>12147</v>
      </c>
      <c r="G11" s="30">
        <f t="shared" si="1"/>
        <v>10954</v>
      </c>
      <c r="H11" s="30">
        <f t="shared" si="1"/>
        <v>-2743</v>
      </c>
      <c r="I11" s="30">
        <f t="shared" si="1"/>
        <v>-2189</v>
      </c>
      <c r="J11" s="30">
        <f t="shared" si="1"/>
        <v>-2976</v>
      </c>
      <c r="K11" s="30">
        <f t="shared" si="1"/>
        <v>-1230</v>
      </c>
      <c r="L11" s="30">
        <f t="shared" si="1"/>
        <v>-3097</v>
      </c>
      <c r="M11" s="30">
        <f t="shared" si="1"/>
        <v>-3097</v>
      </c>
      <c r="N11" s="31">
        <f t="shared" si="1"/>
        <v>-3097</v>
      </c>
    </row>
    <row r="12" spans="1:14" ht="19.95" customHeight="1" x14ac:dyDescent="0.3"/>
    <row r="13" spans="1:14" ht="19.95" customHeight="1" x14ac:dyDescent="0.3">
      <c r="B13" s="32" t="s">
        <v>531</v>
      </c>
    </row>
    <row r="14" spans="1:14" ht="19.95" customHeight="1" x14ac:dyDescent="0.3">
      <c r="B14" s="27" t="s">
        <v>514</v>
      </c>
      <c r="C14" s="25" t="s">
        <v>518</v>
      </c>
      <c r="D14" s="25" t="s">
        <v>519</v>
      </c>
      <c r="E14" s="25" t="s">
        <v>520</v>
      </c>
      <c r="F14" s="25" t="s">
        <v>521</v>
      </c>
      <c r="G14" s="25" t="s">
        <v>522</v>
      </c>
      <c r="H14" s="25" t="s">
        <v>523</v>
      </c>
      <c r="I14" s="25" t="s">
        <v>524</v>
      </c>
      <c r="J14" s="25" t="s">
        <v>525</v>
      </c>
      <c r="K14" s="25" t="s">
        <v>526</v>
      </c>
      <c r="L14" s="25" t="s">
        <v>527</v>
      </c>
      <c r="M14" s="25" t="s">
        <v>528</v>
      </c>
      <c r="N14" s="26" t="s">
        <v>529</v>
      </c>
    </row>
    <row r="15" spans="1:14" ht="19.95" customHeight="1" x14ac:dyDescent="0.3">
      <c r="B15" s="33" t="s">
        <v>530</v>
      </c>
      <c r="C15" s="28">
        <f>SUMIFS(TbRegistroEntradas[Valor],TbRegistroEntradas[Ano Competência],"&lt;"&amp;C3,TbRegistroEntradas[Ano Competência],"&lt;&gt;0")-SUMIFS(TbRegistroSaídas[Valor],TbRegistroSaídas[Ano Competência],"&lt;"&amp;C3,TbRegistroSaídas[Ano Competência],"&lt;&gt;0")</f>
        <v>42367</v>
      </c>
      <c r="D15" s="28">
        <f>C18</f>
        <v>34684</v>
      </c>
      <c r="E15" s="28">
        <f t="shared" ref="E15:N15" si="2">D18</f>
        <v>40111</v>
      </c>
      <c r="F15" s="28">
        <f t="shared" si="2"/>
        <v>27220</v>
      </c>
      <c r="G15" s="28">
        <f t="shared" si="2"/>
        <v>23048</v>
      </c>
      <c r="H15" s="28">
        <f t="shared" si="2"/>
        <v>8340</v>
      </c>
      <c r="I15" s="28">
        <f t="shared" si="2"/>
        <v>3236</v>
      </c>
      <c r="J15" s="28">
        <f t="shared" si="2"/>
        <v>3236</v>
      </c>
      <c r="K15" s="28">
        <f t="shared" si="2"/>
        <v>3236</v>
      </c>
      <c r="L15" s="28">
        <f t="shared" si="2"/>
        <v>3236</v>
      </c>
      <c r="M15" s="28">
        <f t="shared" si="2"/>
        <v>3236</v>
      </c>
      <c r="N15" s="44">
        <f t="shared" si="2"/>
        <v>3236</v>
      </c>
    </row>
    <row r="16" spans="1:14" ht="19.95" customHeight="1" x14ac:dyDescent="0.3">
      <c r="B16" s="33" t="s">
        <v>515</v>
      </c>
      <c r="C16" s="28">
        <f>SUMIFS(TbRegistroEntradas[Valor],TbRegistroEntradas[Mês Competência],C5,TbRegistroEntradas[Ano Competência],$C$3)</f>
        <v>22897</v>
      </c>
      <c r="D16" s="28">
        <f>SUMIFS(TbRegistroEntradas[Valor],TbRegistroEntradas[Mês Competência],D5,TbRegistroEntradas[Ano Competência],$C$3)</f>
        <v>31755</v>
      </c>
      <c r="E16" s="28">
        <f>SUMIFS(TbRegistroEntradas[Valor],TbRegistroEntradas[Mês Competência],E5,TbRegistroEntradas[Ano Competência],$C$3)</f>
        <v>18601</v>
      </c>
      <c r="F16" s="28">
        <f>SUMIFS(TbRegistroEntradas[Valor],TbRegistroEntradas[Mês Competência],F5,TbRegistroEntradas[Ano Competência],$C$3)</f>
        <v>22939</v>
      </c>
      <c r="G16" s="28">
        <f>SUMIFS(TbRegistroEntradas[Valor],TbRegistroEntradas[Mês Competência],G5,TbRegistroEntradas[Ano Competência],$C$3)</f>
        <v>22602</v>
      </c>
      <c r="H16" s="28">
        <f>SUMIFS(TbRegistroEntradas[Valor],TbRegistroEntradas[Mês Competência],H5,TbRegistroEntradas[Ano Competência],$C$3)</f>
        <v>11865</v>
      </c>
      <c r="I16" s="28">
        <f>SUMIFS(TbRegistroEntradas[Valor],TbRegistroEntradas[Mês Competência],I5,TbRegistroEntradas[Ano Competência],$C$3)</f>
        <v>0</v>
      </c>
      <c r="J16" s="28">
        <f>SUMIFS(TbRegistroEntradas[Valor],TbRegistroEntradas[Mês Competência],J5,TbRegistroEntradas[Ano Competência],$C$3)</f>
        <v>0</v>
      </c>
      <c r="K16" s="28">
        <f>SUMIFS(TbRegistroEntradas[Valor],TbRegistroEntradas[Mês Competência],K5,TbRegistroEntradas[Ano Competência],$C$3)</f>
        <v>0</v>
      </c>
      <c r="L16" s="28">
        <f>SUMIFS(TbRegistroEntradas[Valor],TbRegistroEntradas[Mês Competência],L5,TbRegistroEntradas[Ano Competência],$C$3)</f>
        <v>0</v>
      </c>
      <c r="M16" s="28">
        <f>SUMIFS(TbRegistroEntradas[Valor],TbRegistroEntradas[Mês Competência],M5,TbRegistroEntradas[Ano Competência],$C$3)</f>
        <v>0</v>
      </c>
      <c r="N16" s="29">
        <f>SUMIFS(TbRegistroEntradas[Valor],TbRegistroEntradas[Mês Competência],N5,TbRegistroEntradas[Ano Competência],$C$3)</f>
        <v>0</v>
      </c>
    </row>
    <row r="17" spans="2:14" ht="19.95" customHeight="1" x14ac:dyDescent="0.3">
      <c r="B17" s="33" t="s">
        <v>516</v>
      </c>
      <c r="C17" s="28">
        <f>SUMIFS(TbRegistroSaídas[Valor],TbRegistroSaídas[Mês Competência],C5,TbRegistroSaídas[Ano Competência],$C$3)</f>
        <v>30580</v>
      </c>
      <c r="D17" s="28">
        <f>SUMIFS(TbRegistroSaídas[Valor],TbRegistroSaídas[Mês Competência],D5,TbRegistroSaídas[Ano Competência],$C$3)</f>
        <v>26328</v>
      </c>
      <c r="E17" s="28">
        <f>SUMIFS(TbRegistroSaídas[Valor],TbRegistroSaídas[Mês Competência],E5,TbRegistroSaídas[Ano Competência],$C$3)</f>
        <v>31492</v>
      </c>
      <c r="F17" s="28">
        <f>SUMIFS(TbRegistroSaídas[Valor],TbRegistroSaídas[Mês Competência],F5,TbRegistroSaídas[Ano Competência],$C$3)</f>
        <v>27111</v>
      </c>
      <c r="G17" s="28">
        <f>SUMIFS(TbRegistroSaídas[Valor],TbRegistroSaídas[Mês Competência],G5,TbRegistroSaídas[Ano Competência],$C$3)</f>
        <v>37310</v>
      </c>
      <c r="H17" s="28">
        <f>SUMIFS(TbRegistroSaídas[Valor],TbRegistroSaídas[Mês Competência],H5,TbRegistroSaídas[Ano Competência],$C$3)</f>
        <v>16969</v>
      </c>
      <c r="I17" s="28">
        <f>SUMIFS(TbRegistroSaídas[Valor],TbRegistroSaídas[Mês Competência],I5,TbRegistroSaídas[Ano Competência],$C$3)</f>
        <v>0</v>
      </c>
      <c r="J17" s="28">
        <f>SUMIFS(TbRegistroSaídas[Valor],TbRegistroSaídas[Mês Competência],J5,TbRegistroSaídas[Ano Competência],$C$3)</f>
        <v>0</v>
      </c>
      <c r="K17" s="28">
        <f>SUMIFS(TbRegistroSaídas[Valor],TbRegistroSaídas[Mês Competência],K5,TbRegistroSaídas[Ano Competência],$C$3)</f>
        <v>0</v>
      </c>
      <c r="L17" s="28">
        <f>SUMIFS(TbRegistroSaídas[Valor],TbRegistroSaídas[Mês Competência],L5,TbRegistroSaídas[Ano Competência],$C$3)</f>
        <v>0</v>
      </c>
      <c r="M17" s="28">
        <f>SUMIFS(TbRegistroSaídas[Valor],TbRegistroSaídas[Mês Competência],M5,TbRegistroSaídas[Ano Competência],$C$3)</f>
        <v>0</v>
      </c>
      <c r="N17" s="29">
        <f>SUMIFS(TbRegistroSaídas[Valor],TbRegistroSaídas[Mês Competência],N5,TbRegistroSaídas[Ano Competência],$C$3)</f>
        <v>0</v>
      </c>
    </row>
    <row r="18" spans="2:14" ht="19.95" customHeight="1" x14ac:dyDescent="0.3">
      <c r="B18" s="34" t="s">
        <v>517</v>
      </c>
      <c r="C18" s="30">
        <f>C15+C16-C17</f>
        <v>34684</v>
      </c>
      <c r="D18" s="30">
        <f t="shared" ref="D18:N18" si="3">D15+D16-D17</f>
        <v>40111</v>
      </c>
      <c r="E18" s="30">
        <f t="shared" si="3"/>
        <v>27220</v>
      </c>
      <c r="F18" s="30">
        <f t="shared" si="3"/>
        <v>23048</v>
      </c>
      <c r="G18" s="30">
        <f t="shared" si="3"/>
        <v>8340</v>
      </c>
      <c r="H18" s="30">
        <f t="shared" si="3"/>
        <v>3236</v>
      </c>
      <c r="I18" s="30">
        <f t="shared" si="3"/>
        <v>3236</v>
      </c>
      <c r="J18" s="30">
        <f t="shared" si="3"/>
        <v>3236</v>
      </c>
      <c r="K18" s="30">
        <f t="shared" si="3"/>
        <v>3236</v>
      </c>
      <c r="L18" s="30">
        <f t="shared" si="3"/>
        <v>3236</v>
      </c>
      <c r="M18" s="30">
        <f t="shared" si="3"/>
        <v>3236</v>
      </c>
      <c r="N18" s="31">
        <f t="shared" si="3"/>
        <v>3236</v>
      </c>
    </row>
    <row r="19" spans="2:14" ht="19.95" customHeight="1" x14ac:dyDescent="0.3"/>
    <row r="20" spans="2:14" ht="19.95" customHeight="1" x14ac:dyDescent="0.3">
      <c r="B20" s="32" t="s">
        <v>532</v>
      </c>
    </row>
    <row r="21" spans="2:14" ht="19.95" customHeight="1" x14ac:dyDescent="0.3">
      <c r="B21" s="27" t="s">
        <v>514</v>
      </c>
      <c r="C21" s="25" t="s">
        <v>518</v>
      </c>
      <c r="D21" s="25" t="s">
        <v>519</v>
      </c>
      <c r="E21" s="25" t="s">
        <v>520</v>
      </c>
      <c r="F21" s="25" t="s">
        <v>521</v>
      </c>
      <c r="G21" s="25" t="s">
        <v>522</v>
      </c>
      <c r="H21" s="25" t="s">
        <v>523</v>
      </c>
      <c r="I21" s="25" t="s">
        <v>524</v>
      </c>
      <c r="J21" s="25" t="s">
        <v>525</v>
      </c>
      <c r="K21" s="25" t="s">
        <v>526</v>
      </c>
      <c r="L21" s="25" t="s">
        <v>527</v>
      </c>
      <c r="M21" s="25" t="s">
        <v>528</v>
      </c>
      <c r="N21" s="26" t="s">
        <v>529</v>
      </c>
    </row>
    <row r="22" spans="2:14" ht="19.95" customHeight="1" x14ac:dyDescent="0.3">
      <c r="B22" s="33" t="s">
        <v>533</v>
      </c>
      <c r="C22" s="28">
        <f>C16</f>
        <v>22897</v>
      </c>
      <c r="D22" s="28">
        <f t="shared" ref="D22:N22" si="4">D16</f>
        <v>31755</v>
      </c>
      <c r="E22" s="28">
        <f t="shared" si="4"/>
        <v>18601</v>
      </c>
      <c r="F22" s="28">
        <f t="shared" si="4"/>
        <v>22939</v>
      </c>
      <c r="G22" s="28">
        <f t="shared" si="4"/>
        <v>22602</v>
      </c>
      <c r="H22" s="28">
        <f t="shared" si="4"/>
        <v>11865</v>
      </c>
      <c r="I22" s="28">
        <f t="shared" si="4"/>
        <v>0</v>
      </c>
      <c r="J22" s="28">
        <f t="shared" si="4"/>
        <v>0</v>
      </c>
      <c r="K22" s="28">
        <f t="shared" si="4"/>
        <v>0</v>
      </c>
      <c r="L22" s="28">
        <f t="shared" si="4"/>
        <v>0</v>
      </c>
      <c r="M22" s="28">
        <f t="shared" si="4"/>
        <v>0</v>
      </c>
      <c r="N22" s="44">
        <f t="shared" si="4"/>
        <v>0</v>
      </c>
    </row>
    <row r="23" spans="2:14" ht="19.95" customHeight="1" x14ac:dyDescent="0.3">
      <c r="B23" s="33" t="s">
        <v>534</v>
      </c>
      <c r="C23" s="28">
        <f>C17</f>
        <v>30580</v>
      </c>
      <c r="D23" s="28">
        <f t="shared" ref="D23:N23" si="5">D17</f>
        <v>26328</v>
      </c>
      <c r="E23" s="28">
        <f t="shared" si="5"/>
        <v>31492</v>
      </c>
      <c r="F23" s="28">
        <f t="shared" si="5"/>
        <v>27111</v>
      </c>
      <c r="G23" s="28">
        <f t="shared" si="5"/>
        <v>37310</v>
      </c>
      <c r="H23" s="28">
        <f t="shared" si="5"/>
        <v>16969</v>
      </c>
      <c r="I23" s="28">
        <f t="shared" si="5"/>
        <v>0</v>
      </c>
      <c r="J23" s="28">
        <f t="shared" si="5"/>
        <v>0</v>
      </c>
      <c r="K23" s="28">
        <f t="shared" si="5"/>
        <v>0</v>
      </c>
      <c r="L23" s="28">
        <f t="shared" si="5"/>
        <v>0</v>
      </c>
      <c r="M23" s="28">
        <f t="shared" si="5"/>
        <v>0</v>
      </c>
      <c r="N23" s="29">
        <f t="shared" si="5"/>
        <v>0</v>
      </c>
    </row>
    <row r="24" spans="2:14" ht="19.95" customHeight="1" x14ac:dyDescent="0.3">
      <c r="B24" s="35" t="s">
        <v>535</v>
      </c>
      <c r="C24" s="45">
        <f>IF(C22-C23&gt;0,C22-C23,0)</f>
        <v>0</v>
      </c>
      <c r="D24" s="45">
        <f t="shared" ref="D24:N24" si="6">IF(D22-D23&gt;0,D22-D23,0)</f>
        <v>5427</v>
      </c>
      <c r="E24" s="45">
        <f t="shared" si="6"/>
        <v>0</v>
      </c>
      <c r="F24" s="45">
        <f t="shared" si="6"/>
        <v>0</v>
      </c>
      <c r="G24" s="45">
        <f t="shared" si="6"/>
        <v>0</v>
      </c>
      <c r="H24" s="45">
        <f t="shared" si="6"/>
        <v>0</v>
      </c>
      <c r="I24" s="45">
        <f t="shared" si="6"/>
        <v>0</v>
      </c>
      <c r="J24" s="45">
        <f t="shared" si="6"/>
        <v>0</v>
      </c>
      <c r="K24" s="45">
        <f t="shared" si="6"/>
        <v>0</v>
      </c>
      <c r="L24" s="45">
        <f t="shared" si="6"/>
        <v>0</v>
      </c>
      <c r="M24" s="45">
        <f t="shared" si="6"/>
        <v>0</v>
      </c>
      <c r="N24" s="47">
        <f t="shared" si="6"/>
        <v>0</v>
      </c>
    </row>
    <row r="25" spans="2:14" ht="19.95" customHeight="1" x14ac:dyDescent="0.3">
      <c r="B25" s="36" t="s">
        <v>536</v>
      </c>
      <c r="C25" s="46">
        <f>IF(C22-C23&lt;0,C22-C23,0)</f>
        <v>-7683</v>
      </c>
      <c r="D25" s="46">
        <f t="shared" ref="D25:N25" si="7">IF(D22-D23&lt;0,D22-D23,0)</f>
        <v>0</v>
      </c>
      <c r="E25" s="46">
        <f t="shared" si="7"/>
        <v>-12891</v>
      </c>
      <c r="F25" s="46">
        <f t="shared" si="7"/>
        <v>-4172</v>
      </c>
      <c r="G25" s="46">
        <f t="shared" si="7"/>
        <v>-14708</v>
      </c>
      <c r="H25" s="46">
        <f t="shared" si="7"/>
        <v>-5104</v>
      </c>
      <c r="I25" s="46">
        <f t="shared" si="7"/>
        <v>0</v>
      </c>
      <c r="J25" s="46">
        <f t="shared" si="7"/>
        <v>0</v>
      </c>
      <c r="K25" s="46">
        <f t="shared" si="7"/>
        <v>0</v>
      </c>
      <c r="L25" s="46">
        <f t="shared" si="7"/>
        <v>0</v>
      </c>
      <c r="M25" s="46">
        <f t="shared" si="7"/>
        <v>0</v>
      </c>
      <c r="N25" s="48">
        <f t="shared" si="7"/>
        <v>0</v>
      </c>
    </row>
    <row r="26" spans="2:14" ht="19.95" customHeight="1" x14ac:dyDescent="0.3">
      <c r="B26" s="36" t="s">
        <v>537</v>
      </c>
      <c r="C26" s="37">
        <f>C22-C23</f>
        <v>-7683</v>
      </c>
      <c r="D26" s="37">
        <f>D22-D23+C26</f>
        <v>-2256</v>
      </c>
      <c r="E26" s="37">
        <f t="shared" ref="E26:N26" si="8">E22-E23+D26</f>
        <v>-15147</v>
      </c>
      <c r="F26" s="37">
        <f t="shared" si="8"/>
        <v>-19319</v>
      </c>
      <c r="G26" s="37">
        <f t="shared" si="8"/>
        <v>-34027</v>
      </c>
      <c r="H26" s="37">
        <f t="shared" si="8"/>
        <v>-39131</v>
      </c>
      <c r="I26" s="37">
        <f t="shared" si="8"/>
        <v>-39131</v>
      </c>
      <c r="J26" s="37">
        <f t="shared" si="8"/>
        <v>-39131</v>
      </c>
      <c r="K26" s="37">
        <f t="shared" si="8"/>
        <v>-39131</v>
      </c>
      <c r="L26" s="37">
        <f t="shared" si="8"/>
        <v>-39131</v>
      </c>
      <c r="M26" s="37">
        <f t="shared" si="8"/>
        <v>-39131</v>
      </c>
      <c r="N26" s="38">
        <f t="shared" si="8"/>
        <v>-39131</v>
      </c>
    </row>
    <row r="27" spans="2:14" ht="19.95" customHeight="1" x14ac:dyDescent="0.3">
      <c r="K27" t="s">
        <v>6</v>
      </c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</sheetData>
  <mergeCells count="1">
    <mergeCell ref="J1:N1"/>
  </mergeCells>
  <phoneticPr fontId="9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18</vt:i4>
      </vt:variant>
      <vt:variant>
        <vt:lpstr>Intervalos Nomeados</vt:lpstr>
      </vt:variant>
      <vt:variant>
        <vt:i4>6</vt:i4>
      </vt:variant>
    </vt:vector>
  </HeadingPairs>
  <TitlesOfParts>
    <vt:vector size="24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RegistroSaídas</vt:lpstr>
      <vt:lpstr>FluxoCaixaConsolidado</vt:lpstr>
      <vt:lpstr>DetalhaReceita</vt:lpstr>
      <vt:lpstr>DetalhaDespesa</vt:lpstr>
      <vt:lpstr>ContasPagar</vt:lpstr>
      <vt:lpstr>ContasReceber</vt:lpstr>
      <vt:lpstr>ContasReceberVencidas</vt:lpstr>
      <vt:lpstr>DashBoardFinanceiroAtual</vt:lpstr>
      <vt:lpstr>DashBoardFinanceiroAtualD</vt:lpstr>
      <vt:lpstr>DashBoardFinanceiroAnual</vt:lpstr>
      <vt:lpstr>DashBoardFinanceiroAnualD</vt:lpstr>
      <vt:lpstr>PCEntradasN1_Nível_1</vt:lpstr>
      <vt:lpstr>PCEntradasN2_Nível_1</vt:lpstr>
      <vt:lpstr>PCEntradasN2_Nível_2</vt:lpstr>
      <vt:lpstr>PCSaídasN1_Nível_1</vt:lpstr>
      <vt:lpstr>PCSaídasN2_Nível_1</vt:lpstr>
      <vt:lpstr>PCSaídasN2_Nível_2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FELIPE GURGEL ARAÚJO</cp:lastModifiedBy>
  <dcterms:created xsi:type="dcterms:W3CDTF">2019-06-01T17:21:50Z</dcterms:created>
  <dcterms:modified xsi:type="dcterms:W3CDTF">2024-11-14T01:24:37Z</dcterms:modified>
</cp:coreProperties>
</file>