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C83C2E5C-9079-48D3-853D-7DF41FF02D78}" xr6:coauthVersionLast="47" xr6:coauthVersionMax="47" xr10:uidLastSave="{00000000-0000-0000-0000-000000000000}"/>
  <bookViews>
    <workbookView xWindow="28680" yWindow="-120" windowWidth="29040" windowHeight="15720" tabRatio="780" firstSheet="2" activeTab="6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P&amp;L'!$A$11:$AD$44</definedName>
    <definedName name="_xlnm._FilterDatabase" localSheetId="8" hidden="1">Options!$A$3:$BD$29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P&amp;L'!$B$2:$AC$44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 iterate="1" iterateCount="1000" calcOnSave="0"/>
  <pivotCaches>
    <pivotCache cacheId="51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2" l="1"/>
  <c r="K5" i="2" s="1"/>
  <c r="J6" i="2"/>
  <c r="K6" i="2" s="1"/>
  <c r="J7" i="2"/>
  <c r="K7" i="2"/>
  <c r="J8" i="2"/>
  <c r="K8" i="2"/>
  <c r="J9" i="2"/>
  <c r="K9" i="2"/>
  <c r="J10" i="2"/>
  <c r="K10" i="2" s="1"/>
  <c r="J11" i="2"/>
  <c r="K11" i="2"/>
  <c r="J12" i="2"/>
  <c r="K12" i="2" s="1"/>
  <c r="J13" i="2"/>
  <c r="K13" i="2" s="1"/>
  <c r="J14" i="2"/>
  <c r="K14" i="2"/>
  <c r="J15" i="2"/>
  <c r="K15" i="2" s="1"/>
  <c r="J16" i="2"/>
  <c r="K16" i="2" s="1"/>
  <c r="J17" i="2"/>
  <c r="K17" i="2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/>
  <c r="J25" i="2"/>
  <c r="K25" i="2" s="1"/>
  <c r="J26" i="2"/>
  <c r="K26" i="2" s="1"/>
  <c r="J27" i="2"/>
  <c r="K27" i="2"/>
  <c r="J28" i="2"/>
  <c r="K28" i="2" s="1"/>
  <c r="T22" i="2" a="1"/>
  <c r="T22" i="2" s="1"/>
  <c r="AA13" i="2" a="1"/>
  <c r="AA13" i="2" s="1"/>
  <c r="AA24" i="2" a="1"/>
  <c r="AA24" i="2" s="1"/>
  <c r="AD22" i="2" a="1"/>
  <c r="AD22" i="2" s="1"/>
  <c r="T27" i="2" a="1"/>
  <c r="T27" i="2" s="1"/>
  <c r="C25" i="2" a="1"/>
  <c r="C25" i="2" s="1"/>
  <c r="AR19" i="2" a="1"/>
  <c r="AR19" i="2" s="1"/>
  <c r="AD7" i="2" a="1"/>
  <c r="AD7" i="2" s="1"/>
  <c r="AA7" i="2" a="1"/>
  <c r="AA7" i="2" s="1"/>
  <c r="D24" i="2" a="1"/>
  <c r="D24" i="2" s="1"/>
  <c r="AC24" i="2" s="1" a="1"/>
  <c r="AC24" i="2" s="1"/>
  <c r="AR24" i="2" a="1"/>
  <c r="AR24" i="2" s="1"/>
  <c r="AA16" i="2" a="1"/>
  <c r="AA16" i="2" s="1"/>
  <c r="D25" i="2" a="1"/>
  <c r="D25" i="2" s="1"/>
  <c r="AC25" i="2" s="1" a="1"/>
  <c r="AC25" i="2" s="1"/>
  <c r="AR27" i="2" a="1"/>
  <c r="AR27" i="2" s="1"/>
  <c r="F13" i="2" a="1"/>
  <c r="F13" i="2" s="1"/>
  <c r="D23" i="2" a="1"/>
  <c r="D23" i="2"/>
  <c r="AC23" i="2" s="1" a="1"/>
  <c r="AC23" i="2" s="1"/>
  <c r="C23" i="2" a="1"/>
  <c r="C23" i="2" s="1"/>
  <c r="E24" i="2" a="1"/>
  <c r="E24" i="2" s="1"/>
  <c r="E13" i="2" a="1"/>
  <c r="E13" i="2" s="1"/>
  <c r="D16" i="2" a="1"/>
  <c r="D16" i="2" s="1"/>
  <c r="F19" i="2" a="1"/>
  <c r="F19" i="2" s="1"/>
  <c r="E22" i="2" a="1"/>
  <c r="E22" i="2" s="1"/>
  <c r="T24" i="2" a="1"/>
  <c r="T24" i="2" s="1"/>
  <c r="F23" i="2" a="1"/>
  <c r="F23" i="2" s="1"/>
  <c r="AD25" i="2" a="1"/>
  <c r="AD25" i="2" s="1"/>
  <c r="AR17" i="2" a="1"/>
  <c r="AR17" i="2" s="1"/>
  <c r="AD13" i="2" a="1"/>
  <c r="AD13" i="2" s="1"/>
  <c r="AD24" i="2" a="1"/>
  <c r="AD24" i="2" s="1"/>
  <c r="E17" i="2" a="1"/>
  <c r="E17" i="2" s="1"/>
  <c r="E23" i="2" a="1"/>
  <c r="E23" i="2" s="1"/>
  <c r="F16" i="2" a="1"/>
  <c r="F16" i="2" s="1"/>
  <c r="C17" i="2" a="1"/>
  <c r="C17" i="2" s="1"/>
  <c r="AD17" i="2" a="1"/>
  <c r="AD17" i="2" s="1"/>
  <c r="AD27" i="2" a="1"/>
  <c r="AD27" i="2" s="1"/>
  <c r="AR13" i="2" a="1"/>
  <c r="AR13" i="2" s="1"/>
  <c r="E16" i="2" a="1"/>
  <c r="E16" i="2" s="1"/>
  <c r="C7" i="2" a="1"/>
  <c r="C7" i="2" s="1"/>
  <c r="T25" i="2" a="1"/>
  <c r="T25" i="2" s="1"/>
  <c r="AA19" i="2" a="1"/>
  <c r="AA19" i="2" s="1"/>
  <c r="F22" i="2" a="1"/>
  <c r="F22" i="2" s="1"/>
  <c r="AD23" i="2" a="1"/>
  <c r="AD23" i="2" s="1"/>
  <c r="AR22" i="2" a="1"/>
  <c r="AR22" i="2" s="1"/>
  <c r="F17" i="2" a="1"/>
  <c r="F17" i="2" s="1"/>
  <c r="C27" i="2" a="1"/>
  <c r="C27" i="2" s="1"/>
  <c r="AR23" i="2" a="1"/>
  <c r="AR23" i="2" s="1"/>
  <c r="E27" i="2" a="1"/>
  <c r="E27" i="2" s="1"/>
  <c r="F7" i="2" a="1"/>
  <c r="F7" i="2" s="1"/>
  <c r="T7" i="2" a="1"/>
  <c r="T7" i="2" s="1"/>
  <c r="E25" i="2" a="1"/>
  <c r="E25" i="2" s="1"/>
  <c r="AA17" i="2" a="1"/>
  <c r="AA17" i="2" s="1"/>
  <c r="AD19" i="2" a="1"/>
  <c r="AD19" i="2" s="1"/>
  <c r="F24" i="2" a="1"/>
  <c r="F24" i="2" s="1"/>
  <c r="C22" i="2" a="1"/>
  <c r="C22" i="2" s="1"/>
  <c r="AA27" i="2" a="1"/>
  <c r="AA27" i="2" s="1"/>
  <c r="T23" i="2" a="1"/>
  <c r="T23" i="2" s="1"/>
  <c r="AA25" i="2" a="1"/>
  <c r="AA25" i="2" s="1"/>
  <c r="AD16" i="2" a="1"/>
  <c r="AD16" i="2" s="1"/>
  <c r="AA22" i="2" a="1"/>
  <c r="AA22" i="2" s="1"/>
  <c r="D13" i="2" a="1"/>
  <c r="D13" i="2" s="1"/>
  <c r="AC13" i="2" s="1" a="1"/>
  <c r="AC13" i="2" s="1"/>
  <c r="AR16" i="2" a="1"/>
  <c r="AR16" i="2" s="1"/>
  <c r="E19" i="2" a="1"/>
  <c r="E19" i="2" s="1"/>
  <c r="D7" i="2" a="1"/>
  <c r="D7" i="2" s="1"/>
  <c r="AR7" i="2" a="1"/>
  <c r="AR7" i="2" s="1"/>
  <c r="T19" i="2" a="1"/>
  <c r="T19" i="2" s="1"/>
  <c r="D19" i="2" a="1"/>
  <c r="D19" i="2" s="1"/>
  <c r="C16" i="2" a="1"/>
  <c r="C16" i="2" s="1"/>
  <c r="AR25" i="2" a="1"/>
  <c r="AR25" i="2" s="1"/>
  <c r="F27" i="2" a="1"/>
  <c r="F27" i="2" s="1"/>
  <c r="T17" i="2" a="1"/>
  <c r="T17" i="2" s="1"/>
  <c r="E7" i="2" a="1"/>
  <c r="E7" i="2" s="1"/>
  <c r="C13" i="2" a="1"/>
  <c r="C13" i="2" s="1"/>
  <c r="F25" i="2" a="1"/>
  <c r="F25" i="2" s="1"/>
  <c r="T13" i="2" a="1"/>
  <c r="T13" i="2" s="1"/>
  <c r="D27" i="2" a="1"/>
  <c r="D27" i="2" s="1"/>
  <c r="C24" i="2" a="1"/>
  <c r="C24" i="2" s="1"/>
  <c r="D17" i="2" a="1"/>
  <c r="D17" i="2" s="1"/>
  <c r="D22" i="2" a="1"/>
  <c r="D22" i="2" s="1"/>
  <c r="T16" i="2" a="1"/>
  <c r="T16" i="2" s="1"/>
  <c r="C19" i="2" a="1"/>
  <c r="C19" i="2" s="1"/>
  <c r="AA23" i="2" a="1"/>
  <c r="AA23" i="2" s="1"/>
  <c r="E15" i="2" a="1"/>
  <c r="E15" i="2" s="1"/>
  <c r="D26" i="2" a="1"/>
  <c r="D26" i="2" s="1"/>
  <c r="AC26" i="2" s="1" a="1"/>
  <c r="AC26" i="2" s="1"/>
  <c r="T26" i="2" a="1"/>
  <c r="T26" i="2" s="1"/>
  <c r="AR10" i="2" a="1"/>
  <c r="AR10" i="2" s="1"/>
  <c r="AR12" i="2" a="1"/>
  <c r="AR12" i="2" s="1"/>
  <c r="AR9" i="2" a="1"/>
  <c r="AR9" i="2" s="1"/>
  <c r="T20" i="2" a="1"/>
  <c r="T20" i="2" s="1"/>
  <c r="AA15" i="2" a="1"/>
  <c r="AA15" i="2" s="1"/>
  <c r="AA10" i="2" a="1"/>
  <c r="AA10" i="2" s="1"/>
  <c r="C6" i="2" a="1"/>
  <c r="C6" i="2" s="1"/>
  <c r="C12" i="2" a="1"/>
  <c r="C12" i="2" s="1"/>
  <c r="AA18" i="2" a="1"/>
  <c r="AA18" i="2" s="1"/>
  <c r="D12" i="2" a="1"/>
  <c r="D12" i="2" s="1"/>
  <c r="E9" i="2" a="1"/>
  <c r="E9" i="2" s="1"/>
  <c r="T18" i="2" a="1"/>
  <c r="T18" i="2" s="1"/>
  <c r="AR20" i="2" a="1"/>
  <c r="AR20" i="2" s="1"/>
  <c r="F8" i="2" a="1"/>
  <c r="F8" i="2" s="1"/>
  <c r="D20" i="2" a="1"/>
  <c r="D20" i="2" s="1"/>
  <c r="F20" i="2" a="1"/>
  <c r="F20" i="2" s="1"/>
  <c r="D18" i="2" a="1"/>
  <c r="D18" i="2" s="1"/>
  <c r="AC18" i="2" s="1" a="1"/>
  <c r="AC18" i="2" s="1"/>
  <c r="AR18" i="2" a="1"/>
  <c r="AR18" i="2" s="1"/>
  <c r="F10" i="2" a="1"/>
  <c r="F10" i="2" s="1"/>
  <c r="AD28" i="2" a="1"/>
  <c r="AD28" i="2" s="1"/>
  <c r="AA6" i="2" a="1"/>
  <c r="AA6" i="2" s="1"/>
  <c r="E20" i="2" a="1"/>
  <c r="E20" i="2" s="1"/>
  <c r="AR28" i="2" a="1"/>
  <c r="AR28" i="2" s="1"/>
  <c r="D9" i="2" a="1"/>
  <c r="D9" i="2" s="1"/>
  <c r="F9" i="2" a="1"/>
  <c r="F9" i="2" s="1"/>
  <c r="E6" i="2" a="1"/>
  <c r="E6" i="2" s="1"/>
  <c r="C28" i="2" a="1"/>
  <c r="C28" i="2" s="1"/>
  <c r="F6" i="2" a="1"/>
  <c r="F6" i="2" s="1"/>
  <c r="E8" i="2" a="1"/>
  <c r="E8" i="2" s="1"/>
  <c r="T8" i="2" a="1"/>
  <c r="T8" i="2" s="1"/>
  <c r="AD26" i="2" a="1"/>
  <c r="AD26" i="2" s="1"/>
  <c r="C10" i="2" a="1"/>
  <c r="C10" i="2" s="1"/>
  <c r="E28" i="2" a="1"/>
  <c r="E28" i="2" s="1"/>
  <c r="AA12" i="2" a="1"/>
  <c r="AA12" i="2" s="1"/>
  <c r="AD15" i="2" a="1"/>
  <c r="AD15" i="2" s="1"/>
  <c r="E18" i="2" a="1"/>
  <c r="E18" i="2" s="1"/>
  <c r="C26" i="2" a="1"/>
  <c r="C26" i="2" s="1"/>
  <c r="T10" i="2" a="1"/>
  <c r="T10" i="2" s="1"/>
  <c r="C20" i="2" a="1"/>
  <c r="C20" i="2" s="1"/>
  <c r="AD8" i="2" a="1"/>
  <c r="AD8" i="2" s="1"/>
  <c r="E12" i="2" a="1"/>
  <c r="E12" i="2" s="1"/>
  <c r="C15" i="2" a="1"/>
  <c r="C15" i="2" s="1"/>
  <c r="C18" i="2" a="1"/>
  <c r="C18" i="2" s="1"/>
  <c r="T15" i="2" a="1"/>
  <c r="T15" i="2" s="1"/>
  <c r="AA8" i="2" a="1"/>
  <c r="AA8" i="2" s="1"/>
  <c r="T6" i="2" a="1"/>
  <c r="T6" i="2" s="1"/>
  <c r="AR8" i="2" a="1"/>
  <c r="AR8" i="2" s="1"/>
  <c r="AD10" i="2" a="1"/>
  <c r="AD10" i="2" s="1"/>
  <c r="T9" i="2" a="1"/>
  <c r="T9" i="2" s="1"/>
  <c r="D28" i="2" a="1"/>
  <c r="D28" i="2" s="1"/>
  <c r="F18" i="2" a="1"/>
  <c r="F18" i="2" s="1"/>
  <c r="F26" i="2" a="1"/>
  <c r="F26" i="2" s="1"/>
  <c r="F28" i="2" a="1"/>
  <c r="F28" i="2" s="1"/>
  <c r="AA26" i="2" a="1"/>
  <c r="AA26" i="2" s="1"/>
  <c r="AD6" i="2" a="1"/>
  <c r="AD6" i="2" s="1"/>
  <c r="D8" i="2" a="1"/>
  <c r="D8" i="2" s="1"/>
  <c r="AA20" i="2" a="1"/>
  <c r="AA20" i="2" s="1"/>
  <c r="D15" i="2" a="1"/>
  <c r="D15" i="2" s="1"/>
  <c r="AC15" i="2" s="1" a="1"/>
  <c r="AC15" i="2" s="1"/>
  <c r="AD20" i="2" a="1"/>
  <c r="AD20" i="2" s="1"/>
  <c r="AR15" i="2" a="1"/>
  <c r="AR15" i="2" s="1"/>
  <c r="D10" i="2" a="1"/>
  <c r="D10" i="2" s="1"/>
  <c r="T12" i="2" a="1"/>
  <c r="T12" i="2" s="1"/>
  <c r="E10" i="2" a="1"/>
  <c r="E10" i="2" s="1"/>
  <c r="AR6" i="2" a="1"/>
  <c r="AR6" i="2" s="1"/>
  <c r="AA28" i="2" a="1"/>
  <c r="AA28" i="2" s="1"/>
  <c r="C8" i="2" a="1"/>
  <c r="C8" i="2" s="1"/>
  <c r="AD18" i="2" a="1"/>
  <c r="AD18" i="2" s="1"/>
  <c r="AR26" i="2" a="1"/>
  <c r="AR26" i="2" s="1"/>
  <c r="AA9" i="2" a="1"/>
  <c r="AA9" i="2" s="1"/>
  <c r="D6" i="2" a="1"/>
  <c r="D6" i="2" s="1"/>
  <c r="F12" i="2" a="1"/>
  <c r="F12" i="2" s="1"/>
  <c r="F15" i="2" a="1"/>
  <c r="F15" i="2" s="1"/>
  <c r="AD12" i="2" a="1"/>
  <c r="AD12" i="2" s="1"/>
  <c r="C9" i="2" a="1"/>
  <c r="C9" i="2" s="1"/>
  <c r="E26" i="2" a="1"/>
  <c r="E26" i="2" s="1"/>
  <c r="T28" i="2" a="1"/>
  <c r="T28" i="2" s="1"/>
  <c r="AD9" i="2" a="1"/>
  <c r="AD9" i="2" s="1"/>
  <c r="AR5" i="2" a="1"/>
  <c r="AR5" i="2" s="1"/>
  <c r="C11" i="2" a="1"/>
  <c r="C11" i="2" s="1"/>
  <c r="E21" i="2" a="1"/>
  <c r="E21" i="2" s="1"/>
  <c r="E5" i="2" a="1"/>
  <c r="E5" i="2" s="1"/>
  <c r="AR4" i="2" a="1"/>
  <c r="AR4" i="2" s="1"/>
  <c r="C21" i="2" a="1"/>
  <c r="C21" i="2" s="1"/>
  <c r="F4" i="2" a="1"/>
  <c r="F4" i="2" s="1"/>
  <c r="F11" i="2" a="1"/>
  <c r="F11" i="2" s="1"/>
  <c r="AR21" i="2" a="1"/>
  <c r="AR21" i="2" s="1"/>
  <c r="AR11" i="2" a="1"/>
  <c r="AR11" i="2" s="1"/>
  <c r="F5" i="2" a="1"/>
  <c r="F5" i="2" s="1"/>
  <c r="E11" i="2" a="1"/>
  <c r="E11" i="2" s="1"/>
  <c r="F21" i="2" a="1"/>
  <c r="F21" i="2" s="1"/>
  <c r="C4" i="2" a="1"/>
  <c r="C4" i="2" s="1"/>
  <c r="C5" i="2" a="1"/>
  <c r="C5" i="2" s="1"/>
  <c r="E4" i="2" a="1"/>
  <c r="E4" i="2" s="1"/>
  <c r="E14" i="2" a="1"/>
  <c r="E14" i="2" s="1"/>
  <c r="F14" i="2" a="1"/>
  <c r="F14" i="2" s="1"/>
  <c r="C14" i="2" a="1"/>
  <c r="C14" i="2" s="1"/>
  <c r="AR14" i="2" a="1"/>
  <c r="AR14" i="2" s="1"/>
  <c r="D14" i="2" a="1"/>
  <c r="D14" i="2" s="1"/>
  <c r="AC14" i="2" s="1" a="1"/>
  <c r="AC14" i="2" s="1"/>
  <c r="AA14" i="2" a="1"/>
  <c r="AA14" i="2" s="1"/>
  <c r="T14" i="2" a="1"/>
  <c r="T14" i="2" s="1"/>
  <c r="AD14" i="2" a="1"/>
  <c r="AD14" i="2" s="1"/>
  <c r="AN19" i="2" a="1"/>
  <c r="AN19" i="2" s="1"/>
  <c r="AF19" i="2" a="1"/>
  <c r="AF19" i="2" s="1"/>
  <c r="Q19" i="2" a="1"/>
  <c r="Q19" i="2" s="1"/>
  <c r="P19" i="2" a="1"/>
  <c r="P19" i="2" s="1"/>
  <c r="L19" i="2" a="1"/>
  <c r="L19" i="2" s="1"/>
  <c r="G19" i="2" a="1"/>
  <c r="G19" i="2" s="1"/>
  <c r="AN18" i="2" a="1"/>
  <c r="AN18" i="2" s="1"/>
  <c r="AF18" i="2" a="1"/>
  <c r="AF18" i="2" s="1"/>
  <c r="Q18" i="2" a="1"/>
  <c r="Q18" i="2" s="1"/>
  <c r="P18" i="2" a="1"/>
  <c r="P18" i="2" s="1"/>
  <c r="L18" i="2" a="1"/>
  <c r="L18" i="2" s="1"/>
  <c r="G18" i="2" a="1"/>
  <c r="G18" i="2" s="1"/>
  <c r="AN23" i="2" a="1"/>
  <c r="AN23" i="2" s="1"/>
  <c r="L23" i="2" a="1"/>
  <c r="L23" i="2" s="1"/>
  <c r="L25" i="2" a="1"/>
  <c r="L25" i="2" s="1"/>
  <c r="AN25" i="2" a="1"/>
  <c r="AN25" i="2" s="1"/>
  <c r="L11" i="2" a="1"/>
  <c r="L11" i="2" s="1"/>
  <c r="AN11" i="2" a="1"/>
  <c r="AN11" i="2" s="1"/>
  <c r="AN4" i="2" a="1"/>
  <c r="AN4" i="2" s="1"/>
  <c r="L4" i="2" a="1"/>
  <c r="L4" i="2" s="1"/>
  <c r="AN5" i="2" a="1"/>
  <c r="AN5" i="2" s="1"/>
  <c r="L5" i="2" a="1"/>
  <c r="L5" i="2" s="1"/>
  <c r="AN22" i="2" a="1"/>
  <c r="AN22" i="2" s="1"/>
  <c r="L21" i="2" a="1"/>
  <c r="L21" i="2" s="1"/>
  <c r="L22" i="2" a="1"/>
  <c r="L22" i="2" s="1"/>
  <c r="AN21" i="2" a="1"/>
  <c r="AN21" i="2" s="1"/>
  <c r="P10" i="2" a="1"/>
  <c r="P10" i="2" s="1"/>
  <c r="AF10" i="2" a="1"/>
  <c r="AF10" i="2" s="1"/>
  <c r="P9" i="2" a="1"/>
  <c r="P9" i="2" s="1"/>
  <c r="AN9" i="2" a="1"/>
  <c r="AN9" i="2" s="1"/>
  <c r="Q9" i="2" a="1"/>
  <c r="Q9" i="2" s="1"/>
  <c r="Q10" i="2" a="1"/>
  <c r="Q10" i="2" s="1"/>
  <c r="AN10" i="2" a="1"/>
  <c r="AN10" i="2" s="1"/>
  <c r="L9" i="2" a="1"/>
  <c r="L9" i="2" s="1"/>
  <c r="L10" i="2" a="1"/>
  <c r="L10" i="2" s="1"/>
  <c r="G9" i="2" a="1"/>
  <c r="G9" i="2" s="1"/>
  <c r="G10" i="2" a="1"/>
  <c r="G10" i="2" s="1"/>
  <c r="AF9" i="2" a="1"/>
  <c r="AF9" i="2" s="1"/>
  <c r="AN13" i="2" a="1"/>
  <c r="AN13" i="2" s="1"/>
  <c r="AN14" i="2" a="1"/>
  <c r="AN14" i="2" s="1"/>
  <c r="L13" i="2" a="1"/>
  <c r="L13" i="2" s="1"/>
  <c r="L14" i="2" a="1"/>
  <c r="L14" i="2" s="1"/>
  <c r="L7" i="2" a="1"/>
  <c r="L7" i="2" s="1"/>
  <c r="Q7" i="2" a="1"/>
  <c r="Q7" i="2" s="1"/>
  <c r="G7" i="2" a="1"/>
  <c r="G7" i="2" s="1"/>
  <c r="AF7" i="2" a="1"/>
  <c r="AF7" i="2" s="1"/>
  <c r="AN7" i="2" a="1"/>
  <c r="AN7" i="2" s="1"/>
  <c r="P7" i="2" a="1"/>
  <c r="P7" i="2" s="1"/>
  <c r="AN28" i="2" a="1"/>
  <c r="AN28" i="2" s="1"/>
  <c r="AF28" i="2" a="1"/>
  <c r="AF28" i="2" s="1"/>
  <c r="Q28" i="2" a="1"/>
  <c r="Q28" i="2" s="1"/>
  <c r="P28" i="2" a="1"/>
  <c r="P28" i="2" s="1"/>
  <c r="L28" i="2" a="1"/>
  <c r="L28" i="2" s="1"/>
  <c r="G28" i="2" a="1"/>
  <c r="G28" i="2" s="1"/>
  <c r="AN27" i="2" a="1"/>
  <c r="AN27" i="2" s="1"/>
  <c r="AF27" i="2" a="1"/>
  <c r="AF27" i="2" s="1"/>
  <c r="Q27" i="2" a="1"/>
  <c r="Q27" i="2" s="1"/>
  <c r="P27" i="2" a="1"/>
  <c r="P27" i="2" s="1"/>
  <c r="L27" i="2" a="1"/>
  <c r="L27" i="2" s="1"/>
  <c r="G27" i="2" a="1"/>
  <c r="G27" i="2" s="1"/>
  <c r="AN12" i="2" a="1"/>
  <c r="AN12" i="2" s="1"/>
  <c r="AF12" i="2" a="1"/>
  <c r="AF12" i="2" s="1"/>
  <c r="Q12" i="2" a="1"/>
  <c r="Q12" i="2" s="1"/>
  <c r="P12" i="2" a="1"/>
  <c r="P12" i="2" s="1"/>
  <c r="L12" i="2" a="1"/>
  <c r="L12" i="2" s="1"/>
  <c r="G12" i="2" a="1"/>
  <c r="G12" i="2" s="1"/>
  <c r="AN17" i="2" a="1"/>
  <c r="AN17" i="2" s="1"/>
  <c r="AF17" i="2" a="1"/>
  <c r="AF17" i="2" s="1"/>
  <c r="Q17" i="2" a="1"/>
  <c r="Q17" i="2" s="1"/>
  <c r="P17" i="2" a="1"/>
  <c r="P17" i="2" s="1"/>
  <c r="L17" i="2" a="1"/>
  <c r="L17" i="2" s="1"/>
  <c r="G17" i="2" a="1"/>
  <c r="G17" i="2" s="1"/>
  <c r="AN16" i="2" a="1"/>
  <c r="AN16" i="2" s="1"/>
  <c r="AF16" i="2" a="1"/>
  <c r="AF16" i="2" s="1"/>
  <c r="Q16" i="2" a="1"/>
  <c r="Q16" i="2" s="1"/>
  <c r="P16" i="2" a="1"/>
  <c r="P16" i="2" s="1"/>
  <c r="L16" i="2" a="1"/>
  <c r="L16" i="2" s="1"/>
  <c r="G16" i="2" a="1"/>
  <c r="G16" i="2" s="1"/>
  <c r="AN15" i="2" a="1"/>
  <c r="AN15" i="2" s="1"/>
  <c r="AF15" i="2" a="1"/>
  <c r="AF15" i="2" s="1"/>
  <c r="Q15" i="2" a="1"/>
  <c r="Q15" i="2" s="1"/>
  <c r="P15" i="2" a="1"/>
  <c r="P15" i="2" s="1"/>
  <c r="L15" i="2" a="1"/>
  <c r="L15" i="2" s="1"/>
  <c r="G15" i="2" a="1"/>
  <c r="G15" i="2" s="1"/>
  <c r="AN20" i="2" a="1"/>
  <c r="AN20" i="2" s="1"/>
  <c r="AF20" i="2" a="1"/>
  <c r="AF20" i="2" s="1"/>
  <c r="Q20" i="2" a="1"/>
  <c r="Q20" i="2" s="1"/>
  <c r="P20" i="2" a="1"/>
  <c r="P20" i="2" s="1"/>
  <c r="L20" i="2" a="1"/>
  <c r="L20" i="2" s="1"/>
  <c r="G20" i="2" a="1"/>
  <c r="G20" i="2" s="1"/>
  <c r="AN8" i="2" a="1"/>
  <c r="AN8" i="2" s="1"/>
  <c r="AF8" i="2" a="1"/>
  <c r="AF8" i="2" s="1"/>
  <c r="Q8" i="2" a="1"/>
  <c r="Q8" i="2" s="1"/>
  <c r="P8" i="2" a="1"/>
  <c r="P8" i="2" s="1"/>
  <c r="L8" i="2" a="1"/>
  <c r="L8" i="2" s="1"/>
  <c r="G8" i="2" a="1"/>
  <c r="G8" i="2" s="1"/>
  <c r="AN6" i="2" a="1"/>
  <c r="AN6" i="2" s="1"/>
  <c r="AF6" i="2" a="1"/>
  <c r="AF6" i="2" s="1"/>
  <c r="Q6" i="2" a="1"/>
  <c r="Q6" i="2" s="1"/>
  <c r="P6" i="2" a="1"/>
  <c r="P6" i="2" s="1"/>
  <c r="L6" i="2" a="1"/>
  <c r="L6" i="2" s="1"/>
  <c r="G6" i="2" a="1"/>
  <c r="G6" i="2" s="1"/>
  <c r="L2" i="2" a="1"/>
  <c r="L2" i="2" s="1"/>
  <c r="L26" i="2" a="1"/>
  <c r="L26" i="2" s="1"/>
  <c r="AN26" i="2" a="1"/>
  <c r="AN26" i="2" s="1"/>
  <c r="Q26" i="2" a="1"/>
  <c r="Q26" i="2" s="1"/>
  <c r="P26" i="2" a="1"/>
  <c r="P26" i="2" s="1"/>
  <c r="AF26" i="2" a="1"/>
  <c r="AF26" i="2" s="1"/>
  <c r="G26" i="2" a="1"/>
  <c r="G26" i="2" s="1"/>
  <c r="G25" i="2" a="1"/>
  <c r="G25" i="2" s="1"/>
  <c r="Q25" i="2" a="1"/>
  <c r="Q25" i="2" s="1"/>
  <c r="AF25" i="2" a="1"/>
  <c r="AF25" i="2" s="1"/>
  <c r="P25" i="2" a="1"/>
  <c r="P25" i="2" s="1"/>
  <c r="AF23" i="2" a="1"/>
  <c r="AF23" i="2" s="1"/>
  <c r="P23" i="2" a="1"/>
  <c r="P23" i="2" s="1"/>
  <c r="G23" i="2" a="1"/>
  <c r="G23" i="2" s="1"/>
  <c r="Q23" i="2" a="1"/>
  <c r="Q23" i="2" s="1"/>
  <c r="AF22" i="2" a="1"/>
  <c r="AF22" i="2" s="1"/>
  <c r="G22" i="2" a="1"/>
  <c r="G22" i="2" s="1"/>
  <c r="Q22" i="2" a="1"/>
  <c r="Q22" i="2" s="1"/>
  <c r="P22" i="2" a="1"/>
  <c r="P22" i="2" s="1"/>
  <c r="G13" i="2" a="1"/>
  <c r="G13" i="2" s="1"/>
  <c r="Q14" i="2" a="1"/>
  <c r="Q14" i="2" s="1"/>
  <c r="P14" i="2" a="1"/>
  <c r="P14" i="2" s="1"/>
  <c r="AF13" i="2" a="1"/>
  <c r="AF13" i="2" s="1"/>
  <c r="P13" i="2" a="1"/>
  <c r="P13" i="2" s="1"/>
  <c r="AF14" i="2" a="1"/>
  <c r="AF14" i="2" s="1"/>
  <c r="G14" i="2" a="1"/>
  <c r="G14" i="2" s="1"/>
  <c r="Q13" i="2" a="1"/>
  <c r="Q13" i="2" s="1"/>
  <c r="AG21" i="1"/>
  <c r="AG42" i="1"/>
  <c r="AG20" i="1"/>
  <c r="AG43" i="1"/>
  <c r="AG27" i="1"/>
  <c r="AG31" i="1"/>
  <c r="AG28" i="1"/>
  <c r="AG15" i="1"/>
  <c r="AG12" i="1"/>
  <c r="AG25" i="1"/>
  <c r="AC32" i="1"/>
  <c r="AB22" i="1"/>
  <c r="AI24" i="1"/>
  <c r="K29" i="1"/>
  <c r="E5" i="1"/>
  <c r="AB19" i="1"/>
  <c r="AC24" i="1"/>
  <c r="AF12" i="1"/>
  <c r="K22" i="1"/>
  <c r="AC12" i="1"/>
  <c r="AC33" i="1"/>
  <c r="AF32" i="1"/>
  <c r="AI22" i="1"/>
  <c r="AI20" i="1"/>
  <c r="AC19" i="1" a="1"/>
  <c r="AC19" i="1" s="1"/>
  <c r="K19" i="1"/>
  <c r="AC38" i="1"/>
  <c r="AF38" i="1"/>
  <c r="AI12" i="1"/>
  <c r="AF34" i="1"/>
  <c r="K33" i="1"/>
  <c r="AC20" i="1" a="1"/>
  <c r="AC20" i="1" s="1"/>
  <c r="AB38" i="1"/>
  <c r="AF22" i="1"/>
  <c r="AF19" i="1"/>
  <c r="AF29" i="1"/>
  <c r="AB34" i="1"/>
  <c r="K24" i="1"/>
  <c r="AB20" i="1"/>
  <c r="K34" i="1"/>
  <c r="AB32" i="1"/>
  <c r="AI29" i="1"/>
  <c r="AB29" i="1"/>
  <c r="K38" i="1"/>
  <c r="AF20" i="1"/>
  <c r="AB24" i="1"/>
  <c r="AI32" i="1"/>
  <c r="AI33" i="1"/>
  <c r="AI34" i="1"/>
  <c r="AC34" i="1"/>
  <c r="AF33" i="1"/>
  <c r="K12" i="1"/>
  <c r="K20" i="1"/>
  <c r="AC29" i="1"/>
  <c r="AB33" i="1"/>
  <c r="AI38" i="1"/>
  <c r="AC22" i="1"/>
  <c r="AF24" i="1"/>
  <c r="AB12" i="1"/>
  <c r="AI19" i="1"/>
  <c r="K32" i="1"/>
  <c r="AG33" i="1"/>
  <c r="AG24" i="1"/>
  <c r="AG40" i="1"/>
  <c r="AG19" i="1"/>
  <c r="AG41" i="1"/>
  <c r="AG13" i="1"/>
  <c r="AG29" i="1"/>
  <c r="AG30" i="1"/>
  <c r="AG35" i="1"/>
  <c r="AG23" i="1"/>
  <c r="J6" i="1"/>
  <c r="J9" i="1"/>
  <c r="J5" i="1"/>
  <c r="J1" i="1"/>
  <c r="J10" i="1"/>
  <c r="J4" i="1"/>
  <c r="E7" i="1"/>
  <c r="N2" i="1"/>
  <c r="N9" i="1"/>
  <c r="N3" i="1"/>
  <c r="AC26" i="1" a="1"/>
  <c r="AC26" i="1" s="1"/>
  <c r="AI23" i="1"/>
  <c r="AF36" i="1"/>
  <c r="K35" i="1"/>
  <c r="AB43" i="1"/>
  <c r="AF26" i="1"/>
  <c r="AC37" i="1"/>
  <c r="AI26" i="1"/>
  <c r="AF37" i="1"/>
  <c r="AB17" i="1"/>
  <c r="AF43" i="1"/>
  <c r="K17" i="1"/>
  <c r="AI14" i="1"/>
  <c r="AB13" i="1"/>
  <c r="K31" i="1"/>
  <c r="K13" i="1"/>
  <c r="AC35" i="1"/>
  <c r="AI36" i="1"/>
  <c r="AF14" i="1"/>
  <c r="AF23" i="1"/>
  <c r="AB37" i="1"/>
  <c r="AI37" i="1"/>
  <c r="K23" i="1"/>
  <c r="AC17" i="1"/>
  <c r="AI17" i="1"/>
  <c r="AC36" i="1"/>
  <c r="AB26" i="1"/>
  <c r="AF31" i="1"/>
  <c r="AI35" i="1"/>
  <c r="AI43" i="1"/>
  <c r="K36" i="1"/>
  <c r="AI13" i="1"/>
  <c r="AC31" i="1"/>
  <c r="K37" i="1"/>
  <c r="AI31" i="1"/>
  <c r="AC43" i="1"/>
  <c r="AF13" i="1"/>
  <c r="AC14" i="1"/>
  <c r="AB36" i="1"/>
  <c r="AB31" i="1"/>
  <c r="AB23" i="1"/>
  <c r="AC13" i="1"/>
  <c r="K14" i="1"/>
  <c r="AF17" i="1"/>
  <c r="K43" i="1"/>
  <c r="AB35" i="1"/>
  <c r="AB14" i="1"/>
  <c r="K26" i="1"/>
  <c r="AC23" i="1"/>
  <c r="AF35" i="1"/>
  <c r="E8" i="1"/>
  <c r="J7" i="1"/>
  <c r="N8" i="1"/>
  <c r="J3" i="1"/>
  <c r="N5" i="1"/>
  <c r="N7" i="1"/>
  <c r="J8" i="1"/>
  <c r="E4" i="1"/>
  <c r="J2" i="1"/>
  <c r="X3" i="1"/>
  <c r="N4" i="1"/>
  <c r="AG37" i="1"/>
  <c r="AG32" i="1"/>
  <c r="AG17" i="1"/>
  <c r="AG22" i="1"/>
  <c r="AG44" i="1"/>
  <c r="AG34" i="1"/>
  <c r="AG18" i="1"/>
  <c r="AG38" i="1"/>
  <c r="AG36" i="1"/>
  <c r="AG39" i="1"/>
  <c r="AF44" i="1"/>
  <c r="AF41" i="1"/>
  <c r="K40" i="1"/>
  <c r="AI42" i="1"/>
  <c r="AI44" i="1"/>
  <c r="AF42" i="1"/>
  <c r="AC41" i="1"/>
  <c r="AC40" i="1"/>
  <c r="K44" i="1"/>
  <c r="AC42" i="1"/>
  <c r="K42" i="1"/>
  <c r="AC44" i="1"/>
  <c r="AI40" i="1"/>
  <c r="AF40" i="1"/>
  <c r="N1" i="1"/>
  <c r="AI41" i="1"/>
  <c r="K41" i="1"/>
  <c r="N10" i="1"/>
  <c r="AG14" i="1"/>
  <c r="AG26" i="1"/>
  <c r="E9" i="1"/>
  <c r="E2" i="1"/>
  <c r="K27" i="1"/>
  <c r="K18" i="1"/>
  <c r="K30" i="1"/>
  <c r="AI27" i="1"/>
  <c r="AI30" i="1"/>
  <c r="E3" i="1"/>
  <c r="AI18" i="1"/>
  <c r="L25" i="1"/>
  <c r="L24" i="1"/>
  <c r="L23" i="1"/>
  <c r="L22" i="1"/>
  <c r="L26" i="1"/>
  <c r="L38" i="1" a="1"/>
  <c r="L38" i="1" s="1"/>
  <c r="AF21" i="1"/>
  <c r="AF39" i="1"/>
  <c r="AI21" i="1"/>
  <c r="K21" i="1"/>
  <c r="AB21" i="1"/>
  <c r="AC39" i="1"/>
  <c r="K39" i="1"/>
  <c r="AI39" i="1"/>
  <c r="AB39" i="1"/>
  <c r="AC21" i="1"/>
  <c r="AC15" i="1"/>
  <c r="AI15" i="1"/>
  <c r="N6" i="1"/>
  <c r="K15" i="1"/>
  <c r="AF25" i="1"/>
  <c r="AI25" i="1"/>
  <c r="AC25" i="1"/>
  <c r="AB25" i="1"/>
  <c r="E1" i="1"/>
  <c r="K28" i="1"/>
  <c r="AI28" i="1"/>
  <c r="AC28" i="1"/>
  <c r="AB28" i="1"/>
  <c r="E10" i="1"/>
  <c r="AF10" i="1"/>
  <c r="AB16" i="1"/>
  <c r="AI16" i="1"/>
  <c r="AC16" i="1"/>
  <c r="AF16" i="1"/>
  <c r="AG16" i="1"/>
  <c r="K16" i="1"/>
  <c r="E6" i="1"/>
  <c r="I30" i="1" a="1"/>
  <c r="I30" i="1" s="1"/>
  <c r="I32" i="1" a="1"/>
  <c r="I32" i="1" s="1"/>
  <c r="I34" i="1" a="1"/>
  <c r="I34" i="1" s="1"/>
  <c r="I21" i="1" a="1"/>
  <c r="I21" i="1" s="1"/>
  <c r="I40" i="1" a="1"/>
  <c r="I40" i="1" s="1"/>
  <c r="I33" i="1" a="1"/>
  <c r="I33" i="1" s="1"/>
  <c r="I36" i="1" a="1"/>
  <c r="I36" i="1" s="1"/>
  <c r="I13" i="1" a="1"/>
  <c r="I13" i="1"/>
  <c r="I16" i="1" a="1"/>
  <c r="I16" i="1" s="1"/>
  <c r="I43" i="1" a="1"/>
  <c r="I43" i="1" s="1"/>
  <c r="I38" i="1" a="1"/>
  <c r="I38" i="1"/>
  <c r="I39" i="1" a="1"/>
  <c r="I39" i="1" s="1"/>
  <c r="I27" i="1" a="1"/>
  <c r="I27" i="1" s="1"/>
  <c r="I28" i="1" a="1"/>
  <c r="I28" i="1" s="1"/>
  <c r="I17" i="1" a="1"/>
  <c r="I17" i="1" s="1"/>
  <c r="I29" i="1" a="1"/>
  <c r="I29" i="1"/>
  <c r="I12" i="1" a="1"/>
  <c r="I12" i="1" s="1"/>
  <c r="I23" i="1" a="1"/>
  <c r="I23" i="1" s="1"/>
  <c r="C6" i="1" a="1"/>
  <c r="C6" i="1" s="1"/>
  <c r="L5" i="1" a="1"/>
  <c r="L5" i="1" s="1"/>
  <c r="I31" i="1" a="1"/>
  <c r="I31" i="1" s="1"/>
  <c r="I44" i="1" a="1"/>
  <c r="I44" i="1" s="1"/>
  <c r="I22" i="1" a="1"/>
  <c r="I22" i="1" s="1"/>
  <c r="H10" i="1" a="1"/>
  <c r="H10" i="1" s="1"/>
  <c r="AI1" i="1"/>
  <c r="H7" i="1" a="1"/>
  <c r="H7" i="1" s="1"/>
  <c r="C5" i="1" a="1"/>
  <c r="C5" i="1" s="1"/>
  <c r="L9" i="1" a="1"/>
  <c r="L9" i="1" s="1"/>
  <c r="I42" i="1" a="1"/>
  <c r="I42" i="1" s="1"/>
  <c r="C3" i="1" a="1"/>
  <c r="C3" i="1" s="1"/>
  <c r="I18" i="1" a="1"/>
  <c r="I18" i="1" s="1"/>
  <c r="C7" i="1" a="1"/>
  <c r="C7" i="1" s="1"/>
  <c r="I25" i="1" a="1"/>
  <c r="I25" i="1" s="1"/>
  <c r="L7" i="1" a="1"/>
  <c r="L7" i="1" s="1"/>
  <c r="C9" i="1" a="1"/>
  <c r="C9" i="1" s="1"/>
  <c r="I37" i="1" a="1"/>
  <c r="I37" i="1" s="1"/>
  <c r="C4" i="1" a="1"/>
  <c r="C4" i="1" s="1"/>
  <c r="C2" i="1" a="1"/>
  <c r="C2" i="1" s="1"/>
  <c r="C10" i="1" a="1"/>
  <c r="C10" i="1" s="1"/>
  <c r="I14" i="1" a="1"/>
  <c r="I14" i="1" s="1"/>
  <c r="I20" i="1" a="1"/>
  <c r="I20" i="1" s="1"/>
  <c r="I15" i="1" a="1"/>
  <c r="I15" i="1" s="1"/>
  <c r="H1" i="1" a="1"/>
  <c r="H1" i="1" s="1"/>
  <c r="L8" i="1" a="1"/>
  <c r="L8" i="1" s="1"/>
  <c r="H9" i="1" a="1"/>
  <c r="H9" i="1" s="1"/>
  <c r="L6" i="1" a="1"/>
  <c r="L6" i="1" s="1"/>
  <c r="C8" i="1" a="1"/>
  <c r="C8" i="1" s="1"/>
  <c r="H3" i="1" a="1"/>
  <c r="H3" i="1" s="1"/>
  <c r="L4" i="1" a="1"/>
  <c r="L4" i="1" s="1"/>
  <c r="I35" i="1" a="1"/>
  <c r="I35" i="1" s="1"/>
  <c r="L2" i="1" a="1"/>
  <c r="L2" i="1" s="1"/>
  <c r="I41" i="1" a="1"/>
  <c r="I41" i="1" s="1"/>
  <c r="H8" i="1" a="1"/>
  <c r="H8" i="1" s="1"/>
  <c r="L10" i="1" a="1"/>
  <c r="L10" i="1" s="1"/>
  <c r="AC3" i="1" a="1"/>
  <c r="AC3" i="1" s="1"/>
  <c r="I19" i="1" a="1"/>
  <c r="I19" i="1" s="1"/>
  <c r="I26" i="1" a="1"/>
  <c r="I26" i="1" s="1"/>
  <c r="H5" i="1" a="1"/>
  <c r="H5" i="1" s="1"/>
  <c r="L1" i="1" a="1"/>
  <c r="L1" i="1" s="1"/>
  <c r="AG1" i="1"/>
  <c r="H4" i="1" a="1"/>
  <c r="H4" i="1" s="1"/>
  <c r="H6" i="1" a="1"/>
  <c r="H6" i="1" s="1"/>
  <c r="H2" i="1" a="1"/>
  <c r="H2" i="1" s="1"/>
  <c r="L3" i="1" a="1"/>
  <c r="L3" i="1" s="1"/>
  <c r="I24" i="1" a="1"/>
  <c r="I24" i="1" s="1"/>
  <c r="C1" i="1" a="1"/>
  <c r="C1" i="1" s="1"/>
  <c r="AB2" i="1" a="1"/>
  <c r="AB2" i="1" s="1"/>
  <c r="AD2" i="1" a="1"/>
  <c r="AD2" i="1" s="1"/>
  <c r="AC2" i="1" a="1"/>
  <c r="AC2" i="1" s="1"/>
  <c r="C31" i="89" a="1"/>
  <c r="AQ28" i="2" l="1" a="1"/>
  <c r="AQ28" i="2" s="1"/>
  <c r="AC28" i="2" a="1"/>
  <c r="AC28" i="2" s="1"/>
  <c r="Z27" i="2"/>
  <c r="AV27" i="2" s="1" a="1"/>
  <c r="AV27" i="2" s="1"/>
  <c r="AC27" i="2" a="1"/>
  <c r="AC27" i="2" s="1"/>
  <c r="AQ27" i="2" a="1"/>
  <c r="AQ27" i="2" s="1"/>
  <c r="AQ19" i="2" a="1"/>
  <c r="AQ19" i="2" s="1"/>
  <c r="AC19" i="2" a="1"/>
  <c r="AC19" i="2" s="1"/>
  <c r="AQ12" i="2" a="1"/>
  <c r="AQ12" i="2" s="1"/>
  <c r="AC12" i="2" a="1"/>
  <c r="AC12" i="2" s="1"/>
  <c r="Z12" i="2"/>
  <c r="AV12" i="2" s="1" a="1"/>
  <c r="AV12" i="2" s="1"/>
  <c r="AC16" i="2" a="1"/>
  <c r="AC16" i="2" s="1"/>
  <c r="AQ16" i="2" a="1"/>
  <c r="AQ16" i="2" s="1"/>
  <c r="AC6" i="2" a="1"/>
  <c r="AC6" i="2" s="1"/>
  <c r="Z6" i="2"/>
  <c r="AV6" i="2" s="1" a="1"/>
  <c r="AV6" i="2" s="1"/>
  <c r="AQ6" i="2" a="1"/>
  <c r="AQ6" i="2" s="1"/>
  <c r="AQ8" i="2" a="1"/>
  <c r="AQ8" i="2" s="1"/>
  <c r="Z8" i="2"/>
  <c r="AV8" i="2" s="1" a="1"/>
  <c r="AV8" i="2" s="1"/>
  <c r="AC8" i="2" a="1"/>
  <c r="AC8" i="2" s="1"/>
  <c r="AC17" i="2" a="1"/>
  <c r="AC17" i="2" s="1"/>
  <c r="AQ17" i="2" a="1"/>
  <c r="AQ17" i="2" s="1"/>
  <c r="Z17" i="2"/>
  <c r="AV17" i="2" s="1" a="1"/>
  <c r="AV17" i="2" s="1"/>
  <c r="AQ18" i="2" a="1"/>
  <c r="AQ18" i="2" s="1"/>
  <c r="AQ7" i="2" a="1"/>
  <c r="AQ7" i="2" s="1"/>
  <c r="Z18" i="2"/>
  <c r="AV18" i="2" s="1" a="1"/>
  <c r="AV18" i="2" s="1"/>
  <c r="AC7" i="2" a="1"/>
  <c r="AC7" i="2" s="1"/>
  <c r="C31" i="89"/>
  <c r="V31" i="89" a="1"/>
  <c r="V31" i="89" l="1"/>
  <c r="O31" i="89" a="1"/>
  <c r="O31" i="89" l="1"/>
  <c r="T31" i="89" a="1"/>
  <c r="T31" i="89" l="1"/>
  <c r="E31" i="89" a="1"/>
  <c r="E31" i="89" s="1"/>
  <c r="D31" i="89" a="1"/>
  <c r="D31" i="89" s="1"/>
  <c r="L31" i="89" a="1"/>
  <c r="L31" i="89" s="1"/>
  <c r="K31" i="89" a="1"/>
  <c r="K31" i="89" s="1"/>
  <c r="F31" i="89" a="1"/>
  <c r="F31" i="89" s="1"/>
  <c r="W31" i="89" a="1"/>
  <c r="W31" i="89" s="1"/>
  <c r="C30" i="89" a="1"/>
  <c r="C30" i="89" s="1"/>
  <c r="V30" i="89" a="1"/>
  <c r="V30" i="89" s="1"/>
  <c r="T30" i="89" a="1"/>
  <c r="T30" i="89" s="1"/>
  <c r="O30" i="89" a="1"/>
  <c r="O30" i="89" s="1"/>
  <c r="D30" i="89" a="1"/>
  <c r="D30" i="89" s="1"/>
  <c r="E30" i="89" a="1"/>
  <c r="E30" i="89" s="1"/>
  <c r="F30" i="89" a="1"/>
  <c r="F30" i="89" s="1"/>
  <c r="L30" i="89" a="1"/>
  <c r="L30" i="89" s="1"/>
  <c r="W30" i="89" a="1"/>
  <c r="W30" i="89" s="1"/>
  <c r="K30" i="89" a="1"/>
  <c r="K30" i="89" s="1"/>
  <c r="H37" i="89"/>
  <c r="C37" i="89" a="1"/>
  <c r="C37" i="89" s="1"/>
  <c r="V37" i="89" a="1"/>
  <c r="V37" i="89" s="1"/>
  <c r="O37" i="89" a="1"/>
  <c r="O37" i="89" s="1"/>
  <c r="T37" i="89" a="1"/>
  <c r="T37" i="89" l="1"/>
  <c r="E37" i="89" a="1"/>
  <c r="E37" i="89" s="1"/>
  <c r="D37" i="89" a="1"/>
  <c r="D37" i="89" s="1"/>
  <c r="F37" i="89" a="1"/>
  <c r="F37" i="89" s="1"/>
  <c r="K37" i="89" a="1"/>
  <c r="K37" i="89" s="1"/>
  <c r="W37" i="89" a="1"/>
  <c r="W37" i="89" s="1"/>
  <c r="L37" i="89" a="1"/>
  <c r="L37" i="89" s="1"/>
  <c r="T36" i="89" a="1"/>
  <c r="T36" i="89" s="1"/>
  <c r="C36" i="89" a="1"/>
  <c r="C36" i="89" s="1"/>
  <c r="V36" i="89" a="1"/>
  <c r="V36" i="89" s="1"/>
  <c r="O36" i="89" a="1"/>
  <c r="O36" i="89" s="1"/>
  <c r="D36" i="89" a="1"/>
  <c r="D36" i="89" s="1"/>
  <c r="E36" i="89" a="1"/>
  <c r="E36" i="89" s="1"/>
  <c r="W36" i="89" a="1"/>
  <c r="W36" i="89" s="1"/>
  <c r="F36" i="89" a="1"/>
  <c r="F36" i="89" s="1"/>
  <c r="K36" i="89" a="1"/>
  <c r="K36" i="89" s="1"/>
  <c r="L36" i="89" a="1"/>
  <c r="L36" i="89" s="1"/>
  <c r="T14" i="89" a="1"/>
  <c r="T14" i="89" s="1"/>
  <c r="O14" i="89" a="1"/>
  <c r="O14" i="89" s="1"/>
  <c r="V14" i="89" a="1"/>
  <c r="V14" i="89" l="1"/>
  <c r="C14" i="89" a="1"/>
  <c r="C14" i="89" s="1"/>
  <c r="E14" i="89" a="1"/>
  <c r="E14" i="89" s="1"/>
  <c r="D14" i="89" a="1"/>
  <c r="D14" i="89" s="1"/>
  <c r="L14" i="89" a="1"/>
  <c r="L14" i="89" s="1"/>
  <c r="F14" i="89" a="1"/>
  <c r="F14" i="89" s="1"/>
  <c r="W14" i="89" a="1"/>
  <c r="W14" i="89" s="1"/>
  <c r="K14" i="89" a="1"/>
  <c r="K14" i="89" s="1"/>
  <c r="C7" i="89" a="1"/>
  <c r="C7" i="89" s="1"/>
  <c r="V7" i="89" a="1"/>
  <c r="V7" i="89" s="1"/>
  <c r="C8" i="89" a="1"/>
  <c r="C8" i="89" s="1"/>
  <c r="V8" i="89" a="1"/>
  <c r="V8" i="89" s="1"/>
  <c r="O8" i="89" a="1"/>
  <c r="O8" i="89" s="1"/>
  <c r="T8" i="89" a="1"/>
  <c r="T8" i="89" s="1"/>
  <c r="T7" i="89" a="1"/>
  <c r="T7" i="89" s="1"/>
  <c r="O7" i="89" a="1"/>
  <c r="O7" i="89" s="1"/>
  <c r="D7" i="89"/>
  <c r="E8" i="89" a="1"/>
  <c r="E8" i="89" s="1"/>
  <c r="D8" i="89" a="1"/>
  <c r="D8" i="89" s="1"/>
  <c r="E7" i="89"/>
  <c r="F8" i="89" a="1"/>
  <c r="F8" i="89" s="1"/>
  <c r="K8" i="89" a="1"/>
  <c r="K8" i="89" s="1"/>
  <c r="L8" i="89" a="1"/>
  <c r="L8" i="89" s="1"/>
  <c r="W8" i="89" a="1"/>
  <c r="W8" i="89" s="1"/>
  <c r="W7" i="89" a="1"/>
  <c r="W7" i="89" s="1"/>
  <c r="L7" i="89" a="1"/>
  <c r="L7" i="89" s="1"/>
  <c r="K7" i="89" a="1"/>
  <c r="K7" i="89" s="1"/>
  <c r="F7" i="89" a="1"/>
  <c r="F7" i="89" s="1"/>
  <c r="Z28" i="2"/>
  <c r="AV28" i="2" s="1" a="1"/>
  <c r="AV28" i="2" s="1"/>
  <c r="BB26" i="2" l="1"/>
  <c r="BA26" i="2"/>
  <c r="BC26" i="2" l="1"/>
  <c r="S26" i="2" a="1"/>
  <c r="R26" i="2" l="1"/>
  <c r="S26" i="2"/>
  <c r="AP26" i="2" s="1"/>
  <c r="O26" i="2"/>
  <c r="Z26" i="2"/>
  <c r="AV26" i="2" s="1" a="1"/>
  <c r="AQ26" i="2" a="1"/>
  <c r="U26" i="2" l="1"/>
  <c r="AO26" i="2"/>
  <c r="AV26" i="2"/>
  <c r="AQ26" i="2"/>
  <c r="AL26" i="2"/>
  <c r="AS26" i="2"/>
  <c r="AT26" i="2"/>
  <c r="AB26" i="2"/>
  <c r="AM26" i="2"/>
  <c r="X26" i="2"/>
  <c r="Y26" i="2" s="1"/>
  <c r="M26" i="2"/>
  <c r="AE26" i="2"/>
  <c r="Z7" i="2"/>
  <c r="AV7" i="2" s="1" a="1"/>
  <c r="AV7" i="2" s="1"/>
  <c r="BA23" i="2" l="1"/>
  <c r="BB23" i="2"/>
  <c r="BC23" i="2" l="1"/>
  <c r="S23" i="2" a="1"/>
  <c r="R23" i="2" l="1"/>
  <c r="S23" i="2"/>
  <c r="AO23" i="2" s="1"/>
  <c r="U23" i="2"/>
  <c r="AP23" i="2"/>
  <c r="O23" i="2"/>
  <c r="AQ23" i="2" a="1"/>
  <c r="Z23" i="2"/>
  <c r="AV23" i="2" s="1" a="1"/>
  <c r="AV23" i="2" l="1"/>
  <c r="AL23" i="2"/>
  <c r="AT23" i="2"/>
  <c r="AS23" i="2"/>
  <c r="M23" i="2"/>
  <c r="AM23" i="2"/>
  <c r="X23" i="2"/>
  <c r="Y23" i="2" s="1"/>
  <c r="AB23" i="2"/>
  <c r="AQ23" i="2"/>
  <c r="AE23" i="2"/>
  <c r="BA25" i="2" l="1"/>
  <c r="BB25" i="2"/>
  <c r="BC25" i="2" l="1"/>
  <c r="S25" i="2" a="1"/>
  <c r="S25" i="2" l="1"/>
  <c r="AO25" i="2"/>
  <c r="R25" i="2"/>
  <c r="AP25" i="2"/>
  <c r="O25" i="2"/>
  <c r="U25" i="2"/>
  <c r="Z25" i="2"/>
  <c r="AV25" i="2" s="1" a="1"/>
  <c r="AQ25" i="2" a="1"/>
  <c r="AE25" i="2" l="1"/>
  <c r="AV25" i="2"/>
  <c r="AQ25" i="2"/>
  <c r="AL25" i="2"/>
  <c r="AT25" i="2"/>
  <c r="AS25" i="2"/>
  <c r="AB25" i="2"/>
  <c r="X25" i="2"/>
  <c r="Y25" i="2" s="1"/>
  <c r="AM25" i="2"/>
  <c r="M25" i="2"/>
  <c r="J4" i="2" l="1"/>
  <c r="K4" i="2" s="1"/>
  <c r="D68" i="89" l="1" a="1"/>
  <c r="D68" i="89" l="1"/>
  <c r="C61" i="89" a="1"/>
  <c r="C61" i="89" s="1"/>
  <c r="E53" i="89" a="1"/>
  <c r="E53" i="89" s="1"/>
  <c r="V52" i="89" a="1"/>
  <c r="V52" i="89" s="1"/>
  <c r="D53" i="89" a="1"/>
  <c r="D53" i="89" s="1"/>
  <c r="E68" i="89" a="1"/>
  <c r="E68" i="89" s="1"/>
  <c r="T68" i="89" a="1"/>
  <c r="T68" i="89" s="1"/>
  <c r="C68" i="89" a="1"/>
  <c r="C68" i="89" s="1"/>
  <c r="E61" i="89" a="1"/>
  <c r="E61" i="89" s="1"/>
  <c r="T61" i="89" a="1"/>
  <c r="T61" i="89" s="1"/>
  <c r="C53" i="89" a="1"/>
  <c r="C53" i="89" s="1"/>
  <c r="V53" i="89" a="1"/>
  <c r="V53" i="89" s="1"/>
  <c r="D52" i="89" a="1"/>
  <c r="D52" i="89" s="1"/>
  <c r="T53" i="89" a="1"/>
  <c r="T53" i="89" s="1"/>
  <c r="C52" i="89" a="1"/>
  <c r="C52" i="89" s="1"/>
  <c r="T52" i="89" a="1"/>
  <c r="T52" i="89" s="1"/>
  <c r="E52" i="89" a="1"/>
  <c r="E52" i="89" s="1"/>
  <c r="V68" i="89" a="1"/>
  <c r="V68" i="89" s="1"/>
  <c r="D61" i="89" a="1"/>
  <c r="D61" i="89" s="1"/>
  <c r="V61" i="89" a="1"/>
  <c r="V61" i="89" s="1"/>
  <c r="AB53" i="89" l="1" a="1"/>
  <c r="AB53" i="89" s="1"/>
  <c r="S53" i="89" a="1"/>
  <c r="S53" i="89" s="1"/>
  <c r="R53" i="89" s="1" a="1"/>
  <c r="R53" i="89" s="1"/>
  <c r="AB68" i="89" a="1"/>
  <c r="AB68" i="89" s="1"/>
  <c r="S68" i="89" a="1"/>
  <c r="S68" i="89" s="1"/>
  <c r="R68" i="89" s="1" a="1"/>
  <c r="R68" i="89" s="1"/>
  <c r="AB52" i="89" a="1"/>
  <c r="AB52" i="89" s="1"/>
  <c r="AB61" i="89" a="1"/>
  <c r="AB61" i="89" s="1"/>
  <c r="S61" i="89" a="1"/>
  <c r="S61" i="89" s="1"/>
  <c r="R61" i="89" s="1" a="1"/>
  <c r="R61" i="89" s="1"/>
  <c r="AQ9" i="2" a="1"/>
  <c r="AC9" i="2" a="1"/>
  <c r="AC9" i="2" l="1"/>
  <c r="AQ9" i="2"/>
  <c r="AQ15" i="2" a="1"/>
  <c r="AQ15" i="2" l="1"/>
  <c r="G37" i="446" a="1"/>
  <c r="G37" i="446" s="1"/>
  <c r="G27" i="446" a="1"/>
  <c r="G27" i="446" s="1"/>
  <c r="F37" i="446" a="1"/>
  <c r="F37" i="446" s="1"/>
  <c r="F27" i="446" a="1"/>
  <c r="F27" i="446" s="1"/>
  <c r="D27" i="446" a="1"/>
  <c r="D27" i="446" s="1"/>
  <c r="D30" i="446" a="1"/>
  <c r="D30" i="446" s="1"/>
  <c r="G30" i="446" a="1"/>
  <c r="G30" i="446" s="1"/>
  <c r="D37" i="446" a="1"/>
  <c r="D37" i="446" s="1"/>
  <c r="F30" i="446" a="1"/>
  <c r="F30" i="446" s="1"/>
  <c r="X10" i="338" a="1"/>
  <c r="X10" i="338" s="1"/>
  <c r="X11" i="338" a="1"/>
  <c r="X11" i="338" s="1"/>
  <c r="P12" i="338" a="1"/>
  <c r="P12" i="338" s="1"/>
  <c r="P11" i="338" a="1"/>
  <c r="P11" i="338" s="1"/>
  <c r="S10" i="338" a="1"/>
  <c r="S10" i="338" s="1"/>
  <c r="T11" i="338" a="1"/>
  <c r="T11" i="338" s="1"/>
  <c r="T8" i="338" a="1"/>
  <c r="T8" i="338" s="1"/>
  <c r="X8" i="338" a="1"/>
  <c r="X8" i="338" s="1"/>
  <c r="P8" i="338" a="1"/>
  <c r="P8" i="338" s="1"/>
  <c r="X12" i="338" a="1"/>
  <c r="X12" i="338" s="1"/>
  <c r="S12" i="338" a="1"/>
  <c r="S12" i="338" s="1"/>
  <c r="S8" i="338" a="1"/>
  <c r="S8" i="338" s="1"/>
  <c r="T10" i="338" a="1"/>
  <c r="T10" i="338" s="1"/>
  <c r="T9" i="338" a="1"/>
  <c r="T9" i="338" s="1"/>
  <c r="S9" i="338" a="1"/>
  <c r="S9" i="338" s="1"/>
  <c r="P9" i="338" a="1"/>
  <c r="P9" i="338" s="1"/>
  <c r="S11" i="338" a="1"/>
  <c r="S11" i="338" s="1"/>
  <c r="P10" i="338" a="1"/>
  <c r="P10" i="338" s="1"/>
  <c r="X9" i="338" a="1"/>
  <c r="X9" i="338" s="1"/>
  <c r="T12" i="338" a="1"/>
  <c r="T12" i="338" s="1"/>
  <c r="AB31" i="89" a="1"/>
  <c r="AB31" i="89" l="1"/>
  <c r="V19" i="89"/>
  <c r="T5" i="2" a="1"/>
  <c r="T5" i="2" s="1"/>
  <c r="O105" i="89" a="1"/>
  <c r="O105" i="89" s="1"/>
  <c r="D4" i="2" a="1"/>
  <c r="D4" i="2" s="1"/>
  <c r="C103" i="89" a="1"/>
  <c r="AC4" i="2" l="1" a="1"/>
  <c r="AC4" i="2" s="1"/>
  <c r="AQ4" i="2" a="1"/>
  <c r="AQ4" i="2" s="1"/>
  <c r="Z4" i="2"/>
  <c r="C103" i="89"/>
  <c r="AB103" i="89" s="1" a="1"/>
  <c r="AB103" i="89" s="1"/>
  <c r="T11" i="2" a="1"/>
  <c r="T11" i="2" s="1"/>
  <c r="O20" i="89" a="1"/>
  <c r="O20" i="89" s="1"/>
  <c r="T19" i="89"/>
  <c r="Z24" i="2"/>
  <c r="AV24" i="2" s="1" a="1"/>
  <c r="AQ24" i="2" a="1"/>
  <c r="AQ24" i="2" l="1"/>
  <c r="AV24" i="2"/>
  <c r="AB37" i="89" a="1"/>
  <c r="AB37" i="89" l="1"/>
  <c r="AA4" i="2" a="1"/>
  <c r="AA4" i="2" s="1"/>
  <c r="AV4" i="2" s="1" a="1"/>
  <c r="T103" i="89" a="1"/>
  <c r="AV4" i="2" l="1"/>
  <c r="T103" i="89"/>
  <c r="D11" i="2" a="1"/>
  <c r="D11" i="2" s="1"/>
  <c r="C20" i="89" a="1"/>
  <c r="AC11" i="2" l="1" a="1"/>
  <c r="AC11" i="2" s="1"/>
  <c r="AQ11" i="2" a="1"/>
  <c r="AQ11" i="2" s="1"/>
  <c r="C20" i="89"/>
  <c r="AB20" i="89" s="1" a="1"/>
  <c r="AB20" i="89" s="1"/>
  <c r="AD11" i="2" a="1"/>
  <c r="AD11" i="2" s="1"/>
  <c r="V20" i="89" a="1"/>
  <c r="V20" i="89" s="1"/>
  <c r="AA5" i="2" a="1"/>
  <c r="AA5" i="2" s="1"/>
  <c r="T105" i="89" a="1"/>
  <c r="T105" i="89" s="1"/>
  <c r="T4" i="2" a="1"/>
  <c r="T4" i="2" s="1"/>
  <c r="O103" i="89" a="1"/>
  <c r="O103" i="89" s="1"/>
  <c r="C19" i="89"/>
  <c r="AB19" i="89" s="1" a="1"/>
  <c r="AB19" i="89" s="1"/>
  <c r="AB30" i="89" a="1"/>
  <c r="AB30" i="89" l="1"/>
  <c r="AQ13" i="2" a="1"/>
  <c r="AQ13" i="2" l="1"/>
  <c r="AB7" i="89" a="1"/>
  <c r="AB7" i="89" l="1"/>
  <c r="AB36" i="89" a="1"/>
  <c r="AB36" i="89" l="1"/>
  <c r="AD4" i="2" a="1"/>
  <c r="AD4" i="2" s="1"/>
  <c r="V103" i="89" a="1"/>
  <c r="V103" i="89" s="1"/>
  <c r="AD5" i="2" a="1"/>
  <c r="AD5" i="2" s="1"/>
  <c r="V105" i="89" a="1"/>
  <c r="V105" i="89" s="1"/>
  <c r="AA11" i="2" a="1"/>
  <c r="AA11" i="2" s="1"/>
  <c r="T20" i="89" a="1"/>
  <c r="T20" i="89" s="1"/>
  <c r="D5" i="2" a="1"/>
  <c r="D5" i="2" s="1"/>
  <c r="AC5" i="2" s="1" a="1"/>
  <c r="AC5" i="2" s="1"/>
  <c r="C105" i="89" a="1"/>
  <c r="AQ5" i="2" l="1" a="1"/>
  <c r="AQ5" i="2" s="1"/>
  <c r="C105" i="89"/>
  <c r="AB105" i="89" s="1" a="1"/>
  <c r="AB105" i="89" s="1"/>
  <c r="O19" i="89"/>
  <c r="AC22" i="2" a="1"/>
  <c r="AQ22" i="2" a="1"/>
  <c r="AC22" i="2" l="1"/>
  <c r="AQ22" i="2"/>
  <c r="AB14" i="89" a="1"/>
  <c r="F39" i="446" a="1"/>
  <c r="AB14" i="89" l="1"/>
  <c r="F39" i="446"/>
  <c r="G34" i="446" a="1"/>
  <c r="G34" i="446" s="1"/>
  <c r="D39" i="446" a="1"/>
  <c r="D39" i="446" s="1"/>
  <c r="F34" i="446" a="1"/>
  <c r="F34" i="446" s="1"/>
  <c r="F42" i="446" a="1"/>
  <c r="F42" i="446" s="1"/>
  <c r="F41" i="446" a="1"/>
  <c r="F41" i="446" s="1"/>
  <c r="G41" i="446" a="1"/>
  <c r="G41" i="446" s="1"/>
  <c r="D40" i="446" a="1"/>
  <c r="D40" i="446" s="1"/>
  <c r="G44" i="446" a="1"/>
  <c r="G44" i="446" s="1"/>
  <c r="D43" i="446" a="1"/>
  <c r="D43" i="446" s="1"/>
  <c r="F38" i="446" a="1"/>
  <c r="F38" i="446" s="1"/>
  <c r="F31" i="446" a="1"/>
  <c r="F31" i="446" s="1"/>
  <c r="G39" i="446" a="1"/>
  <c r="G39" i="446" s="1"/>
  <c r="D42" i="446" a="1"/>
  <c r="D42" i="446" s="1"/>
  <c r="G42" i="446" a="1"/>
  <c r="G42" i="446" s="1"/>
  <c r="F40" i="446" a="1"/>
  <c r="F40" i="446" s="1"/>
  <c r="G38" i="446" a="1"/>
  <c r="G38" i="446" s="1"/>
  <c r="D34" i="446" a="1"/>
  <c r="D34" i="446" s="1"/>
  <c r="D38" i="446" a="1"/>
  <c r="D38" i="446" s="1"/>
  <c r="F45" i="446" a="1"/>
  <c r="F45" i="446" s="1"/>
  <c r="G31" i="446" a="1"/>
  <c r="G31" i="446" s="1"/>
  <c r="G43" i="446" a="1"/>
  <c r="G43" i="446" s="1"/>
  <c r="D45" i="446" a="1"/>
  <c r="D45" i="446" s="1"/>
  <c r="G40" i="446" a="1"/>
  <c r="G40" i="446" s="1"/>
  <c r="F44" i="446" a="1"/>
  <c r="F44" i="446" s="1"/>
  <c r="D41" i="446" a="1"/>
  <c r="D41" i="446" s="1"/>
  <c r="D31" i="446" a="1"/>
  <c r="D31" i="446" s="1"/>
  <c r="D44" i="446" a="1"/>
  <c r="D44" i="446" s="1"/>
  <c r="G45" i="446" a="1"/>
  <c r="G45" i="446" s="1"/>
  <c r="F43" i="446" a="1"/>
  <c r="F43" i="446" s="1"/>
  <c r="AI8" i="338" a="1"/>
  <c r="AI8" i="338" s="1"/>
  <c r="AK8" i="338" a="1"/>
  <c r="AK8" i="338" s="1"/>
  <c r="AG8" i="338"/>
  <c r="G9" i="446" a="1"/>
  <c r="G9" i="446" s="1"/>
  <c r="F9" i="446" a="1"/>
  <c r="F9" i="446" s="1"/>
  <c r="E95" i="89" a="1"/>
  <c r="E95" i="89" s="1"/>
  <c r="E96" i="89" a="1"/>
  <c r="E96" i="89" s="1"/>
  <c r="E94" i="89" a="1"/>
  <c r="E94" i="89" s="1"/>
  <c r="D105" i="89" a="1"/>
  <c r="D105" i="89" s="1"/>
  <c r="D96" i="89" a="1"/>
  <c r="D96" i="89" s="1"/>
  <c r="D95" i="89" a="1"/>
  <c r="D95" i="89" s="1"/>
  <c r="E13" i="89" a="1"/>
  <c r="E13" i="89" s="1"/>
  <c r="D13" i="89" a="1"/>
  <c r="D13" i="89" s="1"/>
  <c r="E19" i="89"/>
  <c r="D19" i="89"/>
  <c r="D103" i="89" a="1"/>
  <c r="D103" i="89" s="1"/>
  <c r="D94" i="89" a="1"/>
  <c r="D94" i="89" s="1"/>
  <c r="E105" i="89" a="1"/>
  <c r="E105" i="89" s="1"/>
  <c r="E103" i="89" a="1"/>
  <c r="E103" i="89" s="1"/>
  <c r="C88" i="89" a="1"/>
  <c r="C88" i="89" s="1"/>
  <c r="V88" i="89" a="1"/>
  <c r="V88" i="89" s="1"/>
  <c r="C94" i="89" a="1"/>
  <c r="C94" i="89" s="1"/>
  <c r="AB94" i="89" s="1" a="1"/>
  <c r="AB94" i="89" s="1"/>
  <c r="O94" i="89" a="1"/>
  <c r="O94" i="89" s="1"/>
  <c r="V79" i="89" a="1"/>
  <c r="V79" i="89" s="1"/>
  <c r="T96" i="89" a="1"/>
  <c r="T96" i="89" s="1"/>
  <c r="T104" i="89" a="1"/>
  <c r="T104" i="89" s="1"/>
  <c r="T79" i="89" a="1"/>
  <c r="T79" i="89" s="1"/>
  <c r="T78" i="89" a="1"/>
  <c r="T78" i="89" s="1"/>
  <c r="T88" i="89" a="1"/>
  <c r="T88" i="89" s="1"/>
  <c r="C77" i="89" a="1"/>
  <c r="C77" i="89" s="1"/>
  <c r="AB77" i="89" s="1" a="1"/>
  <c r="AB77" i="89" s="1"/>
  <c r="O95" i="89" a="1"/>
  <c r="O95" i="89" s="1"/>
  <c r="T77" i="89" a="1"/>
  <c r="T77" i="89" s="1"/>
  <c r="O88" i="89" a="1"/>
  <c r="O88" i="89" s="1"/>
  <c r="V96" i="89" a="1"/>
  <c r="V96" i="89" s="1"/>
  <c r="O79" i="89" a="1"/>
  <c r="O79" i="89" s="1"/>
  <c r="O77" i="89" a="1"/>
  <c r="AB88" i="89" l="1" a="1"/>
  <c r="AB88" i="89" s="1"/>
  <c r="S88" i="89" a="1"/>
  <c r="S88" i="89" s="1"/>
  <c r="R88" i="89" s="1" a="1"/>
  <c r="R88" i="89" s="1"/>
  <c r="O77" i="89"/>
  <c r="V104" i="89" a="1"/>
  <c r="V104" i="89" s="1"/>
  <c r="C78" i="89" a="1"/>
  <c r="C78" i="89" s="1"/>
  <c r="AB78" i="89" s="1" a="1"/>
  <c r="AB78" i="89" s="1"/>
  <c r="C79" i="89" a="1"/>
  <c r="C79" i="89" s="1"/>
  <c r="AB79" i="89" s="1" a="1"/>
  <c r="AB79" i="89" s="1"/>
  <c r="O104" i="89" a="1"/>
  <c r="O104" i="89" s="1"/>
  <c r="O96" i="89" a="1"/>
  <c r="O96" i="89" s="1"/>
  <c r="V94" i="89" a="1"/>
  <c r="V94" i="89" s="1"/>
  <c r="C96" i="89" a="1"/>
  <c r="C96" i="89" s="1"/>
  <c r="AB96" i="89" s="1" a="1"/>
  <c r="AB96" i="89" s="1"/>
  <c r="V95" i="89" a="1"/>
  <c r="V95" i="89" s="1"/>
  <c r="V77" i="89" a="1"/>
  <c r="V77" i="89" s="1"/>
  <c r="T95" i="89" a="1"/>
  <c r="T95" i="89" s="1"/>
  <c r="V78" i="89" a="1"/>
  <c r="V78" i="89" s="1"/>
  <c r="O78" i="89" a="1"/>
  <c r="O78" i="89" s="1"/>
  <c r="C95" i="89" a="1"/>
  <c r="C95" i="89" s="1"/>
  <c r="AB95" i="89" s="1" a="1"/>
  <c r="AB95" i="89" s="1"/>
  <c r="T94" i="89" a="1"/>
  <c r="T94" i="89" s="1"/>
  <c r="C104" i="89" a="1"/>
  <c r="C104" i="89" s="1"/>
  <c r="AB104" i="89" s="1" a="1"/>
  <c r="AB104" i="89" s="1"/>
  <c r="N68" i="89" a="1"/>
  <c r="N68" i="89" s="1"/>
  <c r="Z68" i="89" s="1" a="1"/>
  <c r="Z68" i="89" s="1"/>
  <c r="L44" i="1"/>
  <c r="L43" i="1"/>
  <c r="L42" i="1"/>
  <c r="L41" i="1"/>
  <c r="L40" i="1"/>
  <c r="L39" i="1"/>
  <c r="L37" i="1"/>
  <c r="L36" i="1"/>
  <c r="L35" i="1"/>
  <c r="L34" i="1"/>
  <c r="L33" i="1"/>
  <c r="L32" i="1"/>
  <c r="L31" i="1"/>
  <c r="L30" i="1"/>
  <c r="L29" i="1"/>
  <c r="L28" i="1"/>
  <c r="L27" i="1"/>
  <c r="L21" i="1"/>
  <c r="L20" i="1"/>
  <c r="L19" i="1"/>
  <c r="L18" i="1"/>
  <c r="L17" i="1"/>
  <c r="L16" i="1"/>
  <c r="L15" i="1"/>
  <c r="L14" i="1"/>
  <c r="L13" i="1"/>
  <c r="L12" i="1"/>
  <c r="G13" i="446" a="1"/>
  <c r="G13" i="446" s="1"/>
  <c r="F10" i="446" a="1"/>
  <c r="F10" i="446" s="1"/>
  <c r="F12" i="446" a="1"/>
  <c r="F12" i="446" s="1"/>
  <c r="F16" i="446" a="1"/>
  <c r="F16" i="446" s="1"/>
  <c r="F13" i="446" a="1"/>
  <c r="F13" i="446" s="1"/>
  <c r="G11" i="446" a="1"/>
  <c r="G11" i="446" s="1"/>
  <c r="G25" i="446" a="1"/>
  <c r="G25" i="446" s="1"/>
  <c r="G10" i="446" a="1"/>
  <c r="G10" i="446" s="1"/>
  <c r="G8" i="446" a="1"/>
  <c r="G8" i="446" s="1"/>
  <c r="G16" i="446" a="1"/>
  <c r="G16" i="446" s="1"/>
  <c r="G7" i="446" a="1"/>
  <c r="G7" i="446" s="1"/>
  <c r="G12" i="446" a="1"/>
  <c r="G12" i="446" s="1"/>
  <c r="F7" i="446" a="1"/>
  <c r="F7" i="446" s="1"/>
  <c r="F8" i="446" a="1"/>
  <c r="F8" i="446" s="1"/>
  <c r="F20" i="446" a="1"/>
  <c r="F20" i="446" s="1"/>
  <c r="F25" i="446" a="1"/>
  <c r="F25" i="446" s="1"/>
  <c r="F11" i="446" a="1"/>
  <c r="F11" i="446" s="1"/>
  <c r="G20" i="446" a="1"/>
  <c r="G20" i="446" s="1"/>
  <c r="D20" i="89" a="1"/>
  <c r="D20" i="89" s="1"/>
  <c r="E20" i="89" a="1"/>
  <c r="E20" i="89" s="1"/>
  <c r="E104" i="89" a="1"/>
  <c r="E104" i="89" s="1"/>
  <c r="D104" i="89" a="1"/>
  <c r="D104" i="89" s="1"/>
  <c r="AJ12" i="338" a="1"/>
  <c r="AJ12" i="338" s="1"/>
  <c r="AH12" i="338" a="1"/>
  <c r="AH12" i="338" s="1"/>
  <c r="AF12" i="338"/>
  <c r="AF28" i="1"/>
  <c r="AK9" i="338" a="1"/>
  <c r="AK9" i="338" s="1"/>
  <c r="AB15" i="1"/>
  <c r="F23" i="446" a="1"/>
  <c r="F23" i="446" s="1"/>
  <c r="AF9" i="338"/>
  <c r="AF18" i="1"/>
  <c r="AJ11" i="338" a="1"/>
  <c r="AJ11" i="338" s="1"/>
  <c r="AH11" i="338" a="1"/>
  <c r="AH11" i="338" s="1"/>
  <c r="AH9" i="338" a="1"/>
  <c r="AH9" i="338" s="1"/>
  <c r="G36" i="446" a="1"/>
  <c r="G36" i="446" s="1"/>
  <c r="AI9" i="338" a="1"/>
  <c r="AI9" i="338" s="1"/>
  <c r="AF11" i="338"/>
  <c r="AF30" i="1"/>
  <c r="AC27" i="1" a="1"/>
  <c r="AC27" i="1" s="1"/>
  <c r="D35" i="446" a="1"/>
  <c r="D35" i="446" s="1"/>
  <c r="G26" i="446" a="1"/>
  <c r="G26" i="446" s="1"/>
  <c r="AC18" i="1" a="1"/>
  <c r="AC18" i="1" s="1"/>
  <c r="D26" i="446" a="1"/>
  <c r="D26" i="446" s="1"/>
  <c r="AB18" i="1"/>
  <c r="F26" i="446" a="1"/>
  <c r="F26" i="446" s="1"/>
  <c r="G23" i="446" a="1"/>
  <c r="G23" i="446" s="1"/>
  <c r="AF10" i="338"/>
  <c r="AF27" i="1"/>
  <c r="AJ10" i="338" a="1"/>
  <c r="AJ10" i="338" s="1"/>
  <c r="AG9" i="338"/>
  <c r="AF15" i="1"/>
  <c r="AC30" i="1" a="1"/>
  <c r="AC30" i="1" s="1"/>
  <c r="D36" i="446" a="1"/>
  <c r="D36" i="446" s="1"/>
  <c r="AJ9" i="338" a="1"/>
  <c r="AJ9" i="338" s="1"/>
  <c r="G35" i="446" a="1"/>
  <c r="G35" i="446" s="1"/>
  <c r="AB30" i="1"/>
  <c r="F36" i="446" a="1"/>
  <c r="F36" i="446" s="1"/>
  <c r="AH10" i="338" a="1"/>
  <c r="AH10" i="338" s="1"/>
  <c r="AB27" i="1"/>
  <c r="F35" i="446" a="1"/>
  <c r="F35" i="446" s="1"/>
  <c r="AC20" i="2" a="1"/>
  <c r="AQ20" i="2" a="1"/>
  <c r="AQ20" i="2" l="1"/>
  <c r="AC20" i="2"/>
  <c r="Z10" i="2"/>
  <c r="AV10" i="2" s="1" a="1"/>
  <c r="AQ10" i="2" a="1"/>
  <c r="AC10" i="2" a="1"/>
  <c r="AC10" i="2" l="1"/>
  <c r="AQ10" i="2"/>
  <c r="AV10" i="2"/>
  <c r="G19" i="446" a="1"/>
  <c r="G19" i="446"/>
  <c r="AB42" i="1"/>
  <c r="F15" i="446" a="1"/>
  <c r="F15" i="446" s="1"/>
  <c r="AB41" i="1"/>
  <c r="F14" i="446" a="1"/>
  <c r="F14" i="446" s="1"/>
  <c r="AB44" i="1"/>
  <c r="F19" i="446" a="1"/>
  <c r="F19" i="446" s="1"/>
  <c r="G15" i="446" a="1"/>
  <c r="G15" i="446" s="1"/>
  <c r="G6" i="446" a="1"/>
  <c r="G6" i="446" s="1"/>
  <c r="G5" i="446" a="1"/>
  <c r="G5" i="446" s="1"/>
  <c r="AB40" i="1"/>
  <c r="F6" i="446" a="1"/>
  <c r="F6" i="446" s="1"/>
  <c r="F5" i="446" a="1"/>
  <c r="F5" i="446" s="1"/>
  <c r="G14" i="446" a="1"/>
  <c r="G14" i="446" s="1"/>
  <c r="G22" i="446" a="1"/>
  <c r="G22" i="446" s="1"/>
  <c r="F24" i="446" a="1"/>
  <c r="F24" i="446" s="1"/>
  <c r="F22" i="446" a="1"/>
  <c r="F22" i="446" s="1"/>
  <c r="F17" i="446" a="1"/>
  <c r="F17" i="446" s="1"/>
  <c r="F21" i="446" a="1"/>
  <c r="F21" i="446" s="1"/>
  <c r="G21" i="446" a="1"/>
  <c r="G21" i="446" s="1"/>
  <c r="G24" i="446" a="1"/>
  <c r="G24" i="446" s="1"/>
  <c r="G17" i="446" a="1"/>
  <c r="G17" i="446" s="1"/>
  <c r="G32" i="446" a="1"/>
  <c r="G32" i="446" s="1"/>
  <c r="G28" i="446" a="1"/>
  <c r="G28" i="446" s="1"/>
  <c r="G29" i="446" a="1"/>
  <c r="G29" i="446" s="1"/>
  <c r="D28" i="446" a="1"/>
  <c r="D28" i="446" s="1"/>
  <c r="F29" i="446" a="1"/>
  <c r="F29" i="446" s="1"/>
  <c r="F32" i="446" a="1"/>
  <c r="F32" i="446" s="1"/>
  <c r="G33" i="446" a="1"/>
  <c r="G33" i="446" s="1"/>
  <c r="F33" i="446" a="1"/>
  <c r="F33" i="446" s="1"/>
  <c r="F28" i="446" a="1"/>
  <c r="F28" i="446" s="1"/>
  <c r="D32" i="446" a="1"/>
  <c r="D32" i="446" s="1"/>
  <c r="D29" i="446" a="1"/>
  <c r="D29" i="446" s="1"/>
  <c r="D33" i="446" a="1"/>
  <c r="D33" i="446" s="1"/>
  <c r="E79" i="89" a="1"/>
  <c r="E79" i="89" l="1"/>
  <c r="E78" i="89" a="1"/>
  <c r="E78" i="89" s="1"/>
  <c r="E88" i="89" a="1"/>
  <c r="E88" i="89" s="1"/>
  <c r="E77" i="89" a="1"/>
  <c r="E77" i="89" s="1"/>
  <c r="AA21" i="2" a="1"/>
  <c r="AA21" i="2" s="1"/>
  <c r="T13" i="89" a="1"/>
  <c r="T13" i="89" s="1"/>
  <c r="T21" i="2" a="1"/>
  <c r="T21" i="2" s="1"/>
  <c r="O13" i="89" a="1"/>
  <c r="O13" i="89" s="1"/>
  <c r="D21" i="2" a="1"/>
  <c r="D21" i="2" s="1"/>
  <c r="C13" i="89" a="1"/>
  <c r="AC21" i="2" l="1" a="1"/>
  <c r="AC21" i="2" s="1"/>
  <c r="Z21" i="2"/>
  <c r="AV21" i="2" s="1" a="1"/>
  <c r="AV21" i="2" s="1"/>
  <c r="AQ21" i="2" a="1"/>
  <c r="AQ21" i="2" s="1"/>
  <c r="C13" i="89"/>
  <c r="AB13" i="89" s="1" a="1"/>
  <c r="AB13" i="89" s="1"/>
  <c r="Z14" i="2"/>
  <c r="AQ14" i="2" a="1"/>
  <c r="AQ14" i="2" l="1"/>
  <c r="Q33" i="1"/>
  <c r="S33" i="1"/>
  <c r="AB8" i="89" a="1"/>
  <c r="AB8" i="89" l="1"/>
  <c r="AV14" i="2" a="1"/>
  <c r="AV14" i="2" l="1"/>
  <c r="AD21" i="2" a="1"/>
  <c r="AD21" i="2" s="1"/>
  <c r="V13" i="89" a="1"/>
  <c r="V13" i="89" s="1"/>
  <c r="F18" i="446" a="1"/>
  <c r="F18" i="446" s="1"/>
  <c r="AK12" i="338" a="1"/>
  <c r="AK12" i="338" s="1"/>
  <c r="AK11" i="338" a="1"/>
  <c r="AK11" i="338" s="1"/>
  <c r="AK10" i="338" a="1"/>
  <c r="AK10" i="338" s="1"/>
  <c r="AI12" i="338" a="1"/>
  <c r="AI12" i="338" s="1"/>
  <c r="AI11" i="338" a="1"/>
  <c r="AI11" i="338" s="1"/>
  <c r="AI10" i="338" a="1"/>
  <c r="AI10" i="338" s="1"/>
  <c r="AG12" i="338"/>
  <c r="AG11" i="338"/>
  <c r="AG10" i="338"/>
  <c r="G18" i="446" a="1"/>
  <c r="G18" i="446" s="1"/>
  <c r="AH8" i="338" a="1"/>
  <c r="AH8" i="338" s="1"/>
  <c r="AJ8" i="338" a="1"/>
  <c r="AJ8" i="338" s="1"/>
  <c r="AF8" i="338"/>
  <c r="J1" i="24" a="1"/>
  <c r="J1" i="24" s="1"/>
  <c r="K2" i="2" a="1"/>
  <c r="K2" i="2" s="1"/>
  <c r="C62" i="89" a="1"/>
  <c r="C62" i="89" s="1"/>
  <c r="E87" i="89" a="1"/>
  <c r="E87" i="89" s="1"/>
  <c r="E86" i="89" a="1"/>
  <c r="E86" i="89" s="1"/>
  <c r="E62" i="89" a="1"/>
  <c r="E62" i="89" s="1"/>
  <c r="E44" i="89" a="1"/>
  <c r="E44" i="89" s="1"/>
  <c r="E43" i="89" a="1"/>
  <c r="E43" i="89" s="1"/>
  <c r="D62" i="89" a="1"/>
  <c r="D62" i="89" s="1"/>
  <c r="D44" i="89" a="1"/>
  <c r="D44" i="89" s="1"/>
  <c r="D43" i="89" a="1"/>
  <c r="D43" i="89" s="1"/>
  <c r="C87" i="89" a="1"/>
  <c r="C87" i="89" s="1"/>
  <c r="C86" i="89" a="1"/>
  <c r="C86" i="89" s="1"/>
  <c r="C44" i="89" a="1"/>
  <c r="C44" i="89" s="1"/>
  <c r="C43" i="89" a="1"/>
  <c r="C43" i="89" s="1"/>
  <c r="V62" i="89" a="1"/>
  <c r="V62" i="89" s="1"/>
  <c r="T87" i="89" a="1"/>
  <c r="T87" i="89" s="1"/>
  <c r="T86" i="89" a="1"/>
  <c r="T86" i="89" s="1"/>
  <c r="T44" i="89" a="1"/>
  <c r="T44" i="89" s="1"/>
  <c r="T43" i="89" a="1"/>
  <c r="T43" i="89" s="1"/>
  <c r="V87" i="89" a="1"/>
  <c r="V87" i="89" s="1"/>
  <c r="V86" i="89" a="1"/>
  <c r="V86" i="89" s="1"/>
  <c r="V44" i="89" a="1"/>
  <c r="V44" i="89" s="1"/>
  <c r="V43" i="89" a="1"/>
  <c r="V43" i="89" s="1"/>
  <c r="T62" i="89" a="1"/>
  <c r="T62" i="89" s="1"/>
  <c r="O87" i="89" a="1"/>
  <c r="O87" i="89" s="1"/>
  <c r="O86" i="89" a="1"/>
  <c r="O86" i="89" l="1"/>
  <c r="O44" i="89" a="1"/>
  <c r="O44" i="89" l="1"/>
  <c r="O43" i="89" a="1"/>
  <c r="O43" i="89" l="1"/>
  <c r="BA11" i="2" l="1"/>
  <c r="BB11" i="2"/>
  <c r="Q11" i="2" a="1"/>
  <c r="AF11" i="2" a="1"/>
  <c r="G11" i="2" a="1"/>
  <c r="P11" i="2" a="1"/>
  <c r="BC11" i="2" l="1"/>
  <c r="G11" i="2"/>
  <c r="P11" i="2"/>
  <c r="AF11" i="2"/>
  <c r="Q11" i="2"/>
  <c r="S11" i="2" a="1"/>
  <c r="N33" i="1" l="1"/>
  <c r="T33" i="1" s="1"/>
  <c r="J33" i="1"/>
  <c r="S11" i="2"/>
  <c r="U11" i="2" s="1"/>
  <c r="O11" i="2"/>
  <c r="R11" i="2"/>
  <c r="Z11" i="2"/>
  <c r="AV11" i="2" s="1" a="1"/>
  <c r="Z19" i="2"/>
  <c r="AV19" i="2" s="1" a="1"/>
  <c r="AV19" i="2" s="1"/>
  <c r="AO11" i="2" l="1"/>
  <c r="AV11" i="2"/>
  <c r="AP11" i="2"/>
  <c r="AT11" i="2"/>
  <c r="AS11" i="2"/>
  <c r="AL11" i="2"/>
  <c r="AM11" i="2"/>
  <c r="M11" i="2"/>
  <c r="X11" i="2"/>
  <c r="Y11" i="2" s="1"/>
  <c r="AB11" i="2"/>
  <c r="AE11" i="2"/>
  <c r="K20" i="89" a="1"/>
  <c r="W19" i="89"/>
  <c r="F20" i="89" a="1"/>
  <c r="L20" i="89" a="1"/>
  <c r="L19" i="89"/>
  <c r="W20" i="89" a="1"/>
  <c r="F19" i="89"/>
  <c r="K19" i="89"/>
  <c r="W20" i="89" l="1"/>
  <c r="L20" i="89"/>
  <c r="K20" i="89"/>
  <c r="F20" i="89"/>
  <c r="BB4" i="2"/>
  <c r="BA4" i="2"/>
  <c r="AF4" i="2" a="1"/>
  <c r="P4" i="2" a="1"/>
  <c r="Q4" i="2" a="1"/>
  <c r="G4" i="2" a="1"/>
  <c r="BC4" i="2" l="1"/>
  <c r="AF4" i="2"/>
  <c r="G4" i="2"/>
  <c r="P4" i="2"/>
  <c r="Q4" i="2"/>
  <c r="S4" i="2" a="1"/>
  <c r="R4" i="2" l="1"/>
  <c r="S4" i="2"/>
  <c r="AP4" i="2" s="1"/>
  <c r="O4" i="2"/>
  <c r="AO4" i="2" l="1"/>
  <c r="U4" i="2"/>
  <c r="AE4" i="2"/>
  <c r="AL4" i="2"/>
  <c r="AT4" i="2"/>
  <c r="AS4" i="2"/>
  <c r="X4" i="2"/>
  <c r="Y4" i="2" s="1"/>
  <c r="M4" i="2"/>
  <c r="AB4" i="2"/>
  <c r="AM4" i="2"/>
  <c r="K103" i="89" a="1"/>
  <c r="F103" i="89" a="1"/>
  <c r="L103" i="89" a="1"/>
  <c r="W103" i="89" a="1"/>
  <c r="F103" i="89" l="1"/>
  <c r="K103" i="89"/>
  <c r="L103" i="89"/>
  <c r="W103" i="89"/>
  <c r="N19" i="1"/>
  <c r="J19" i="1"/>
  <c r="BA5" i="2" l="1"/>
  <c r="P5" i="2" a="1"/>
  <c r="G5" i="2" a="1"/>
  <c r="Q5" i="2" a="1"/>
  <c r="AF5" i="2" a="1"/>
  <c r="P5" i="2" l="1"/>
  <c r="Q5" i="2"/>
  <c r="G5" i="2"/>
  <c r="AF5" i="2"/>
  <c r="BB5" i="2"/>
  <c r="BC5" i="2" s="1"/>
  <c r="S5" i="2" a="1"/>
  <c r="R5" i="2" l="1"/>
  <c r="S5" i="2"/>
  <c r="AO5" i="2" s="1"/>
  <c r="O5" i="2"/>
  <c r="Z5" i="2"/>
  <c r="AV5" i="2" s="1" a="1"/>
  <c r="AP5" i="2" l="1"/>
  <c r="U5" i="2"/>
  <c r="AV5" i="2"/>
  <c r="AT5" i="2"/>
  <c r="AL5" i="2"/>
  <c r="AS5" i="2"/>
  <c r="AB5" i="2"/>
  <c r="M5" i="2"/>
  <c r="AM5" i="2"/>
  <c r="X5" i="2"/>
  <c r="Y5" i="2" s="1"/>
  <c r="AE5" i="2"/>
  <c r="F96" i="89" a="1"/>
  <c r="L95" i="89" a="1"/>
  <c r="W96" i="89" a="1"/>
  <c r="W94" i="89" a="1"/>
  <c r="K95" i="89" a="1"/>
  <c r="K96" i="89" a="1"/>
  <c r="L96" i="89" a="1"/>
  <c r="L94" i="89" a="1"/>
  <c r="K94" i="89" a="1"/>
  <c r="F95" i="89" a="1"/>
  <c r="W95" i="89" a="1"/>
  <c r="F94" i="89" a="1"/>
  <c r="K95" i="89" l="1"/>
  <c r="F96" i="89"/>
  <c r="F94" i="89"/>
  <c r="L94" i="89"/>
  <c r="F95" i="89"/>
  <c r="K96" i="89"/>
  <c r="W94" i="89"/>
  <c r="K94" i="89"/>
  <c r="W95" i="89"/>
  <c r="W96" i="89"/>
  <c r="L96" i="89"/>
  <c r="L95" i="89"/>
  <c r="F104" i="89" a="1"/>
  <c r="F105" i="89" a="1"/>
  <c r="W105" i="89" a="1"/>
  <c r="L105" i="89" a="1"/>
  <c r="L104" i="89" a="1"/>
  <c r="K104" i="89" a="1"/>
  <c r="K105" i="89" a="1"/>
  <c r="S20" i="89" a="1"/>
  <c r="W104" i="89" a="1"/>
  <c r="W105" i="89" l="1"/>
  <c r="F104" i="89"/>
  <c r="F105" i="89"/>
  <c r="L105" i="89"/>
  <c r="K104" i="89"/>
  <c r="L104" i="89"/>
  <c r="W104" i="89"/>
  <c r="K105" i="89"/>
  <c r="S20" i="89"/>
  <c r="R20" i="89" a="1"/>
  <c r="S19" i="89" a="1"/>
  <c r="R20" i="89" l="1"/>
  <c r="S19" i="89"/>
  <c r="R19" i="89" a="1"/>
  <c r="R19" i="89" l="1"/>
  <c r="BB22" i="2"/>
  <c r="BA22" i="2"/>
  <c r="BB21" i="2"/>
  <c r="BA21" i="2"/>
  <c r="P21" i="2" a="1"/>
  <c r="G21" i="2" a="1"/>
  <c r="AF21" i="2" a="1"/>
  <c r="Q21" i="2" a="1"/>
  <c r="BC21" i="2" l="1"/>
  <c r="BC22" i="2"/>
  <c r="G21" i="2"/>
  <c r="P21" i="2"/>
  <c r="Q21" i="2"/>
  <c r="AF21" i="2"/>
  <c r="S22" i="2" a="1"/>
  <c r="S21" i="2" a="1"/>
  <c r="S22" i="2" l="1"/>
  <c r="S21" i="2"/>
  <c r="U21" i="2" s="1"/>
  <c r="O21" i="2"/>
  <c r="AP21" i="2"/>
  <c r="AO21" i="2"/>
  <c r="R21" i="2"/>
  <c r="O22" i="2"/>
  <c r="AP22" i="2"/>
  <c r="U22" i="2"/>
  <c r="AO22" i="2"/>
  <c r="R22" i="2"/>
  <c r="Z22" i="2"/>
  <c r="AV22" i="2" s="1" a="1"/>
  <c r="AV22" i="2" l="1"/>
  <c r="AE22" i="2"/>
  <c r="AT22" i="2"/>
  <c r="AS22" i="2"/>
  <c r="AL22" i="2"/>
  <c r="X22" i="2"/>
  <c r="Y22" i="2" s="1"/>
  <c r="AM22" i="2"/>
  <c r="M22" i="2"/>
  <c r="AB22" i="2"/>
  <c r="AT21" i="2"/>
  <c r="AS21" i="2"/>
  <c r="AL21" i="2"/>
  <c r="M21" i="2"/>
  <c r="AB21" i="2"/>
  <c r="X21" i="2"/>
  <c r="Y21" i="2" s="1"/>
  <c r="AM21" i="2"/>
  <c r="AE21" i="2"/>
  <c r="BB24" i="2" l="1"/>
  <c r="BA24" i="2"/>
  <c r="F13" i="89" a="1"/>
  <c r="AF24" i="2" a="1"/>
  <c r="L24" i="2" a="1"/>
  <c r="P24" i="2" a="1"/>
  <c r="K13" i="89" a="1"/>
  <c r="W13" i="89" a="1"/>
  <c r="G24" i="2" a="1"/>
  <c r="AN24" i="2" a="1"/>
  <c r="Q24" i="2" a="1"/>
  <c r="L13" i="89" a="1"/>
  <c r="L24" i="2" l="1"/>
  <c r="F13" i="89"/>
  <c r="K13" i="89"/>
  <c r="AN24" i="2"/>
  <c r="L13" i="89"/>
  <c r="W13" i="89"/>
  <c r="BC24" i="2"/>
  <c r="G24" i="2"/>
  <c r="P24" i="2"/>
  <c r="Q24" i="2"/>
  <c r="AF24" i="2"/>
  <c r="S24" i="2" a="1"/>
  <c r="R24" i="2" l="1"/>
  <c r="S24" i="2"/>
  <c r="U24" i="2" s="1"/>
  <c r="O24" i="2"/>
  <c r="AO24" i="2" l="1"/>
  <c r="AP24" i="2"/>
  <c r="AT24" i="2"/>
  <c r="AS24" i="2"/>
  <c r="AL24" i="2"/>
  <c r="X24" i="2"/>
  <c r="Y24" i="2" s="1"/>
  <c r="AM24" i="2"/>
  <c r="AB24" i="2"/>
  <c r="M24" i="2"/>
  <c r="AE24" i="2"/>
  <c r="J15" i="1" l="1"/>
  <c r="N15" i="1"/>
  <c r="S31" i="89" a="1"/>
  <c r="S37" i="89" a="1"/>
  <c r="S105" i="89" a="1"/>
  <c r="S105" i="89" l="1"/>
  <c r="S37" i="89"/>
  <c r="S31" i="89"/>
  <c r="N16" i="1"/>
  <c r="T16" i="1" s="1"/>
  <c r="F16" i="1" s="1"/>
  <c r="J16" i="1"/>
  <c r="BA10" i="2"/>
  <c r="BB10" i="2"/>
  <c r="BA9" i="2"/>
  <c r="BB9" i="2"/>
  <c r="R31" i="89" a="1"/>
  <c r="R105" i="89" a="1"/>
  <c r="R37" i="89" a="1"/>
  <c r="R37" i="89" l="1"/>
  <c r="R105" i="89"/>
  <c r="R31" i="89"/>
  <c r="BC9" i="2"/>
  <c r="BC10" i="2"/>
  <c r="S10" i="2" a="1"/>
  <c r="S9" i="2" a="1"/>
  <c r="Z20" i="2"/>
  <c r="AV20" i="2" s="1" a="1"/>
  <c r="AV20" i="2" l="1"/>
  <c r="R10" i="2"/>
  <c r="S10" i="2"/>
  <c r="AP10" i="2" s="1"/>
  <c r="S9" i="2"/>
  <c r="AO9" i="2" s="1"/>
  <c r="O9" i="2"/>
  <c r="R9" i="2"/>
  <c r="O10" i="2"/>
  <c r="Z9" i="2"/>
  <c r="AV9" i="2" s="1" a="1"/>
  <c r="AV9" i="2" l="1"/>
  <c r="AE9" i="2"/>
  <c r="AE10" i="2"/>
  <c r="U9" i="2"/>
  <c r="AP9" i="2"/>
  <c r="AO10" i="2"/>
  <c r="U10" i="2"/>
  <c r="AT10" i="2"/>
  <c r="AS10" i="2"/>
  <c r="AL10" i="2"/>
  <c r="M10" i="2"/>
  <c r="AB10" i="2"/>
  <c r="X10" i="2"/>
  <c r="Y10" i="2" s="1"/>
  <c r="AM10" i="2"/>
  <c r="AL9" i="2"/>
  <c r="AT9" i="2"/>
  <c r="AS9" i="2"/>
  <c r="AM9" i="2"/>
  <c r="AB9" i="2"/>
  <c r="X9" i="2"/>
  <c r="Y9" i="2" s="1"/>
  <c r="M9" i="2"/>
  <c r="BA14" i="2" l="1"/>
  <c r="BB14" i="2"/>
  <c r="BA13" i="2"/>
  <c r="BB13" i="2"/>
  <c r="BC14" i="2" l="1"/>
  <c r="BC13" i="2"/>
  <c r="S13" i="2" a="1"/>
  <c r="S14" i="2" a="1"/>
  <c r="R13" i="2" l="1"/>
  <c r="R14" i="2"/>
  <c r="S13" i="2"/>
  <c r="U13" i="2" s="1"/>
  <c r="S14" i="2"/>
  <c r="O13" i="2"/>
  <c r="AO14" i="2"/>
  <c r="AP14" i="2"/>
  <c r="O14" i="2"/>
  <c r="U14" i="2"/>
  <c r="Z13" i="2"/>
  <c r="AV13" i="2" s="1" a="1"/>
  <c r="AV13" i="2" l="1"/>
  <c r="AO13" i="2"/>
  <c r="AP13" i="2"/>
  <c r="AL13" i="2"/>
  <c r="AT13" i="2"/>
  <c r="AS13" i="2"/>
  <c r="AB13" i="2"/>
  <c r="M13" i="2"/>
  <c r="X13" i="2"/>
  <c r="Y13" i="2" s="1"/>
  <c r="AM13" i="2"/>
  <c r="AE13" i="2"/>
  <c r="AE14" i="2"/>
  <c r="AT14" i="2"/>
  <c r="AS14" i="2"/>
  <c r="AL14" i="2"/>
  <c r="M14" i="2"/>
  <c r="AB14" i="2"/>
  <c r="X14" i="2"/>
  <c r="Y14" i="2" s="1"/>
  <c r="AM14" i="2"/>
  <c r="BA7" i="2" l="1"/>
  <c r="BB7" i="2"/>
  <c r="BC7" i="2" l="1"/>
  <c r="S7" i="2" a="1"/>
  <c r="R7" i="2" l="1"/>
  <c r="S7" i="2"/>
  <c r="U7" i="2" s="1"/>
  <c r="O7" i="2"/>
  <c r="AP7" i="2"/>
  <c r="AO7" i="2"/>
  <c r="AT7" i="2" l="1"/>
  <c r="AS7" i="2"/>
  <c r="AL7" i="2"/>
  <c r="X7" i="2"/>
  <c r="Y7" i="2" s="1"/>
  <c r="M7" i="2"/>
  <c r="AM7" i="2"/>
  <c r="AB7" i="2"/>
  <c r="AE7" i="2"/>
  <c r="X2" i="527" l="1"/>
  <c r="U2" i="527"/>
  <c r="R2" i="527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S159" i="444"/>
  <c r="R159" i="444"/>
  <c r="G159" i="444"/>
  <c r="R158" i="444"/>
  <c r="T158" i="444" s="1"/>
  <c r="U158" i="444" s="1"/>
  <c r="G158" i="444"/>
  <c r="R157" i="444"/>
  <c r="T157" i="444" s="1"/>
  <c r="U157" i="444" s="1"/>
  <c r="G157" i="444"/>
  <c r="T156" i="444"/>
  <c r="U156" i="444" s="1"/>
  <c r="V156" i="444" s="1"/>
  <c r="W156" i="444" s="1"/>
  <c r="S156" i="444"/>
  <c r="R156" i="444"/>
  <c r="G156" i="444"/>
  <c r="R155" i="444"/>
  <c r="G155" i="444"/>
  <c r="S154" i="444"/>
  <c r="R154" i="444"/>
  <c r="T154" i="444" s="1"/>
  <c r="U154" i="444" s="1"/>
  <c r="G154" i="444"/>
  <c r="T153" i="444"/>
  <c r="U153" i="444" s="1"/>
  <c r="V153" i="444" s="1"/>
  <c r="W153" i="444" s="1"/>
  <c r="S153" i="444"/>
  <c r="R153" i="444"/>
  <c r="G153" i="444"/>
  <c r="R152" i="444"/>
  <c r="T152" i="444" s="1"/>
  <c r="U152" i="444" s="1"/>
  <c r="G152" i="444"/>
  <c r="T151" i="444"/>
  <c r="U151" i="444" s="1"/>
  <c r="S151" i="444"/>
  <c r="R151" i="444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T148" i="444"/>
  <c r="U148" i="444" s="1"/>
  <c r="R148" i="444"/>
  <c r="S148" i="444" s="1"/>
  <c r="G148" i="444"/>
  <c r="S147" i="444"/>
  <c r="R147" i="444"/>
  <c r="T147" i="444" s="1"/>
  <c r="U147" i="444" s="1"/>
  <c r="V147" i="444" s="1"/>
  <c r="W147" i="444" s="1"/>
  <c r="G147" i="444"/>
  <c r="T146" i="444"/>
  <c r="U146" i="444" s="1"/>
  <c r="R146" i="444"/>
  <c r="S146" i="444" s="1"/>
  <c r="G146" i="444"/>
  <c r="R145" i="444"/>
  <c r="G145" i="444"/>
  <c r="T144" i="444"/>
  <c r="U144" i="444" s="1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R141" i="444"/>
  <c r="T141" i="444" s="1"/>
  <c r="U141" i="444" s="1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G137" i="444"/>
  <c r="R136" i="444"/>
  <c r="T136" i="444" s="1"/>
  <c r="U136" i="444" s="1"/>
  <c r="G136" i="444"/>
  <c r="R135" i="444"/>
  <c r="G135" i="444"/>
  <c r="R134" i="444"/>
  <c r="T134" i="444" s="1"/>
  <c r="U134" i="444" s="1"/>
  <c r="G134" i="444"/>
  <c r="T133" i="444"/>
  <c r="U133" i="444" s="1"/>
  <c r="S133" i="444"/>
  <c r="R133" i="444"/>
  <c r="G133" i="444"/>
  <c r="R132" i="444"/>
  <c r="T132" i="444" s="1"/>
  <c r="U132" i="444" s="1"/>
  <c r="G132" i="444"/>
  <c r="T131" i="444"/>
  <c r="U131" i="444" s="1"/>
  <c r="S131" i="444"/>
  <c r="R131" i="444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R128" i="444"/>
  <c r="S128" i="444" s="1"/>
  <c r="G128" i="444"/>
  <c r="S127" i="444"/>
  <c r="R127" i="444"/>
  <c r="T127" i="444" s="1"/>
  <c r="U127" i="444" s="1"/>
  <c r="V127" i="444" s="1"/>
  <c r="W127" i="444" s="1"/>
  <c r="G127" i="444"/>
  <c r="T126" i="444"/>
  <c r="U126" i="444" s="1"/>
  <c r="R126" i="444"/>
  <c r="S126" i="444" s="1"/>
  <c r="G126" i="444"/>
  <c r="R125" i="444"/>
  <c r="T125" i="444" s="1"/>
  <c r="U125" i="444" s="1"/>
  <c r="G125" i="444"/>
  <c r="T124" i="444"/>
  <c r="U124" i="444" s="1"/>
  <c r="V124" i="444" s="1"/>
  <c r="W124" i="444" s="1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R120" i="444"/>
  <c r="T120" i="444" s="1"/>
  <c r="U120" i="444" s="1"/>
  <c r="G120" i="444"/>
  <c r="R119" i="444"/>
  <c r="T119" i="444" s="1"/>
  <c r="U119" i="444" s="1"/>
  <c r="G119" i="444"/>
  <c r="R118" i="444"/>
  <c r="G118" i="444"/>
  <c r="R117" i="444"/>
  <c r="G117" i="444"/>
  <c r="R116" i="444"/>
  <c r="T116" i="444" s="1"/>
  <c r="U116" i="444" s="1"/>
  <c r="G116" i="444"/>
  <c r="R115" i="444"/>
  <c r="T115" i="444" s="1"/>
  <c r="U115" i="444" s="1"/>
  <c r="G115" i="444"/>
  <c r="S114" i="444"/>
  <c r="R114" i="444"/>
  <c r="T114" i="444" s="1"/>
  <c r="U114" i="444" s="1"/>
  <c r="G114" i="444"/>
  <c r="T113" i="444"/>
  <c r="U113" i="444" s="1"/>
  <c r="S113" i="444"/>
  <c r="R113" i="444"/>
  <c r="G113" i="444"/>
  <c r="R112" i="444"/>
  <c r="T112" i="444" s="1"/>
  <c r="U112" i="444" s="1"/>
  <c r="G112" i="444"/>
  <c r="T111" i="444"/>
  <c r="U111" i="444" s="1"/>
  <c r="S111" i="444"/>
  <c r="R111" i="444"/>
  <c r="G111" i="444"/>
  <c r="R110" i="444"/>
  <c r="S110" i="444" s="1"/>
  <c r="G110" i="444"/>
  <c r="T109" i="444"/>
  <c r="U109" i="444" s="1"/>
  <c r="S109" i="444"/>
  <c r="R109" i="444"/>
  <c r="G109" i="444"/>
  <c r="R108" i="444"/>
  <c r="S108" i="444" s="1"/>
  <c r="G108" i="444"/>
  <c r="S107" i="444"/>
  <c r="R107" i="444"/>
  <c r="T107" i="444" s="1"/>
  <c r="U107" i="444" s="1"/>
  <c r="V107" i="444" s="1"/>
  <c r="W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T104" i="444"/>
  <c r="U104" i="444" s="1"/>
  <c r="R104" i="444"/>
  <c r="S104" i="444" s="1"/>
  <c r="G104" i="444"/>
  <c r="R103" i="444"/>
  <c r="T103" i="444" s="1"/>
  <c r="U103" i="444" s="1"/>
  <c r="G103" i="444"/>
  <c r="S102" i="444"/>
  <c r="R102" i="444"/>
  <c r="T102" i="444" s="1"/>
  <c r="U102" i="444" s="1"/>
  <c r="G102" i="444"/>
  <c r="R101" i="444"/>
  <c r="T101" i="444" s="1"/>
  <c r="U101" i="444" s="1"/>
  <c r="G101" i="444"/>
  <c r="R100" i="444"/>
  <c r="T100" i="444" s="1"/>
  <c r="U100" i="444" s="1"/>
  <c r="G100" i="444"/>
  <c r="S99" i="444"/>
  <c r="R99" i="444"/>
  <c r="T99" i="444" s="1"/>
  <c r="U99" i="444" s="1"/>
  <c r="G99" i="444"/>
  <c r="R98" i="444"/>
  <c r="G98" i="444"/>
  <c r="R97" i="444"/>
  <c r="G97" i="444"/>
  <c r="T96" i="444"/>
  <c r="U96" i="444" s="1"/>
  <c r="S96" i="444"/>
  <c r="R96" i="444"/>
  <c r="G96" i="444"/>
  <c r="S95" i="444"/>
  <c r="R95" i="444"/>
  <c r="T95" i="444" s="1"/>
  <c r="U95" i="444" s="1"/>
  <c r="G95" i="444"/>
  <c r="R94" i="444"/>
  <c r="T94" i="444" s="1"/>
  <c r="U94" i="444" s="1"/>
  <c r="G94" i="444"/>
  <c r="T93" i="444"/>
  <c r="U93" i="444" s="1"/>
  <c r="S93" i="444"/>
  <c r="R93" i="444"/>
  <c r="G93" i="444"/>
  <c r="R92" i="444"/>
  <c r="S92" i="444" s="1"/>
  <c r="G92" i="444"/>
  <c r="R91" i="444"/>
  <c r="T91" i="444" s="1"/>
  <c r="U91" i="444" s="1"/>
  <c r="G91" i="444"/>
  <c r="T90" i="444"/>
  <c r="U90" i="444" s="1"/>
  <c r="V90" i="444" s="1"/>
  <c r="W90" i="444" s="1"/>
  <c r="R90" i="444"/>
  <c r="S90" i="444" s="1"/>
  <c r="G90" i="444"/>
  <c r="T89" i="444"/>
  <c r="U89" i="444" s="1"/>
  <c r="S89" i="444"/>
  <c r="R89" i="444"/>
  <c r="G89" i="444"/>
  <c r="R88" i="444"/>
  <c r="S88" i="444" s="1"/>
  <c r="G88" i="444"/>
  <c r="S87" i="444"/>
  <c r="R87" i="444"/>
  <c r="T87" i="444" s="1"/>
  <c r="U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T84" i="444"/>
  <c r="U84" i="444" s="1"/>
  <c r="V84" i="444" s="1"/>
  <c r="W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R80" i="444"/>
  <c r="S80" i="444" s="1"/>
  <c r="G80" i="444"/>
  <c r="T79" i="444"/>
  <c r="U79" i="444" s="1"/>
  <c r="R79" i="444"/>
  <c r="S79" i="444" s="1"/>
  <c r="G79" i="444"/>
  <c r="R78" i="444"/>
  <c r="G78" i="444"/>
  <c r="R77" i="444"/>
  <c r="G77" i="444"/>
  <c r="T76" i="444"/>
  <c r="U76" i="444" s="1"/>
  <c r="S76" i="444"/>
  <c r="R76" i="444"/>
  <c r="G76" i="444"/>
  <c r="S75" i="444"/>
  <c r="R75" i="444"/>
  <c r="T75" i="444" s="1"/>
  <c r="U75" i="444" s="1"/>
  <c r="G75" i="444"/>
  <c r="R74" i="444"/>
  <c r="T74" i="444" s="1"/>
  <c r="U74" i="444" s="1"/>
  <c r="G74" i="444"/>
  <c r="T73" i="444"/>
  <c r="U73" i="444" s="1"/>
  <c r="S73" i="444"/>
  <c r="R73" i="444"/>
  <c r="G73" i="444"/>
  <c r="R72" i="444"/>
  <c r="S72" i="444" s="1"/>
  <c r="G72" i="444"/>
  <c r="R71" i="444"/>
  <c r="T71" i="444" s="1"/>
  <c r="U71" i="444" s="1"/>
  <c r="G71" i="444"/>
  <c r="T70" i="444"/>
  <c r="U70" i="444" s="1"/>
  <c r="V70" i="444" s="1"/>
  <c r="W70" i="444" s="1"/>
  <c r="R70" i="444"/>
  <c r="S70" i="444" s="1"/>
  <c r="G70" i="444"/>
  <c r="T69" i="444"/>
  <c r="U69" i="444" s="1"/>
  <c r="S69" i="444"/>
  <c r="R69" i="444"/>
  <c r="G69" i="444"/>
  <c r="R68" i="444"/>
  <c r="S68" i="444" s="1"/>
  <c r="G68" i="444"/>
  <c r="S67" i="444"/>
  <c r="R67" i="444"/>
  <c r="T67" i="444" s="1"/>
  <c r="U67" i="444" s="1"/>
  <c r="G67" i="444"/>
  <c r="T66" i="444"/>
  <c r="U66" i="444" s="1"/>
  <c r="V66" i="444" s="1"/>
  <c r="W66" i="444" s="1"/>
  <c r="R66" i="444"/>
  <c r="S66" i="444" s="1"/>
  <c r="G66" i="444"/>
  <c r="T65" i="444"/>
  <c r="U65" i="444" s="1"/>
  <c r="S65" i="444"/>
  <c r="R65" i="444"/>
  <c r="G65" i="444"/>
  <c r="T64" i="444"/>
  <c r="U64" i="444" s="1"/>
  <c r="V64" i="444" s="1"/>
  <c r="W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R61" i="444"/>
  <c r="T61" i="444" s="1"/>
  <c r="U61" i="444" s="1"/>
  <c r="G61" i="444"/>
  <c r="R60" i="444"/>
  <c r="T60" i="444" s="1"/>
  <c r="U60" i="444" s="1"/>
  <c r="G60" i="444"/>
  <c r="R59" i="444"/>
  <c r="T59" i="444" s="1"/>
  <c r="U59" i="444" s="1"/>
  <c r="G59" i="444"/>
  <c r="R58" i="444"/>
  <c r="G58" i="444"/>
  <c r="R57" i="444"/>
  <c r="G57" i="444"/>
  <c r="T56" i="444"/>
  <c r="U56" i="444" s="1"/>
  <c r="S56" i="444"/>
  <c r="R56" i="444"/>
  <c r="G56" i="444"/>
  <c r="S55" i="444"/>
  <c r="R55" i="444"/>
  <c r="T55" i="444" s="1"/>
  <c r="U55" i="444" s="1"/>
  <c r="G55" i="444"/>
  <c r="R54" i="444"/>
  <c r="T54" i="444" s="1"/>
  <c r="U54" i="444" s="1"/>
  <c r="G54" i="444"/>
  <c r="T53" i="444"/>
  <c r="U53" i="444" s="1"/>
  <c r="S53" i="444"/>
  <c r="R53" i="444"/>
  <c r="G53" i="444"/>
  <c r="R52" i="444"/>
  <c r="S52" i="444" s="1"/>
  <c r="G52" i="444"/>
  <c r="R51" i="444"/>
  <c r="T51" i="444" s="1"/>
  <c r="U51" i="444" s="1"/>
  <c r="G51" i="444"/>
  <c r="R50" i="444"/>
  <c r="S50" i="444" s="1"/>
  <c r="G50" i="444"/>
  <c r="T49" i="444"/>
  <c r="U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R46" i="444"/>
  <c r="S46" i="444" s="1"/>
  <c r="G46" i="444"/>
  <c r="T45" i="444"/>
  <c r="U45" i="444" s="1"/>
  <c r="S45" i="444"/>
  <c r="R45" i="444"/>
  <c r="G45" i="444"/>
  <c r="T44" i="444"/>
  <c r="U44" i="444" s="1"/>
  <c r="V44" i="444" s="1"/>
  <c r="W44" i="444" s="1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R40" i="444"/>
  <c r="T40" i="444" s="1"/>
  <c r="U40" i="444" s="1"/>
  <c r="G40" i="444"/>
  <c r="R39" i="444"/>
  <c r="T39" i="444" s="1"/>
  <c r="U39" i="444" s="1"/>
  <c r="G39" i="444"/>
  <c r="R38" i="444"/>
  <c r="G38" i="444"/>
  <c r="R37" i="444"/>
  <c r="G37" i="444"/>
  <c r="T36" i="444"/>
  <c r="U36" i="444" s="1"/>
  <c r="S36" i="444"/>
  <c r="R36" i="444"/>
  <c r="G36" i="444"/>
  <c r="R35" i="444"/>
  <c r="T35" i="444" s="1"/>
  <c r="U35" i="444" s="1"/>
  <c r="G35" i="444"/>
  <c r="R34" i="444"/>
  <c r="T34" i="444" s="1"/>
  <c r="U34" i="444" s="1"/>
  <c r="G34" i="444"/>
  <c r="T33" i="444"/>
  <c r="U33" i="444" s="1"/>
  <c r="S33" i="444"/>
  <c r="R33" i="444"/>
  <c r="G33" i="444"/>
  <c r="R32" i="444"/>
  <c r="T32" i="444" s="1"/>
  <c r="U32" i="444" s="1"/>
  <c r="G32" i="444"/>
  <c r="R31" i="444"/>
  <c r="T31" i="444" s="1"/>
  <c r="U31" i="444" s="1"/>
  <c r="G31" i="444"/>
  <c r="R30" i="444"/>
  <c r="S30" i="444" s="1"/>
  <c r="G30" i="444"/>
  <c r="T29" i="444"/>
  <c r="U29" i="444" s="1"/>
  <c r="S29" i="444"/>
  <c r="R29" i="444"/>
  <c r="G29" i="444"/>
  <c r="R28" i="444"/>
  <c r="S28" i="444" s="1"/>
  <c r="G28" i="444"/>
  <c r="S27" i="444"/>
  <c r="R27" i="444"/>
  <c r="T27" i="444" s="1"/>
  <c r="U27" i="444" s="1"/>
  <c r="G27" i="444"/>
  <c r="T26" i="444"/>
  <c r="U26" i="444" s="1"/>
  <c r="R26" i="444"/>
  <c r="S26" i="444" s="1"/>
  <c r="G26" i="444"/>
  <c r="T25" i="444"/>
  <c r="U25" i="444" s="1"/>
  <c r="S25" i="444"/>
  <c r="R25" i="444"/>
  <c r="G25" i="444"/>
  <c r="T24" i="444"/>
  <c r="U24" i="444" s="1"/>
  <c r="V24" i="444" s="1"/>
  <c r="W24" i="444" s="1"/>
  <c r="R24" i="444"/>
  <c r="S24" i="444" s="1"/>
  <c r="G24" i="444"/>
  <c r="R23" i="444"/>
  <c r="T23" i="444" s="1"/>
  <c r="U23" i="444" s="1"/>
  <c r="G23" i="444"/>
  <c r="R22" i="444"/>
  <c r="S22" i="444" s="1"/>
  <c r="G22" i="444"/>
  <c r="R21" i="444"/>
  <c r="T21" i="444" s="1"/>
  <c r="U21" i="444" s="1"/>
  <c r="G21" i="444"/>
  <c r="R20" i="444"/>
  <c r="T20" i="444" s="1"/>
  <c r="U20" i="444" s="1"/>
  <c r="G20" i="444"/>
  <c r="R19" i="444"/>
  <c r="T19" i="444" s="1"/>
  <c r="U19" i="444" s="1"/>
  <c r="G19" i="444"/>
  <c r="R18" i="444"/>
  <c r="G18" i="444"/>
  <c r="R17" i="444"/>
  <c r="G17" i="444"/>
  <c r="T16" i="444"/>
  <c r="U16" i="444" s="1"/>
  <c r="S16" i="444"/>
  <c r="R16" i="444"/>
  <c r="G16" i="444"/>
  <c r="R15" i="444"/>
  <c r="T15" i="444" s="1"/>
  <c r="U15" i="444" s="1"/>
  <c r="G15" i="444"/>
  <c r="R14" i="444"/>
  <c r="T14" i="444" s="1"/>
  <c r="U14" i="444" s="1"/>
  <c r="G14" i="444"/>
  <c r="T13" i="444"/>
  <c r="U13" i="444" s="1"/>
  <c r="S13" i="444"/>
  <c r="R13" i="444"/>
  <c r="G13" i="444"/>
  <c r="R12" i="444"/>
  <c r="S12" i="444" s="1"/>
  <c r="G12" i="444"/>
  <c r="R11" i="444"/>
  <c r="T11" i="444" s="1"/>
  <c r="U11" i="444" s="1"/>
  <c r="G11" i="444"/>
  <c r="R10" i="444"/>
  <c r="S10" i="444" s="1"/>
  <c r="G10" i="444"/>
  <c r="T9" i="444"/>
  <c r="U9" i="444" s="1"/>
  <c r="S9" i="444"/>
  <c r="R9" i="444"/>
  <c r="G9" i="444"/>
  <c r="R8" i="444"/>
  <c r="T8" i="444" s="1"/>
  <c r="U8" i="444" s="1"/>
  <c r="G8" i="444"/>
  <c r="S7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S5" i="444" s="1"/>
  <c r="G5" i="444"/>
  <c r="T4" i="444"/>
  <c r="U4" i="444" s="1"/>
  <c r="R4" i="444"/>
  <c r="S4" i="444" s="1"/>
  <c r="G4" i="444"/>
  <c r="R3" i="444"/>
  <c r="T3" i="444" s="1"/>
  <c r="U3" i="444" s="1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I50" i="54" a="1"/>
  <c r="F54" i="54" l="1"/>
  <c r="V65" i="444"/>
  <c r="W65" i="444" s="1"/>
  <c r="V16" i="444"/>
  <c r="W16" i="444" s="1"/>
  <c r="V4" i="444"/>
  <c r="W4" i="444" s="1"/>
  <c r="V26" i="444"/>
  <c r="W26" i="444" s="1"/>
  <c r="V130" i="444"/>
  <c r="W130" i="444" s="1"/>
  <c r="V53" i="444"/>
  <c r="W53" i="444" s="1"/>
  <c r="V55" i="444"/>
  <c r="W55" i="444" s="1"/>
  <c r="V133" i="444"/>
  <c r="W133" i="444" s="1"/>
  <c r="V144" i="444"/>
  <c r="W144" i="444" s="1"/>
  <c r="V73" i="444"/>
  <c r="W73" i="444" s="1"/>
  <c r="V95" i="444"/>
  <c r="W95" i="444" s="1"/>
  <c r="V96" i="444"/>
  <c r="W96" i="444" s="1"/>
  <c r="V104" i="444"/>
  <c r="W104" i="444" s="1"/>
  <c r="V126" i="444"/>
  <c r="W126" i="444" s="1"/>
  <c r="V36" i="444"/>
  <c r="W36" i="444" s="1"/>
  <c r="V75" i="444"/>
  <c r="W75" i="444" s="1"/>
  <c r="V146" i="444"/>
  <c r="W146" i="444" s="1"/>
  <c r="V106" i="444"/>
  <c r="W106" i="444" s="1"/>
  <c r="V149" i="444"/>
  <c r="W149" i="444" s="1"/>
  <c r="V76" i="444"/>
  <c r="W76" i="444" s="1"/>
  <c r="V85" i="444"/>
  <c r="W85" i="444" s="1"/>
  <c r="V113" i="444"/>
  <c r="W113" i="444" s="1"/>
  <c r="V2" i="444"/>
  <c r="W2" i="444" s="1"/>
  <c r="V25" i="444"/>
  <c r="W25" i="444" s="1"/>
  <c r="V129" i="444"/>
  <c r="W129" i="444" s="1"/>
  <c r="V33" i="444"/>
  <c r="W33" i="444" s="1"/>
  <c r="V56" i="444"/>
  <c r="W56" i="444" s="1"/>
  <c r="V79" i="444"/>
  <c r="W79" i="444" s="1"/>
  <c r="V114" i="444"/>
  <c r="W114" i="444" s="1"/>
  <c r="V102" i="444"/>
  <c r="W102" i="444" s="1"/>
  <c r="V87" i="444"/>
  <c r="W87" i="444" s="1"/>
  <c r="V67" i="444"/>
  <c r="W67" i="444" s="1"/>
  <c r="V13" i="444"/>
  <c r="W13" i="444" s="1"/>
  <c r="V45" i="444"/>
  <c r="W45" i="444" s="1"/>
  <c r="V7" i="444"/>
  <c r="W7" i="444" s="1"/>
  <c r="V150" i="444"/>
  <c r="W150" i="444" s="1"/>
  <c r="V27" i="444"/>
  <c r="W27" i="444" s="1"/>
  <c r="V93" i="444"/>
  <c r="W93" i="444" s="1"/>
  <c r="V47" i="444"/>
  <c r="W47" i="444" s="1"/>
  <c r="S8" i="444"/>
  <c r="V8" i="444" s="1"/>
  <c r="W8" i="444" s="1"/>
  <c r="S32" i="444"/>
  <c r="V32" i="444" s="1"/>
  <c r="W32" i="444" s="1"/>
  <c r="T28" i="444"/>
  <c r="U28" i="444" s="1"/>
  <c r="V28" i="444" s="1"/>
  <c r="W28" i="444" s="1"/>
  <c r="T68" i="444"/>
  <c r="U68" i="444" s="1"/>
  <c r="V68" i="444" s="1"/>
  <c r="W68" i="444" s="1"/>
  <c r="T72" i="444"/>
  <c r="U72" i="444" s="1"/>
  <c r="V72" i="444" s="1"/>
  <c r="W72" i="444" s="1"/>
  <c r="T88" i="444"/>
  <c r="U88" i="444" s="1"/>
  <c r="V88" i="444" s="1"/>
  <c r="W88" i="444" s="1"/>
  <c r="T92" i="444"/>
  <c r="U92" i="444" s="1"/>
  <c r="V92" i="444" s="1"/>
  <c r="W92" i="444" s="1"/>
  <c r="T118" i="444"/>
  <c r="U118" i="444" s="1"/>
  <c r="S118" i="444"/>
  <c r="S135" i="444"/>
  <c r="T135" i="444"/>
  <c r="U135" i="444" s="1"/>
  <c r="V154" i="444"/>
  <c r="W154" i="444" s="1"/>
  <c r="S134" i="444"/>
  <c r="V134" i="444" s="1"/>
  <c r="W134" i="444" s="1"/>
  <c r="S105" i="444"/>
  <c r="V105" i="444" s="1"/>
  <c r="W105" i="444" s="1"/>
  <c r="T48" i="444"/>
  <c r="U48" i="444" s="1"/>
  <c r="V48" i="444" s="1"/>
  <c r="W48" i="444" s="1"/>
  <c r="T52" i="444"/>
  <c r="U52" i="444" s="1"/>
  <c r="V52" i="444" s="1"/>
  <c r="W52" i="444" s="1"/>
  <c r="T97" i="444"/>
  <c r="U97" i="444" s="1"/>
  <c r="S97" i="444"/>
  <c r="T5" i="444"/>
  <c r="U5" i="444" s="1"/>
  <c r="V5" i="444" s="1"/>
  <c r="W5" i="444" s="1"/>
  <c r="T12" i="444"/>
  <c r="U12" i="444" s="1"/>
  <c r="V12" i="444" s="1"/>
  <c r="W12" i="444" s="1"/>
  <c r="S77" i="444"/>
  <c r="T77" i="444"/>
  <c r="U77" i="444" s="1"/>
  <c r="S136" i="444"/>
  <c r="V136" i="444" s="1"/>
  <c r="W136" i="444" s="1"/>
  <c r="S155" i="444"/>
  <c r="T155" i="444"/>
  <c r="U155" i="444" s="1"/>
  <c r="V49" i="444"/>
  <c r="W49" i="444" s="1"/>
  <c r="V69" i="444"/>
  <c r="W69" i="444" s="1"/>
  <c r="V89" i="444"/>
  <c r="W89" i="444" s="1"/>
  <c r="T110" i="444"/>
  <c r="U110" i="444" s="1"/>
  <c r="V110" i="444" s="1"/>
  <c r="W110" i="444" s="1"/>
  <c r="S119" i="444"/>
  <c r="V119" i="444" s="1"/>
  <c r="W119" i="444" s="1"/>
  <c r="V131" i="444"/>
  <c r="W131" i="444" s="1"/>
  <c r="S62" i="444"/>
  <c r="V62" i="444" s="1"/>
  <c r="W62" i="444" s="1"/>
  <c r="T145" i="444"/>
  <c r="U145" i="444" s="1"/>
  <c r="S145" i="444"/>
  <c r="T37" i="444"/>
  <c r="U37" i="444" s="1"/>
  <c r="S37" i="444"/>
  <c r="S42" i="444"/>
  <c r="V42" i="444" s="1"/>
  <c r="W42" i="444" s="1"/>
  <c r="S82" i="444"/>
  <c r="V82" i="444" s="1"/>
  <c r="W82" i="444" s="1"/>
  <c r="T98" i="444"/>
  <c r="U98" i="444" s="1"/>
  <c r="S98" i="444"/>
  <c r="T18" i="444"/>
  <c r="U18" i="444" s="1"/>
  <c r="S18" i="444"/>
  <c r="T22" i="444"/>
  <c r="U22" i="444" s="1"/>
  <c r="V22" i="444" s="1"/>
  <c r="W22" i="444" s="1"/>
  <c r="T38" i="444"/>
  <c r="U38" i="444" s="1"/>
  <c r="S38" i="444"/>
  <c r="T58" i="444"/>
  <c r="U58" i="444" s="1"/>
  <c r="S58" i="444"/>
  <c r="T78" i="444"/>
  <c r="U78" i="444" s="1"/>
  <c r="S78" i="444"/>
  <c r="S142" i="444"/>
  <c r="V142" i="444" s="1"/>
  <c r="W142" i="444" s="1"/>
  <c r="T17" i="444"/>
  <c r="U17" i="444" s="1"/>
  <c r="S17" i="444"/>
  <c r="T57" i="444"/>
  <c r="U57" i="444" s="1"/>
  <c r="S57" i="444"/>
  <c r="V9" i="444"/>
  <c r="W9" i="444" s="1"/>
  <c r="V29" i="444"/>
  <c r="W29" i="444" s="1"/>
  <c r="S122" i="444"/>
  <c r="V122" i="444" s="1"/>
  <c r="W122" i="444" s="1"/>
  <c r="S115" i="444"/>
  <c r="V115" i="444" s="1"/>
  <c r="W115" i="444" s="1"/>
  <c r="S132" i="444"/>
  <c r="V132" i="444" s="1"/>
  <c r="W132" i="444" s="1"/>
  <c r="S137" i="444"/>
  <c r="T137" i="444"/>
  <c r="U137" i="444" s="1"/>
  <c r="V151" i="444"/>
  <c r="W151" i="444" s="1"/>
  <c r="T50" i="444"/>
  <c r="U50" i="444" s="1"/>
  <c r="V50" i="444" s="1"/>
  <c r="W50" i="444" s="1"/>
  <c r="V99" i="444"/>
  <c r="W99" i="444" s="1"/>
  <c r="V128" i="444"/>
  <c r="W128" i="444" s="1"/>
  <c r="S14" i="444"/>
  <c r="V14" i="444" s="1"/>
  <c r="W14" i="444" s="1"/>
  <c r="S19" i="444"/>
  <c r="V19" i="444" s="1"/>
  <c r="W19" i="444" s="1"/>
  <c r="S34" i="444"/>
  <c r="V34" i="444" s="1"/>
  <c r="W34" i="444" s="1"/>
  <c r="S39" i="444"/>
  <c r="V39" i="444" s="1"/>
  <c r="W39" i="444" s="1"/>
  <c r="S54" i="444"/>
  <c r="V54" i="444" s="1"/>
  <c r="W54" i="444" s="1"/>
  <c r="S59" i="444"/>
  <c r="V59" i="444" s="1"/>
  <c r="W59" i="444" s="1"/>
  <c r="S74" i="444"/>
  <c r="V74" i="444" s="1"/>
  <c r="W74" i="444" s="1"/>
  <c r="S94" i="444"/>
  <c r="V94" i="444" s="1"/>
  <c r="W94" i="444" s="1"/>
  <c r="V111" i="444"/>
  <c r="W111" i="444" s="1"/>
  <c r="S116" i="444"/>
  <c r="V116" i="444" s="1"/>
  <c r="W116" i="444" s="1"/>
  <c r="S152" i="444"/>
  <c r="V152" i="444" s="1"/>
  <c r="W152" i="444" s="1"/>
  <c r="V109" i="444"/>
  <c r="W109" i="444" s="1"/>
  <c r="T30" i="444"/>
  <c r="U30" i="444" s="1"/>
  <c r="V30" i="444" s="1"/>
  <c r="W30" i="444" s="1"/>
  <c r="S15" i="444"/>
  <c r="V15" i="444" s="1"/>
  <c r="W15" i="444" s="1"/>
  <c r="V148" i="444"/>
  <c r="W148" i="444" s="1"/>
  <c r="S112" i="444"/>
  <c r="V112" i="444" s="1"/>
  <c r="W112" i="444" s="1"/>
  <c r="S125" i="444"/>
  <c r="V125" i="444" s="1"/>
  <c r="W125" i="444" s="1"/>
  <c r="T10" i="444"/>
  <c r="U10" i="444" s="1"/>
  <c r="V10" i="444" s="1"/>
  <c r="W10" i="444" s="1"/>
  <c r="S35" i="444"/>
  <c r="V35" i="444" s="1"/>
  <c r="W35" i="444" s="1"/>
  <c r="S139" i="444"/>
  <c r="V139" i="444" s="1"/>
  <c r="W139" i="444" s="1"/>
  <c r="S11" i="444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T117" i="444"/>
  <c r="U117" i="444" s="1"/>
  <c r="S117" i="444"/>
  <c r="V159" i="444"/>
  <c r="W159" i="444" s="1"/>
  <c r="S138" i="444"/>
  <c r="V138" i="444" s="1"/>
  <c r="W138" i="444" s="1"/>
  <c r="S158" i="444"/>
  <c r="V158" i="444" s="1"/>
  <c r="W158" i="444" s="1"/>
  <c r="S61" i="444"/>
  <c r="V61" i="444" s="1"/>
  <c r="W61" i="444" s="1"/>
  <c r="S81" i="444"/>
  <c r="V81" i="444" s="1"/>
  <c r="W81" i="444" s="1"/>
  <c r="S101" i="444"/>
  <c r="V101" i="444" s="1"/>
  <c r="W101" i="444" s="1"/>
  <c r="S121" i="444"/>
  <c r="V121" i="444" s="1"/>
  <c r="W121" i="444" s="1"/>
  <c r="S141" i="444"/>
  <c r="V141" i="444" s="1"/>
  <c r="W141" i="444" s="1"/>
  <c r="S161" i="444"/>
  <c r="V161" i="444" s="1"/>
  <c r="W161" i="444" s="1"/>
  <c r="S21" i="444"/>
  <c r="V21" i="444" s="1"/>
  <c r="W21" i="444" s="1"/>
  <c r="S41" i="444"/>
  <c r="V41" i="444" s="1"/>
  <c r="W41" i="444" s="1"/>
  <c r="S164" i="444"/>
  <c r="V164" i="444" s="1"/>
  <c r="W164" i="444" s="1"/>
  <c r="S162" i="444"/>
  <c r="V162" i="444" s="1"/>
  <c r="W162" i="444" s="1"/>
  <c r="S165" i="444"/>
  <c r="V165" i="444" s="1"/>
  <c r="W165" i="444" s="1"/>
  <c r="S157" i="444"/>
  <c r="V157" i="444" s="1"/>
  <c r="W157" i="444" s="1"/>
  <c r="S20" i="444"/>
  <c r="V20" i="444" s="1"/>
  <c r="W20" i="444" s="1"/>
  <c r="S40" i="444"/>
  <c r="V40" i="444" s="1"/>
  <c r="W40" i="444" s="1"/>
  <c r="S60" i="444"/>
  <c r="V60" i="444" s="1"/>
  <c r="W6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T80" i="444"/>
  <c r="U80" i="444" s="1"/>
  <c r="V80" i="444" s="1"/>
  <c r="W80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I50" i="54"/>
  <c r="H53" i="54" s="1"/>
  <c r="C43" i="54"/>
  <c r="C45" i="54" s="1"/>
  <c r="D45" i="54" s="1"/>
  <c r="F41" i="54"/>
  <c r="C36" i="54"/>
  <c r="C38" i="54" s="1"/>
  <c r="D38" i="54" s="1"/>
  <c r="I31" i="54"/>
  <c r="I30" i="54"/>
  <c r="I32" i="54" s="1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H10" i="54"/>
  <c r="G10" i="54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C53" i="415"/>
  <c r="D52" i="415"/>
  <c r="D47" i="415"/>
  <c r="D45" i="415"/>
  <c r="C45" i="415"/>
  <c r="D44" i="415"/>
  <c r="C44" i="415"/>
  <c r="E44" i="415" s="1"/>
  <c r="D43" i="415"/>
  <c r="C43" i="415"/>
  <c r="E43" i="415" s="1"/>
  <c r="D42" i="415"/>
  <c r="E42" i="415" s="1"/>
  <c r="C42" i="415"/>
  <c r="D35" i="415"/>
  <c r="C35" i="415"/>
  <c r="E35" i="415" s="1"/>
  <c r="D26" i="415"/>
  <c r="D17" i="415"/>
  <c r="C17" i="415"/>
  <c r="E17" i="415" s="1"/>
  <c r="D16" i="415"/>
  <c r="C16" i="415"/>
  <c r="E16" i="415" s="1"/>
  <c r="E15" i="415"/>
  <c r="D15" i="415"/>
  <c r="C15" i="415"/>
  <c r="D14" i="415"/>
  <c r="C14" i="415"/>
  <c r="E14" i="415" s="1"/>
  <c r="D13" i="415"/>
  <c r="C13" i="415"/>
  <c r="E13" i="415" s="1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L15" i="385" s="1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L38" i="385" s="1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F39" i="385" s="1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I173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Q91" i="385"/>
  <c r="P91" i="385"/>
  <c r="S91" i="385" s="1"/>
  <c r="M91" i="385"/>
  <c r="L91" i="385"/>
  <c r="K91" i="385"/>
  <c r="J91" i="385"/>
  <c r="H91" i="385"/>
  <c r="G91" i="385"/>
  <c r="F91" i="385"/>
  <c r="E91" i="385"/>
  <c r="D91" i="385"/>
  <c r="C91" i="385"/>
  <c r="Q90" i="385"/>
  <c r="M90" i="385"/>
  <c r="L90" i="385"/>
  <c r="K90" i="385"/>
  <c r="J90" i="385"/>
  <c r="H90" i="385"/>
  <c r="G90" i="385"/>
  <c r="F90" i="385"/>
  <c r="E90" i="385"/>
  <c r="D90" i="385"/>
  <c r="C90" i="385"/>
  <c r="Q89" i="385"/>
  <c r="M89" i="385"/>
  <c r="L89" i="385"/>
  <c r="K89" i="385"/>
  <c r="J89" i="385"/>
  <c r="H89" i="385"/>
  <c r="G89" i="385"/>
  <c r="F89" i="385"/>
  <c r="E89" i="385"/>
  <c r="D89" i="385"/>
  <c r="C89" i="385"/>
  <c r="Q88" i="385"/>
  <c r="M88" i="385"/>
  <c r="L88" i="385"/>
  <c r="K88" i="385"/>
  <c r="J88" i="385"/>
  <c r="H88" i="385"/>
  <c r="G88" i="385"/>
  <c r="F88" i="385"/>
  <c r="E88" i="385"/>
  <c r="D88" i="385"/>
  <c r="C88" i="385"/>
  <c r="Q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H65" i="385"/>
  <c r="G65" i="385"/>
  <c r="F65" i="385"/>
  <c r="E65" i="385"/>
  <c r="D65" i="385"/>
  <c r="C65" i="385"/>
  <c r="Q64" i="385"/>
  <c r="P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L52" i="385"/>
  <c r="K52" i="385"/>
  <c r="M52" i="385" s="1"/>
  <c r="G52" i="385"/>
  <c r="F52" i="385"/>
  <c r="D52" i="385"/>
  <c r="C52" i="385"/>
  <c r="Q51" i="385"/>
  <c r="L51" i="385"/>
  <c r="K51" i="385"/>
  <c r="G51" i="385"/>
  <c r="F51" i="385"/>
  <c r="D51" i="385"/>
  <c r="C51" i="385"/>
  <c r="Q50" i="385"/>
  <c r="L50" i="385"/>
  <c r="K50" i="385"/>
  <c r="G50" i="385"/>
  <c r="F50" i="385"/>
  <c r="M50" i="385" s="1"/>
  <c r="D50" i="385"/>
  <c r="C50" i="385"/>
  <c r="E50" i="385" s="1"/>
  <c r="Q49" i="385"/>
  <c r="L49" i="385"/>
  <c r="K49" i="385"/>
  <c r="G49" i="385"/>
  <c r="F49" i="385"/>
  <c r="D49" i="385"/>
  <c r="C49" i="385"/>
  <c r="Q48" i="385"/>
  <c r="L48" i="385"/>
  <c r="K48" i="385"/>
  <c r="G48" i="385"/>
  <c r="F48" i="385"/>
  <c r="D48" i="385"/>
  <c r="C48" i="385"/>
  <c r="Q47" i="385"/>
  <c r="L47" i="385"/>
  <c r="K47" i="385"/>
  <c r="G47" i="385"/>
  <c r="F47" i="385"/>
  <c r="D47" i="385"/>
  <c r="C47" i="385"/>
  <c r="Q46" i="385"/>
  <c r="C46" i="385"/>
  <c r="Q45" i="385"/>
  <c r="C45" i="385"/>
  <c r="Q44" i="385"/>
  <c r="C44" i="385"/>
  <c r="Q43" i="385"/>
  <c r="L43" i="385"/>
  <c r="K43" i="385"/>
  <c r="C43" i="385"/>
  <c r="Q42" i="385"/>
  <c r="C42" i="385"/>
  <c r="Q41" i="385"/>
  <c r="L41" i="385"/>
  <c r="C41" i="385"/>
  <c r="Q40" i="385"/>
  <c r="C40" i="385"/>
  <c r="Q39" i="385"/>
  <c r="C39" i="385"/>
  <c r="Q38" i="385"/>
  <c r="C38" i="385"/>
  <c r="Q37" i="385"/>
  <c r="L37" i="385"/>
  <c r="C37" i="385"/>
  <c r="Q36" i="385"/>
  <c r="C36" i="385"/>
  <c r="Q35" i="385"/>
  <c r="L35" i="385"/>
  <c r="K35" i="385"/>
  <c r="C35" i="385"/>
  <c r="Q34" i="385"/>
  <c r="C34" i="385"/>
  <c r="Q33" i="385"/>
  <c r="C33" i="385"/>
  <c r="Q32" i="385"/>
  <c r="L32" i="385"/>
  <c r="K32" i="385"/>
  <c r="C32" i="385"/>
  <c r="Q31" i="385"/>
  <c r="C31" i="385"/>
  <c r="Q30" i="385"/>
  <c r="K30" i="385"/>
  <c r="C30" i="385"/>
  <c r="Q29" i="385"/>
  <c r="C29" i="385"/>
  <c r="Q28" i="385"/>
  <c r="C28" i="385"/>
  <c r="Q27" i="385"/>
  <c r="P27" i="385"/>
  <c r="C27" i="385"/>
  <c r="Q26" i="385"/>
  <c r="P26" i="385"/>
  <c r="C26" i="385"/>
  <c r="Q25" i="385"/>
  <c r="P25" i="385"/>
  <c r="C25" i="385"/>
  <c r="Q24" i="385"/>
  <c r="P24" i="385"/>
  <c r="K24" i="385"/>
  <c r="C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C18" i="385"/>
  <c r="Q17" i="385"/>
  <c r="L17" i="385"/>
  <c r="C17" i="385"/>
  <c r="Q16" i="385"/>
  <c r="C16" i="385"/>
  <c r="Q15" i="385"/>
  <c r="C15" i="385"/>
  <c r="Q14" i="385"/>
  <c r="C14" i="385"/>
  <c r="Q13" i="385"/>
  <c r="C13" i="385"/>
  <c r="Q12" i="385"/>
  <c r="K12" i="385"/>
  <c r="I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L6" i="385"/>
  <c r="K6" i="385"/>
  <c r="C6" i="385"/>
  <c r="Q5" i="385"/>
  <c r="C5" i="385"/>
  <c r="N1" i="385"/>
  <c r="Q110" i="89"/>
  <c r="M47" i="385" l="1"/>
  <c r="E47" i="385" s="1"/>
  <c r="M48" i="385"/>
  <c r="E48" i="385" s="1"/>
  <c r="M51" i="385"/>
  <c r="E52" i="385"/>
  <c r="H49" i="385"/>
  <c r="R91" i="385"/>
  <c r="E51" i="385"/>
  <c r="H47" i="385"/>
  <c r="H51" i="385"/>
  <c r="M49" i="385"/>
  <c r="E49" i="385" s="1"/>
  <c r="H50" i="385"/>
  <c r="H48" i="385"/>
  <c r="H52" i="385"/>
  <c r="I125" i="385"/>
  <c r="I159" i="385"/>
  <c r="P30" i="385"/>
  <c r="R30" i="385" s="1"/>
  <c r="D18" i="385"/>
  <c r="I119" i="385"/>
  <c r="D45" i="385"/>
  <c r="D12" i="385"/>
  <c r="D25" i="385"/>
  <c r="P88" i="385"/>
  <c r="R88" i="385" s="1"/>
  <c r="G20" i="385"/>
  <c r="I141" i="385"/>
  <c r="P6" i="385"/>
  <c r="I181" i="385"/>
  <c r="P46" i="385"/>
  <c r="I101" i="385"/>
  <c r="P42" i="385"/>
  <c r="I34" i="385"/>
  <c r="D34" i="385"/>
  <c r="G8" i="385"/>
  <c r="I81" i="385"/>
  <c r="P14" i="385"/>
  <c r="F29" i="385"/>
  <c r="I53" i="385"/>
  <c r="I97" i="385"/>
  <c r="I137" i="385"/>
  <c r="I64" i="385"/>
  <c r="I115" i="385"/>
  <c r="I155" i="385"/>
  <c r="P79" i="385"/>
  <c r="S79" i="385" s="1"/>
  <c r="D9" i="385"/>
  <c r="I31" i="385"/>
  <c r="P36" i="385"/>
  <c r="D42" i="385"/>
  <c r="F9" i="385"/>
  <c r="F15" i="385"/>
  <c r="I42" i="385"/>
  <c r="I93" i="385"/>
  <c r="I133" i="385"/>
  <c r="I169" i="385"/>
  <c r="G15" i="385"/>
  <c r="I111" i="385"/>
  <c r="D32" i="385"/>
  <c r="D37" i="385"/>
  <c r="I61" i="385"/>
  <c r="I129" i="385"/>
  <c r="P48" i="385"/>
  <c r="R48" i="385" s="1"/>
  <c r="G26" i="385"/>
  <c r="I151" i="385"/>
  <c r="F37" i="385"/>
  <c r="P59" i="385"/>
  <c r="S59" i="385" s="1"/>
  <c r="I71" i="385"/>
  <c r="I107" i="385"/>
  <c r="I147" i="385"/>
  <c r="I165" i="385"/>
  <c r="I20" i="385"/>
  <c r="P86" i="385"/>
  <c r="R86" i="385" s="1"/>
  <c r="D10" i="385"/>
  <c r="P76" i="385"/>
  <c r="R76" i="385" s="1"/>
  <c r="P9" i="385"/>
  <c r="R9" i="385" s="1"/>
  <c r="I190" i="385"/>
  <c r="I26" i="385"/>
  <c r="G22" i="385"/>
  <c r="I103" i="385"/>
  <c r="I143" i="385"/>
  <c r="I121" i="385"/>
  <c r="I6" i="385"/>
  <c r="P17" i="385"/>
  <c r="R17" i="385" s="1"/>
  <c r="F33" i="385"/>
  <c r="I38" i="385"/>
  <c r="I99" i="385"/>
  <c r="I139" i="385"/>
  <c r="I161" i="385"/>
  <c r="F11" i="385"/>
  <c r="P44" i="385"/>
  <c r="R44" i="385" s="1"/>
  <c r="I51" i="385"/>
  <c r="J51" i="385" s="1"/>
  <c r="I117" i="385"/>
  <c r="I157" i="385"/>
  <c r="I73" i="385"/>
  <c r="F23" i="385"/>
  <c r="P56" i="385"/>
  <c r="R56" i="385" s="1"/>
  <c r="I95" i="385"/>
  <c r="I135" i="385"/>
  <c r="G39" i="385"/>
  <c r="H39" i="385" s="1"/>
  <c r="I113" i="385"/>
  <c r="I153" i="385"/>
  <c r="I131" i="385"/>
  <c r="I191" i="385"/>
  <c r="I84" i="385"/>
  <c r="P34" i="385"/>
  <c r="R34" i="385" s="1"/>
  <c r="I109" i="385"/>
  <c r="I149" i="385"/>
  <c r="G44" i="385"/>
  <c r="G29" i="385"/>
  <c r="I19" i="385"/>
  <c r="I127" i="385"/>
  <c r="I91" i="385"/>
  <c r="D26" i="385"/>
  <c r="F45" i="385"/>
  <c r="P7" i="385"/>
  <c r="S7" i="385" s="1"/>
  <c r="I105" i="385"/>
  <c r="I145" i="385"/>
  <c r="I177" i="385"/>
  <c r="G41" i="385"/>
  <c r="I123" i="385"/>
  <c r="G23" i="385"/>
  <c r="P31" i="385"/>
  <c r="S31" i="385" s="1"/>
  <c r="F34" i="385"/>
  <c r="I39" i="385"/>
  <c r="F42" i="385"/>
  <c r="I50" i="385"/>
  <c r="J50" i="385" s="1"/>
  <c r="I70" i="385"/>
  <c r="P85" i="385"/>
  <c r="R85" i="385" s="1"/>
  <c r="I90" i="385"/>
  <c r="G9" i="385"/>
  <c r="F12" i="385"/>
  <c r="I9" i="385"/>
  <c r="G12" i="385"/>
  <c r="D15" i="385"/>
  <c r="I23" i="385"/>
  <c r="F26" i="385"/>
  <c r="H26" i="385" s="1"/>
  <c r="D29" i="385"/>
  <c r="G34" i="385"/>
  <c r="P39" i="385"/>
  <c r="S39" i="385" s="1"/>
  <c r="G42" i="385"/>
  <c r="H42" i="385" s="1"/>
  <c r="I47" i="385"/>
  <c r="J47" i="385" s="1"/>
  <c r="I67" i="385"/>
  <c r="P82" i="385"/>
  <c r="S82" i="385" s="1"/>
  <c r="I87" i="385"/>
  <c r="I185" i="385"/>
  <c r="I189" i="385"/>
  <c r="D7" i="385"/>
  <c r="P12" i="385"/>
  <c r="R12" i="385" s="1"/>
  <c r="I15" i="385"/>
  <c r="F18" i="385"/>
  <c r="D21" i="385"/>
  <c r="I29" i="385"/>
  <c r="F32" i="385"/>
  <c r="G37" i="385"/>
  <c r="D40" i="385"/>
  <c r="G45" i="385"/>
  <c r="P53" i="385"/>
  <c r="I58" i="385"/>
  <c r="P73" i="385"/>
  <c r="S73" i="385" s="1"/>
  <c r="I78" i="385"/>
  <c r="P90" i="385"/>
  <c r="S90" i="385" s="1"/>
  <c r="F21" i="385"/>
  <c r="H21" i="385" s="1"/>
  <c r="I55" i="385"/>
  <c r="I75" i="385"/>
  <c r="F10" i="385"/>
  <c r="I18" i="385"/>
  <c r="F24" i="385"/>
  <c r="I32" i="385"/>
  <c r="D35" i="385"/>
  <c r="G40" i="385"/>
  <c r="D43" i="385"/>
  <c r="P45" i="385"/>
  <c r="R45" i="385" s="1"/>
  <c r="P47" i="385"/>
  <c r="S47" i="385" s="1"/>
  <c r="I52" i="385"/>
  <c r="J52" i="385" s="1"/>
  <c r="I72" i="385"/>
  <c r="P87" i="385"/>
  <c r="S87" i="385" s="1"/>
  <c r="G32" i="385"/>
  <c r="P70" i="385"/>
  <c r="R70" i="385" s="1"/>
  <c r="G7" i="385"/>
  <c r="G21" i="385"/>
  <c r="I7" i="385"/>
  <c r="G10" i="385"/>
  <c r="H10" i="385" s="1"/>
  <c r="D13" i="385"/>
  <c r="P18" i="385"/>
  <c r="I21" i="385"/>
  <c r="G24" i="385"/>
  <c r="D27" i="385"/>
  <c r="F35" i="385"/>
  <c r="P37" i="385"/>
  <c r="R37" i="385" s="1"/>
  <c r="I40" i="385"/>
  <c r="F43" i="385"/>
  <c r="I49" i="385"/>
  <c r="J49" i="385" s="1"/>
  <c r="I69" i="385"/>
  <c r="P84" i="385"/>
  <c r="S84" i="385" s="1"/>
  <c r="I89" i="385"/>
  <c r="I132" i="385"/>
  <c r="I152" i="385"/>
  <c r="I156" i="385"/>
  <c r="I160" i="385"/>
  <c r="I164" i="385"/>
  <c r="I168" i="385"/>
  <c r="I172" i="385"/>
  <c r="I176" i="385"/>
  <c r="I180" i="385"/>
  <c r="I184" i="385"/>
  <c r="I188" i="385"/>
  <c r="F7" i="385"/>
  <c r="D24" i="385"/>
  <c r="I37" i="385"/>
  <c r="D5" i="385"/>
  <c r="F27" i="385"/>
  <c r="P40" i="385"/>
  <c r="P81" i="385"/>
  <c r="S81" i="385" s="1"/>
  <c r="I96" i="385"/>
  <c r="I112" i="385"/>
  <c r="I128" i="385"/>
  <c r="I148" i="385"/>
  <c r="G27" i="385"/>
  <c r="D46" i="385"/>
  <c r="P58" i="385"/>
  <c r="S58" i="385" s="1"/>
  <c r="I63" i="385"/>
  <c r="P78" i="385"/>
  <c r="R78" i="385" s="1"/>
  <c r="I83" i="385"/>
  <c r="P29" i="385"/>
  <c r="R29" i="385" s="1"/>
  <c r="P50" i="385"/>
  <c r="R50" i="385" s="1"/>
  <c r="F13" i="385"/>
  <c r="D30" i="385"/>
  <c r="I92" i="385"/>
  <c r="I108" i="385"/>
  <c r="I120" i="385"/>
  <c r="I140" i="385"/>
  <c r="P10" i="385"/>
  <c r="S10" i="385" s="1"/>
  <c r="F30" i="385"/>
  <c r="I43" i="385"/>
  <c r="D19" i="385"/>
  <c r="I27" i="385"/>
  <c r="D38" i="385"/>
  <c r="P55" i="385"/>
  <c r="R55" i="385" s="1"/>
  <c r="I60" i="385"/>
  <c r="P75" i="385"/>
  <c r="S75" i="385" s="1"/>
  <c r="I80" i="385"/>
  <c r="P15" i="385"/>
  <c r="R15" i="385" s="1"/>
  <c r="F40" i="385"/>
  <c r="I10" i="385"/>
  <c r="I24" i="385"/>
  <c r="G43" i="385"/>
  <c r="I104" i="385"/>
  <c r="I124" i="385"/>
  <c r="I144" i="385"/>
  <c r="F5" i="385"/>
  <c r="F16" i="385"/>
  <c r="I35" i="385"/>
  <c r="G16" i="385"/>
  <c r="F46" i="385"/>
  <c r="I5" i="385"/>
  <c r="D8" i="385"/>
  <c r="P13" i="385"/>
  <c r="S13" i="385" s="1"/>
  <c r="I16" i="385"/>
  <c r="F19" i="385"/>
  <c r="D22" i="385"/>
  <c r="I30" i="385"/>
  <c r="F38" i="385"/>
  <c r="D41" i="385"/>
  <c r="G46" i="385"/>
  <c r="P52" i="385"/>
  <c r="S52" i="385" s="1"/>
  <c r="I57" i="385"/>
  <c r="P72" i="385"/>
  <c r="R72" i="385" s="1"/>
  <c r="I77" i="385"/>
  <c r="G18" i="385"/>
  <c r="I45" i="385"/>
  <c r="D16" i="385"/>
  <c r="G35" i="385"/>
  <c r="I66" i="385"/>
  <c r="I86" i="385"/>
  <c r="I100" i="385"/>
  <c r="I116" i="385"/>
  <c r="I136" i="385"/>
  <c r="G13" i="385"/>
  <c r="P32" i="385"/>
  <c r="R32" i="385" s="1"/>
  <c r="G5" i="385"/>
  <c r="I13" i="385"/>
  <c r="G30" i="385"/>
  <c r="H30" i="385" s="1"/>
  <c r="P5" i="385"/>
  <c r="S5" i="385" s="1"/>
  <c r="F8" i="385"/>
  <c r="D11" i="385"/>
  <c r="P16" i="385"/>
  <c r="R16" i="385" s="1"/>
  <c r="G19" i="385"/>
  <c r="F22" i="385"/>
  <c r="H22" i="385" s="1"/>
  <c r="D33" i="385"/>
  <c r="P35" i="385"/>
  <c r="R35" i="385" s="1"/>
  <c r="G38" i="385"/>
  <c r="F41" i="385"/>
  <c r="P43" i="385"/>
  <c r="R43" i="385" s="1"/>
  <c r="I46" i="385"/>
  <c r="P49" i="385"/>
  <c r="S49" i="385" s="1"/>
  <c r="I54" i="385"/>
  <c r="I74" i="385"/>
  <c r="P89" i="385"/>
  <c r="S89" i="385" s="1"/>
  <c r="I167" i="385"/>
  <c r="I183" i="385"/>
  <c r="I8" i="385"/>
  <c r="G33" i="385"/>
  <c r="H33" i="385" s="1"/>
  <c r="P38" i="385"/>
  <c r="S38" i="385" s="1"/>
  <c r="I41" i="385"/>
  <c r="I48" i="385"/>
  <c r="J48" i="385" s="1"/>
  <c r="I68" i="385"/>
  <c r="P83" i="385"/>
  <c r="S83" i="385" s="1"/>
  <c r="I88" i="385"/>
  <c r="I163" i="385"/>
  <c r="I179" i="385"/>
  <c r="I187" i="385"/>
  <c r="D14" i="385"/>
  <c r="I22" i="385"/>
  <c r="P8" i="385"/>
  <c r="R8" i="385" s="1"/>
  <c r="D17" i="385"/>
  <c r="G25" i="385"/>
  <c r="F28" i="385"/>
  <c r="I33" i="385"/>
  <c r="D36" i="385"/>
  <c r="D44" i="385"/>
  <c r="P60" i="385"/>
  <c r="S60" i="385" s="1"/>
  <c r="I65" i="385"/>
  <c r="P80" i="385"/>
  <c r="S80" i="385" s="1"/>
  <c r="I85" i="385"/>
  <c r="I171" i="385"/>
  <c r="D28" i="385"/>
  <c r="F14" i="385"/>
  <c r="G14" i="385"/>
  <c r="I25" i="385"/>
  <c r="D31" i="385"/>
  <c r="F44" i="385"/>
  <c r="P57" i="385"/>
  <c r="R57" i="385" s="1"/>
  <c r="I62" i="385"/>
  <c r="P77" i="385"/>
  <c r="R77" i="385" s="1"/>
  <c r="I82" i="385"/>
  <c r="I175" i="385"/>
  <c r="G11" i="385"/>
  <c r="H11" i="385" s="1"/>
  <c r="F25" i="385"/>
  <c r="D6" i="385"/>
  <c r="I11" i="385"/>
  <c r="F6" i="385"/>
  <c r="P11" i="385"/>
  <c r="R11" i="385" s="1"/>
  <c r="F17" i="385"/>
  <c r="G28" i="385"/>
  <c r="P33" i="385"/>
  <c r="R33" i="385" s="1"/>
  <c r="F36" i="385"/>
  <c r="P41" i="385"/>
  <c r="R41" i="385" s="1"/>
  <c r="G6" i="385"/>
  <c r="I14" i="385"/>
  <c r="G17" i="385"/>
  <c r="D20" i="385"/>
  <c r="I28" i="385"/>
  <c r="F31" i="385"/>
  <c r="G36" i="385"/>
  <c r="D39" i="385"/>
  <c r="P54" i="385"/>
  <c r="R54" i="385" s="1"/>
  <c r="I59" i="385"/>
  <c r="P74" i="385"/>
  <c r="R74" i="385" s="1"/>
  <c r="I79" i="385"/>
  <c r="I17" i="385"/>
  <c r="F20" i="385"/>
  <c r="H20" i="385" s="1"/>
  <c r="D23" i="385"/>
  <c r="P28" i="385"/>
  <c r="R28" i="385" s="1"/>
  <c r="G31" i="385"/>
  <c r="I36" i="385"/>
  <c r="I44" i="385"/>
  <c r="P51" i="385"/>
  <c r="R51" i="385" s="1"/>
  <c r="I56" i="385"/>
  <c r="P71" i="385"/>
  <c r="S71" i="385" s="1"/>
  <c r="I76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C50" i="415"/>
  <c r="D49" i="415"/>
  <c r="D28" i="415"/>
  <c r="L14" i="385"/>
  <c r="E12" i="415"/>
  <c r="C29" i="415"/>
  <c r="D50" i="415"/>
  <c r="D34" i="415"/>
  <c r="C52" i="415"/>
  <c r="E52" i="415" s="1"/>
  <c r="C37" i="415"/>
  <c r="D53" i="415"/>
  <c r="E53" i="415" s="1"/>
  <c r="L12" i="385"/>
  <c r="D37" i="415"/>
  <c r="C54" i="415"/>
  <c r="D39" i="415"/>
  <c r="D54" i="415"/>
  <c r="E54" i="415" s="1"/>
  <c r="K41" i="385"/>
  <c r="K46" i="385"/>
  <c r="L10" i="385"/>
  <c r="K44" i="385"/>
  <c r="K21" i="385"/>
  <c r="K26" i="385"/>
  <c r="D8" i="415"/>
  <c r="C18" i="415"/>
  <c r="K15" i="385"/>
  <c r="K23" i="385"/>
  <c r="L23" i="385"/>
  <c r="L26" i="385"/>
  <c r="C9" i="415"/>
  <c r="C20" i="415"/>
  <c r="K10" i="385"/>
  <c r="D9" i="415"/>
  <c r="C25" i="415"/>
  <c r="C46" i="415"/>
  <c r="L46" i="385"/>
  <c r="D29" i="415"/>
  <c r="L34" i="385"/>
  <c r="E10" i="415"/>
  <c r="D25" i="415"/>
  <c r="E25" i="415" s="1"/>
  <c r="D46" i="415"/>
  <c r="L21" i="385"/>
  <c r="C26" i="415"/>
  <c r="C47" i="415"/>
  <c r="L24" i="385"/>
  <c r="M24" i="385" s="1"/>
  <c r="E24" i="385" s="1"/>
  <c r="C21" i="415"/>
  <c r="L13" i="385"/>
  <c r="L7" i="385"/>
  <c r="L27" i="385"/>
  <c r="C7" i="415"/>
  <c r="D41" i="415"/>
  <c r="K5" i="385"/>
  <c r="L16" i="385"/>
  <c r="K25" i="385"/>
  <c r="L36" i="385"/>
  <c r="K45" i="385"/>
  <c r="D7" i="415"/>
  <c r="D24" i="415"/>
  <c r="C51" i="415"/>
  <c r="C38" i="415"/>
  <c r="K22" i="385"/>
  <c r="K16" i="385"/>
  <c r="K36" i="385"/>
  <c r="C24" i="415"/>
  <c r="D33" i="415"/>
  <c r="L5" i="385"/>
  <c r="K14" i="385"/>
  <c r="L25" i="385"/>
  <c r="K34" i="385"/>
  <c r="L45" i="385"/>
  <c r="C8" i="415"/>
  <c r="E8" i="415" s="1"/>
  <c r="C34" i="415"/>
  <c r="E34" i="415" s="1"/>
  <c r="D51" i="415"/>
  <c r="E18" i="415"/>
  <c r="E26" i="415"/>
  <c r="K19" i="385"/>
  <c r="L30" i="385"/>
  <c r="K39" i="385"/>
  <c r="D18" i="415"/>
  <c r="C27" i="415"/>
  <c r="K8" i="385"/>
  <c r="L19" i="385"/>
  <c r="K28" i="385"/>
  <c r="L39" i="385"/>
  <c r="C19" i="415"/>
  <c r="D27" i="415"/>
  <c r="C36" i="415"/>
  <c r="L8" i="385"/>
  <c r="K17" i="385"/>
  <c r="L28" i="385"/>
  <c r="K37" i="385"/>
  <c r="E11" i="415"/>
  <c r="D19" i="415"/>
  <c r="C28" i="415"/>
  <c r="E28" i="415" s="1"/>
  <c r="D36" i="415"/>
  <c r="E45" i="415"/>
  <c r="E47" i="415"/>
  <c r="C48" i="415"/>
  <c r="D20" i="415"/>
  <c r="L44" i="385"/>
  <c r="C30" i="415"/>
  <c r="L33" i="385"/>
  <c r="D21" i="415"/>
  <c r="D30" i="415"/>
  <c r="K11" i="385"/>
  <c r="L42" i="385"/>
  <c r="C22" i="415"/>
  <c r="L11" i="385"/>
  <c r="K20" i="385"/>
  <c r="L31" i="385"/>
  <c r="K40" i="385"/>
  <c r="C5" i="415"/>
  <c r="E5" i="415" s="1"/>
  <c r="D22" i="415"/>
  <c r="D31" i="415"/>
  <c r="D48" i="415"/>
  <c r="K33" i="385"/>
  <c r="C39" i="415"/>
  <c r="L22" i="385"/>
  <c r="K31" i="385"/>
  <c r="C31" i="415"/>
  <c r="K9" i="385"/>
  <c r="L20" i="385"/>
  <c r="K29" i="385"/>
  <c r="L40" i="385"/>
  <c r="D5" i="415"/>
  <c r="C23" i="415"/>
  <c r="E23" i="415" s="1"/>
  <c r="C32" i="415"/>
  <c r="E32" i="415" s="1"/>
  <c r="C40" i="415"/>
  <c r="E40" i="415" s="1"/>
  <c r="C49" i="415"/>
  <c r="E49" i="415" s="1"/>
  <c r="E29" i="415"/>
  <c r="K13" i="385"/>
  <c r="D38" i="415"/>
  <c r="K42" i="385"/>
  <c r="L9" i="385"/>
  <c r="K18" i="385"/>
  <c r="L29" i="385"/>
  <c r="K38" i="385"/>
  <c r="C6" i="415"/>
  <c r="D23" i="415"/>
  <c r="D32" i="415"/>
  <c r="D40" i="415"/>
  <c r="K7" i="385"/>
  <c r="L18" i="385"/>
  <c r="K27" i="385"/>
  <c r="D6" i="415"/>
  <c r="C33" i="415"/>
  <c r="E33" i="415" s="1"/>
  <c r="C41" i="415"/>
  <c r="E41" i="415" s="1"/>
  <c r="S15" i="385"/>
  <c r="S35" i="385"/>
  <c r="S63" i="385"/>
  <c r="S30" i="385"/>
  <c r="S18" i="385"/>
  <c r="S62" i="385"/>
  <c r="S22" i="385"/>
  <c r="S27" i="385"/>
  <c r="S14" i="385"/>
  <c r="R64" i="385"/>
  <c r="S37" i="385"/>
  <c r="S69" i="385"/>
  <c r="V37" i="444"/>
  <c r="W37" i="444" s="1"/>
  <c r="S42" i="385"/>
  <c r="V117" i="444"/>
  <c r="W117" i="444" s="1"/>
  <c r="R40" i="385"/>
  <c r="S34" i="385"/>
  <c r="S70" i="385"/>
  <c r="S23" i="385"/>
  <c r="S67" i="385"/>
  <c r="S61" i="385"/>
  <c r="V18" i="444"/>
  <c r="W18" i="444" s="1"/>
  <c r="R68" i="385"/>
  <c r="R20" i="385"/>
  <c r="S21" i="385"/>
  <c r="S19" i="385"/>
  <c r="V137" i="444"/>
  <c r="W137" i="444" s="1"/>
  <c r="V98" i="444"/>
  <c r="W98" i="444" s="1"/>
  <c r="V97" i="444"/>
  <c r="W97" i="444" s="1"/>
  <c r="S6" i="385"/>
  <c r="S26" i="385"/>
  <c r="S46" i="385"/>
  <c r="S66" i="385"/>
  <c r="S86" i="385"/>
  <c r="V155" i="444"/>
  <c r="W155" i="444" s="1"/>
  <c r="R24" i="385"/>
  <c r="V57" i="444"/>
  <c r="W57" i="444" s="1"/>
  <c r="V145" i="444"/>
  <c r="W145" i="444" s="1"/>
  <c r="V17" i="444"/>
  <c r="W17" i="444" s="1"/>
  <c r="S65" i="385"/>
  <c r="S85" i="385"/>
  <c r="V78" i="444"/>
  <c r="W78" i="444" s="1"/>
  <c r="V118" i="444"/>
  <c r="W118" i="444" s="1"/>
  <c r="R36" i="385"/>
  <c r="S25" i="385"/>
  <c r="S45" i="385"/>
  <c r="S53" i="385"/>
  <c r="J34" i="385"/>
  <c r="V135" i="444"/>
  <c r="W135" i="444" s="1"/>
  <c r="V58" i="444"/>
  <c r="W58" i="444" s="1"/>
  <c r="V38" i="444"/>
  <c r="W38" i="444" s="1"/>
  <c r="V77" i="444"/>
  <c r="W77" i="444" s="1"/>
  <c r="I52" i="54"/>
  <c r="I53" i="54"/>
  <c r="J53" i="54" s="1"/>
  <c r="H52" i="54"/>
  <c r="H54" i="54" s="1"/>
  <c r="B5" i="383"/>
  <c r="B4" i="383"/>
  <c r="S20" i="385"/>
  <c r="S40" i="385"/>
  <c r="S64" i="385"/>
  <c r="S68" i="385"/>
  <c r="S76" i="385"/>
  <c r="S88" i="385"/>
  <c r="S12" i="385"/>
  <c r="S24" i="385"/>
  <c r="S36" i="385"/>
  <c r="H34" i="385"/>
  <c r="R19" i="385"/>
  <c r="R23" i="385"/>
  <c r="R27" i="385"/>
  <c r="R59" i="385"/>
  <c r="R63" i="385"/>
  <c r="R67" i="385"/>
  <c r="R79" i="385"/>
  <c r="R87" i="385"/>
  <c r="R7" i="385"/>
  <c r="H29" i="385"/>
  <c r="R14" i="385"/>
  <c r="R22" i="385"/>
  <c r="R42" i="385"/>
  <c r="R46" i="385"/>
  <c r="R62" i="385"/>
  <c r="R66" i="385"/>
  <c r="R26" i="385"/>
  <c r="R6" i="385"/>
  <c r="R18" i="385"/>
  <c r="H8" i="385"/>
  <c r="H24" i="385"/>
  <c r="J24" i="385"/>
  <c r="J32" i="385"/>
  <c r="R21" i="385"/>
  <c r="R25" i="385"/>
  <c r="R53" i="385"/>
  <c r="R61" i="385"/>
  <c r="R65" i="385"/>
  <c r="R69" i="385"/>
  <c r="R13" i="385"/>
  <c r="S8" i="89" a="1"/>
  <c r="J33" i="385" l="1"/>
  <c r="M39" i="385"/>
  <c r="E39" i="385" s="1"/>
  <c r="H15" i="385"/>
  <c r="M9" i="385"/>
  <c r="E9" i="385" s="1"/>
  <c r="M34" i="385"/>
  <c r="E34" i="385" s="1"/>
  <c r="M6" i="385"/>
  <c r="E6" i="385" s="1"/>
  <c r="J10" i="385"/>
  <c r="S72" i="385"/>
  <c r="J8" i="385"/>
  <c r="S50" i="385"/>
  <c r="S78" i="385"/>
  <c r="R82" i="385"/>
  <c r="R39" i="385"/>
  <c r="S48" i="385"/>
  <c r="R90" i="385"/>
  <c r="R31" i="385"/>
  <c r="S17" i="385"/>
  <c r="R5" i="385"/>
  <c r="S29" i="385"/>
  <c r="S44" i="385"/>
  <c r="S11" i="385"/>
  <c r="R38" i="385"/>
  <c r="S33" i="385"/>
  <c r="R80" i="385"/>
  <c r="R60" i="385"/>
  <c r="S28" i="385"/>
  <c r="H38" i="385"/>
  <c r="M40" i="385"/>
  <c r="E40" i="385" s="1"/>
  <c r="S41" i="385"/>
  <c r="M33" i="385"/>
  <c r="E33" i="385" s="1"/>
  <c r="H9" i="385"/>
  <c r="J14" i="385"/>
  <c r="S51" i="385"/>
  <c r="S16" i="385"/>
  <c r="H13" i="385"/>
  <c r="H37" i="385"/>
  <c r="M35" i="385"/>
  <c r="E35" i="385" s="1"/>
  <c r="M10" i="385"/>
  <c r="E10" i="385" s="1"/>
  <c r="H17" i="385"/>
  <c r="H6" i="385"/>
  <c r="M21" i="385"/>
  <c r="E21" i="385" s="1"/>
  <c r="M29" i="385"/>
  <c r="E29" i="385" s="1"/>
  <c r="H23" i="385"/>
  <c r="J36" i="385"/>
  <c r="J31" i="385"/>
  <c r="H35" i="385"/>
  <c r="J29" i="385"/>
  <c r="M44" i="385"/>
  <c r="E44" i="385" s="1"/>
  <c r="J44" i="385"/>
  <c r="J40" i="385"/>
  <c r="H40" i="385"/>
  <c r="H14" i="385"/>
  <c r="S74" i="385"/>
  <c r="J20" i="385"/>
  <c r="H19" i="385"/>
  <c r="J7" i="385"/>
  <c r="H25" i="385"/>
  <c r="J11" i="385"/>
  <c r="H28" i="385"/>
  <c r="R73" i="385"/>
  <c r="J27" i="385"/>
  <c r="J45" i="385"/>
  <c r="R83" i="385"/>
  <c r="M7" i="385"/>
  <c r="E7" i="385" s="1"/>
  <c r="R75" i="385"/>
  <c r="R52" i="385"/>
  <c r="S55" i="385"/>
  <c r="M38" i="385"/>
  <c r="E38" i="385" s="1"/>
  <c r="M22" i="385"/>
  <c r="E22" i="385" s="1"/>
  <c r="J22" i="385"/>
  <c r="H16" i="385"/>
  <c r="J30" i="385"/>
  <c r="M32" i="385"/>
  <c r="E32" i="385" s="1"/>
  <c r="H12" i="385"/>
  <c r="R58" i="385"/>
  <c r="S32" i="385"/>
  <c r="M46" i="385"/>
  <c r="E46" i="385" s="1"/>
  <c r="H41" i="385"/>
  <c r="J9" i="385"/>
  <c r="H43" i="385"/>
  <c r="J17" i="385"/>
  <c r="M5" i="385"/>
  <c r="E5" i="385" s="1"/>
  <c r="H44" i="385"/>
  <c r="J42" i="385"/>
  <c r="R84" i="385"/>
  <c r="H7" i="385"/>
  <c r="J37" i="385"/>
  <c r="J21" i="385"/>
  <c r="M42" i="385"/>
  <c r="E42" i="385" s="1"/>
  <c r="S56" i="385"/>
  <c r="J25" i="385"/>
  <c r="H32" i="385"/>
  <c r="J46" i="385"/>
  <c r="R81" i="385"/>
  <c r="M16" i="385"/>
  <c r="E16" i="385" s="1"/>
  <c r="H27" i="385"/>
  <c r="M12" i="385"/>
  <c r="E12" i="385" s="1"/>
  <c r="S8" i="385"/>
  <c r="M45" i="385"/>
  <c r="E45" i="385" s="1"/>
  <c r="H18" i="385"/>
  <c r="R47" i="385"/>
  <c r="J6" i="385"/>
  <c r="J15" i="385"/>
  <c r="J23" i="385"/>
  <c r="M41" i="385"/>
  <c r="E41" i="385" s="1"/>
  <c r="H36" i="385"/>
  <c r="R10" i="385"/>
  <c r="J41" i="385"/>
  <c r="M20" i="385"/>
  <c r="E20" i="385" s="1"/>
  <c r="M17" i="385"/>
  <c r="E17" i="385" s="1"/>
  <c r="M11" i="385"/>
  <c r="E11" i="385" s="1"/>
  <c r="H45" i="385"/>
  <c r="J39" i="385"/>
  <c r="S43" i="385"/>
  <c r="M30" i="385"/>
  <c r="E30" i="385" s="1"/>
  <c r="S57" i="385"/>
  <c r="S9" i="385"/>
  <c r="M23" i="385"/>
  <c r="E23" i="385" s="1"/>
  <c r="M15" i="385"/>
  <c r="E15" i="385" s="1"/>
  <c r="J38" i="385"/>
  <c r="R89" i="385"/>
  <c r="H5" i="385"/>
  <c r="M36" i="385"/>
  <c r="E36" i="385" s="1"/>
  <c r="M43" i="385"/>
  <c r="E43" i="385" s="1"/>
  <c r="M37" i="385"/>
  <c r="E37" i="385" s="1"/>
  <c r="S77" i="385"/>
  <c r="M31" i="385"/>
  <c r="E31" i="385" s="1"/>
  <c r="J35" i="385"/>
  <c r="J18" i="385"/>
  <c r="H46" i="385"/>
  <c r="J12" i="385"/>
  <c r="J13" i="385"/>
  <c r="J16" i="385"/>
  <c r="S54" i="385"/>
  <c r="M27" i="385"/>
  <c r="E27" i="385" s="1"/>
  <c r="M26" i="385"/>
  <c r="E26" i="385" s="1"/>
  <c r="J26" i="385"/>
  <c r="M25" i="385"/>
  <c r="E25" i="385" s="1"/>
  <c r="M13" i="385"/>
  <c r="E13" i="385" s="1"/>
  <c r="R71" i="385"/>
  <c r="J5" i="385"/>
  <c r="M18" i="385"/>
  <c r="E18" i="385" s="1"/>
  <c r="J28" i="385"/>
  <c r="J43" i="385"/>
  <c r="M14" i="385"/>
  <c r="E14" i="385" s="1"/>
  <c r="H31" i="385"/>
  <c r="R49" i="385"/>
  <c r="J19" i="385"/>
  <c r="M28" i="385"/>
  <c r="E28" i="385" s="1"/>
  <c r="E9" i="415"/>
  <c r="E20" i="415"/>
  <c r="M8" i="385"/>
  <c r="E8" i="385" s="1"/>
  <c r="E39" i="415"/>
  <c r="M19" i="385"/>
  <c r="E19" i="385" s="1"/>
  <c r="E38" i="415"/>
  <c r="E37" i="415"/>
  <c r="E51" i="415"/>
  <c r="E46" i="415"/>
  <c r="E50" i="415"/>
  <c r="E36" i="415"/>
  <c r="E19" i="415"/>
  <c r="E30" i="415"/>
  <c r="E7" i="415"/>
  <c r="E27" i="415"/>
  <c r="E48" i="415"/>
  <c r="E24" i="415"/>
  <c r="E21" i="415"/>
  <c r="E6" i="415"/>
  <c r="E31" i="415"/>
  <c r="E22" i="415"/>
  <c r="S8" i="89"/>
  <c r="J52" i="54"/>
  <c r="J54" i="54" s="1"/>
  <c r="I54" i="54"/>
  <c r="R8" i="89" a="1"/>
  <c r="R8" i="89" l="1"/>
  <c r="M105" i="89"/>
  <c r="I105" i="89" l="1"/>
  <c r="AE105" i="89"/>
  <c r="AA105" i="89" a="1"/>
  <c r="N105" i="89" a="1"/>
  <c r="AA105" i="89" l="1"/>
  <c r="N105" i="89"/>
  <c r="P105" i="89"/>
  <c r="Q105" i="89" s="1"/>
  <c r="Z105" i="89" a="1"/>
  <c r="Z105" i="89" l="1"/>
  <c r="AE104" i="89"/>
  <c r="AC105" i="89" l="1"/>
  <c r="Y105" i="89"/>
  <c r="U105" i="89"/>
  <c r="J105" i="89"/>
  <c r="K106" i="89" l="1"/>
  <c r="I104" i="89"/>
  <c r="AA104" i="89" a="1"/>
  <c r="AA104" i="89" l="1"/>
  <c r="M104" i="89"/>
  <c r="K102" i="89"/>
  <c r="N104" i="89" a="1"/>
  <c r="N104" i="89" l="1"/>
  <c r="P104" i="89"/>
  <c r="Z104" i="89" a="1"/>
  <c r="Z104" i="89" l="1"/>
  <c r="Q104" i="89"/>
  <c r="S104" i="89"/>
  <c r="R104" i="89" s="1" a="1"/>
  <c r="R104" i="89" l="1"/>
  <c r="AC104" i="89"/>
  <c r="Y104" i="89"/>
  <c r="U104" i="89"/>
  <c r="J104" i="89"/>
  <c r="K107" i="89" l="1"/>
  <c r="I103" i="89" l="1"/>
  <c r="M103" i="89"/>
  <c r="AE103" i="89"/>
  <c r="AA103" i="89" a="1"/>
  <c r="N103" i="89" a="1"/>
  <c r="AA103" i="89" l="1"/>
  <c r="I101" i="89"/>
  <c r="I110" i="89"/>
  <c r="I108" i="89"/>
  <c r="N103" i="89"/>
  <c r="I106" i="89"/>
  <c r="P103" i="89"/>
  <c r="Z103" i="89" a="1"/>
  <c r="Z103" i="89" l="1"/>
  <c r="H110" i="89"/>
  <c r="H111" i="89"/>
  <c r="P106" i="89"/>
  <c r="Q106" i="89" s="1"/>
  <c r="Q103" i="89"/>
  <c r="Q102" i="89" s="1"/>
  <c r="I102" i="89"/>
  <c r="Q101" i="89"/>
  <c r="H96" i="89"/>
  <c r="AE96" i="89" s="1"/>
  <c r="AE95" i="89"/>
  <c r="H94" i="89"/>
  <c r="AE94" i="89" s="1"/>
  <c r="AE88" i="89"/>
  <c r="S103" i="89"/>
  <c r="R103" i="89" s="1" a="1"/>
  <c r="R103" i="89" l="1"/>
  <c r="G111" i="89"/>
  <c r="G110" i="89"/>
  <c r="M96" i="89"/>
  <c r="AC103" i="89"/>
  <c r="Y103" i="89"/>
  <c r="U103" i="89"/>
  <c r="J103" i="89"/>
  <c r="N95" i="89" a="1"/>
  <c r="N96" i="89" a="1"/>
  <c r="N94" i="89" a="1"/>
  <c r="N94" i="89" l="1"/>
  <c r="N96" i="89"/>
  <c r="N95" i="89"/>
  <c r="Y107" i="89"/>
  <c r="I96" i="89"/>
  <c r="K97" i="89"/>
  <c r="J93" i="89"/>
  <c r="M94" i="89"/>
  <c r="I95" i="89"/>
  <c r="M95" i="89"/>
  <c r="K98" i="89"/>
  <c r="I94" i="89"/>
  <c r="Z94" i="89" a="1"/>
  <c r="Z96" i="89" a="1"/>
  <c r="Z95" i="89" a="1"/>
  <c r="AA94" i="89" a="1"/>
  <c r="AA96" i="89" a="1"/>
  <c r="AA95" i="89" a="1"/>
  <c r="S96" i="89" a="1"/>
  <c r="S95" i="89"/>
  <c r="R95" i="89" s="1" a="1"/>
  <c r="S94" i="89"/>
  <c r="R94" i="89" s="1" a="1"/>
  <c r="R94" i="89" l="1"/>
  <c r="R95" i="89"/>
  <c r="AA95" i="89"/>
  <c r="AA96" i="89"/>
  <c r="AA94" i="89"/>
  <c r="Z95" i="89"/>
  <c r="Z96" i="89"/>
  <c r="Z94" i="89"/>
  <c r="AC94" i="89"/>
  <c r="Y94" i="89"/>
  <c r="U94" i="89"/>
  <c r="S96" i="89"/>
  <c r="R96" i="89" s="1" a="1"/>
  <c r="AC95" i="89"/>
  <c r="Y95" i="89"/>
  <c r="U95" i="89"/>
  <c r="P95" i="89"/>
  <c r="J95" i="89"/>
  <c r="I99" i="89"/>
  <c r="I93" i="89"/>
  <c r="K93" i="89" s="1"/>
  <c r="I97" i="89"/>
  <c r="P94" i="89"/>
  <c r="Q94" i="89" s="1"/>
  <c r="J94" i="89"/>
  <c r="P96" i="89"/>
  <c r="Q96" i="89" s="1"/>
  <c r="W88" i="89" a="1"/>
  <c r="R96" i="89" l="1"/>
  <c r="J96" i="89"/>
  <c r="W88" i="89"/>
  <c r="Q95" i="89"/>
  <c r="Q93" i="89" s="1"/>
  <c r="P97" i="89"/>
  <c r="AC96" i="89"/>
  <c r="Y96" i="89"/>
  <c r="U96" i="89"/>
  <c r="Y98" i="89" l="1"/>
  <c r="Q97" i="89"/>
  <c r="B98" i="89"/>
  <c r="B99" i="89" s="1"/>
  <c r="L88" i="89" a="1"/>
  <c r="L88" i="89" l="1"/>
  <c r="K88" i="89" a="1"/>
  <c r="K88" i="89" l="1"/>
  <c r="M88" i="89" s="1"/>
  <c r="I88" i="89"/>
  <c r="AA88" i="89" a="1"/>
  <c r="F88" i="89" a="1"/>
  <c r="AA88" i="89" l="1"/>
  <c r="F88" i="89"/>
  <c r="N88" i="89" a="1"/>
  <c r="N88" i="89" l="1"/>
  <c r="D88" i="89"/>
  <c r="Z88" i="89" a="1"/>
  <c r="Z88" i="89" l="1"/>
  <c r="P88" i="89"/>
  <c r="Q88" i="89" s="1"/>
  <c r="AE87" i="89"/>
  <c r="AC88" i="89" l="1"/>
  <c r="Y88" i="89"/>
  <c r="U88" i="89"/>
  <c r="J88" i="89"/>
  <c r="W87" i="89" a="1"/>
  <c r="W87" i="89" l="1"/>
  <c r="L87" i="89" a="1"/>
  <c r="L87" i="89" l="1"/>
  <c r="K87" i="89" a="1"/>
  <c r="K87" i="89" l="1"/>
  <c r="K89" i="89"/>
  <c r="M87" i="89"/>
  <c r="I87" i="89"/>
  <c r="AA87" i="89" s="1" a="1"/>
  <c r="AA87" i="89" s="1"/>
  <c r="F87" i="89" a="1"/>
  <c r="F87" i="89" l="1"/>
  <c r="N87" i="89" a="1"/>
  <c r="N87" i="89" l="1"/>
  <c r="Z87" i="89" s="1" a="1"/>
  <c r="Z87" i="89" s="1"/>
  <c r="D87" i="89"/>
  <c r="P87" i="89" l="1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W86" i="89" a="1"/>
  <c r="W86" i="89" l="1"/>
  <c r="L86" i="89" a="1"/>
  <c r="L86" i="89" l="1"/>
  <c r="K86" i="89" a="1"/>
  <c r="K86" i="89" l="1"/>
  <c r="K90" i="89" s="1"/>
  <c r="H86" i="89"/>
  <c r="F86" i="89" a="1"/>
  <c r="I86" i="89" l="1"/>
  <c r="AA86" i="89" s="1" a="1"/>
  <c r="AA86" i="89" s="1"/>
  <c r="M86" i="89"/>
  <c r="F86" i="89"/>
  <c r="AE86" i="89"/>
  <c r="N86" i="89" a="1"/>
  <c r="I91" i="89" l="1"/>
  <c r="I89" i="89"/>
  <c r="N86" i="89"/>
  <c r="Z86" i="89" s="1" a="1"/>
  <c r="Z86" i="89" s="1"/>
  <c r="D86" i="89"/>
  <c r="P86" i="89" l="1"/>
  <c r="J85" i="89"/>
  <c r="I85" i="89"/>
  <c r="AE79" i="89"/>
  <c r="AB86" i="89" a="1"/>
  <c r="S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W79" i="89" a="1"/>
  <c r="W79" i="89" l="1"/>
  <c r="L79" i="89" a="1"/>
  <c r="L79" i="89" l="1"/>
  <c r="K79" i="89" a="1"/>
  <c r="K79" i="89" l="1"/>
  <c r="M79" i="89" s="1"/>
  <c r="I79" i="89"/>
  <c r="AA79" i="89" s="1" a="1"/>
  <c r="F79" i="89" a="1"/>
  <c r="AA79" i="89" l="1"/>
  <c r="F79" i="89"/>
  <c r="N79" i="89" a="1"/>
  <c r="N79" i="89" l="1"/>
  <c r="D79" i="89"/>
  <c r="Z79" i="89" a="1"/>
  <c r="Z79" i="89" l="1"/>
  <c r="P79" i="89"/>
  <c r="Q79" i="89" s="1"/>
  <c r="AE78" i="89"/>
  <c r="S79" i="89" a="1"/>
  <c r="S79" i="89" l="1"/>
  <c r="R79" i="89" a="1"/>
  <c r="R79" i="89" l="1"/>
  <c r="AC79" i="89"/>
  <c r="Y79" i="89"/>
  <c r="U79" i="89"/>
  <c r="J79" i="89"/>
  <c r="W78" i="89" a="1"/>
  <c r="W78" i="89" l="1"/>
  <c r="L78" i="89" a="1"/>
  <c r="L78" i="89" l="1"/>
  <c r="K78" i="89" a="1"/>
  <c r="K78" i="89" l="1"/>
  <c r="M78" i="89" s="1"/>
  <c r="K80" i="89"/>
  <c r="F78" i="89" a="1"/>
  <c r="I78" i="89" l="1"/>
  <c r="F78" i="89"/>
  <c r="AA78" i="89" a="1"/>
  <c r="N78" i="89" a="1"/>
  <c r="AA78" i="89" l="1"/>
  <c r="I83" i="89"/>
  <c r="N78" i="89"/>
  <c r="Z78" i="89" s="1" a="1"/>
  <c r="D78" i="89"/>
  <c r="Z78" i="89" l="1"/>
  <c r="P78" i="89"/>
  <c r="AE77" i="89"/>
  <c r="S78" i="89" a="1"/>
  <c r="S78" i="89" l="1"/>
  <c r="Q78" i="89"/>
  <c r="R78" i="89" a="1"/>
  <c r="R78" i="89" l="1"/>
  <c r="AC78" i="89"/>
  <c r="Y78" i="89"/>
  <c r="U78" i="89"/>
  <c r="J78" i="89"/>
  <c r="W77" i="89" a="1"/>
  <c r="W77" i="89" l="1"/>
  <c r="L77" i="89" a="1"/>
  <c r="L77" i="89" l="1"/>
  <c r="K77" i="89" a="1"/>
  <c r="K77" i="89" l="1"/>
  <c r="K81" i="89" s="1"/>
  <c r="I77" i="89"/>
  <c r="AA77" i="89" a="1"/>
  <c r="F77" i="89" a="1"/>
  <c r="AA77" i="89" l="1"/>
  <c r="M77" i="89"/>
  <c r="F77" i="89"/>
  <c r="I82" i="89"/>
  <c r="I80" i="89"/>
  <c r="N77" i="89" a="1"/>
  <c r="N77" i="89" l="1"/>
  <c r="D77" i="89"/>
  <c r="Z77" i="89" a="1"/>
  <c r="Z77" i="89" l="1"/>
  <c r="P77" i="89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W68" i="89" a="1"/>
  <c r="W68" i="89" l="1"/>
  <c r="T70" i="89" l="1"/>
  <c r="L68" i="89" a="1"/>
  <c r="L68" i="89" l="1"/>
  <c r="K68" i="89" a="1"/>
  <c r="K68" i="89" l="1"/>
  <c r="L72" i="89"/>
  <c r="K70" i="89"/>
  <c r="M68" i="89"/>
  <c r="I68" i="89"/>
  <c r="AA68" i="89" a="1"/>
  <c r="AA68" i="89" l="1"/>
  <c r="I70" i="89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W62" i="89" a="1"/>
  <c r="W62" i="89" l="1"/>
  <c r="L62" i="89" a="1"/>
  <c r="L62" i="89" l="1"/>
  <c r="K62" i="89" a="1"/>
  <c r="K62" i="89" l="1"/>
  <c r="M62" i="89" s="1"/>
  <c r="I62" i="89"/>
  <c r="AA62" i="89" s="1" a="1"/>
  <c r="AA62" i="89" s="1"/>
  <c r="F62" i="89" a="1"/>
  <c r="F62" i="89" l="1"/>
  <c r="N62" i="89" a="1"/>
  <c r="N62" i="89" l="1"/>
  <c r="Z62" i="89" s="1" a="1"/>
  <c r="Z62" i="89" s="1"/>
  <c r="P62" i="89" l="1"/>
  <c r="Q62" i="89" s="1"/>
  <c r="AG61" i="89" l="1"/>
  <c r="AB62" i="89" a="1"/>
  <c r="S62" i="89" a="1"/>
  <c r="AB62" i="89" l="1"/>
  <c r="S62" i="89"/>
  <c r="R62" i="89" a="1"/>
  <c r="R62" i="89" l="1"/>
  <c r="AC62" i="89"/>
  <c r="Y62" i="89"/>
  <c r="U62" i="89"/>
  <c r="J62" i="89"/>
  <c r="W61" i="89" a="1"/>
  <c r="W61" i="89" l="1"/>
  <c r="T63" i="89" l="1"/>
  <c r="L61" i="89" a="1"/>
  <c r="L61" i="89" l="1"/>
  <c r="K61" i="89" a="1"/>
  <c r="K61" i="89" l="1"/>
  <c r="M61" i="89" s="1"/>
  <c r="L65" i="89"/>
  <c r="L74" i="89" s="1"/>
  <c r="K63" i="89"/>
  <c r="I61" i="89"/>
  <c r="AA61" i="89" s="1" a="1"/>
  <c r="F61" i="89" a="1"/>
  <c r="AA61" i="89" l="1"/>
  <c r="F61" i="89"/>
  <c r="I63" i="89"/>
  <c r="I64" i="89" s="1"/>
  <c r="K65" i="89"/>
  <c r="K74" i="89" s="1"/>
  <c r="K64" i="89"/>
  <c r="N61" i="89" a="1"/>
  <c r="N61" i="89" l="1"/>
  <c r="P61" i="89" s="1"/>
  <c r="Q61" i="89" s="1"/>
  <c r="Q63" i="89" s="1"/>
  <c r="Q73" i="89" s="1"/>
  <c r="Z61" i="89" a="1"/>
  <c r="Z61" i="89" l="1"/>
  <c r="Z60" i="89" s="1"/>
  <c r="AC61" i="89" l="1"/>
  <c r="Y61" i="89"/>
  <c r="U61" i="89"/>
  <c r="J61" i="89"/>
  <c r="Y63" i="89" l="1"/>
  <c r="Y64" i="89" s="1"/>
  <c r="W53" i="89" a="1"/>
  <c r="W53" i="89" l="1"/>
  <c r="L53" i="89" a="1"/>
  <c r="L53" i="89" l="1"/>
  <c r="K53" i="89" a="1"/>
  <c r="K53" i="89" l="1"/>
  <c r="M53" i="89"/>
  <c r="I53" i="89"/>
  <c r="H53" i="89"/>
  <c r="AA53" i="89" a="1"/>
  <c r="F53" i="89" a="1"/>
  <c r="AA53" i="89" l="1"/>
  <c r="F53" i="89"/>
  <c r="AG53" i="89"/>
  <c r="N53" i="89"/>
  <c r="Z53" i="89" s="1" a="1"/>
  <c r="Z53" i="89" l="1"/>
  <c r="P53" i="89"/>
  <c r="Q53" i="89" s="1"/>
  <c r="AG52" i="89" l="1"/>
  <c r="AC53" i="89" l="1"/>
  <c r="Y53" i="89"/>
  <c r="U53" i="89"/>
  <c r="J53" i="89"/>
  <c r="W52" i="89" a="1"/>
  <c r="W52" i="89" l="1"/>
  <c r="T54" i="89" l="1"/>
  <c r="L52" i="89" a="1"/>
  <c r="L52" i="89" l="1"/>
  <c r="K52" i="89" a="1"/>
  <c r="K52" i="89" l="1"/>
  <c r="L56" i="89"/>
  <c r="L57" i="89" s="1"/>
  <c r="K54" i="89"/>
  <c r="I52" i="89"/>
  <c r="AA52" i="89" a="1"/>
  <c r="F52" i="89" a="1"/>
  <c r="AA52" i="89" l="1"/>
  <c r="F52" i="89"/>
  <c r="I54" i="89"/>
  <c r="I55" i="89" s="1"/>
  <c r="K56" i="89"/>
  <c r="K57" i="89" s="1"/>
  <c r="K55" i="89"/>
  <c r="M52" i="89"/>
  <c r="N52" i="89" a="1"/>
  <c r="N52" i="89" l="1"/>
  <c r="Z52" i="89" a="1"/>
  <c r="Z52" i="89" l="1"/>
  <c r="P52" i="89"/>
  <c r="Q52" i="89" s="1"/>
  <c r="Q54" i="89" s="1"/>
  <c r="Q56" i="89" s="1"/>
  <c r="D47" i="89" l="1"/>
  <c r="AE44" i="89"/>
  <c r="S52" i="89" a="1"/>
  <c r="S52" i="89" l="1"/>
  <c r="R52" i="89" s="1" a="1"/>
  <c r="R52" i="89" s="1"/>
  <c r="AC52" i="89" l="1"/>
  <c r="Y52" i="89"/>
  <c r="U52" i="89"/>
  <c r="J52" i="89"/>
  <c r="Y55" i="89" l="1"/>
  <c r="W44" i="89" a="1"/>
  <c r="W44" i="89" l="1"/>
  <c r="L44" i="89" a="1"/>
  <c r="L44" i="89" l="1"/>
  <c r="K44" i="89" a="1"/>
  <c r="K44" i="89" l="1"/>
  <c r="M44" i="89" s="1"/>
  <c r="F44" i="89" a="1"/>
  <c r="I44" i="89" l="1"/>
  <c r="AA44" i="89" s="1" a="1"/>
  <c r="AA44" i="89" s="1"/>
  <c r="F44" i="89"/>
  <c r="N44" i="89" a="1"/>
  <c r="N44" i="89" l="1"/>
  <c r="Z44" i="89" s="1" a="1"/>
  <c r="Z44" i="89" s="1"/>
  <c r="P44" i="89" l="1"/>
  <c r="Q44" i="89" s="1"/>
  <c r="AE43" i="89" l="1"/>
  <c r="S44" i="89" a="1"/>
  <c r="AB44" i="89" a="1"/>
  <c r="AB44" i="89" l="1"/>
  <c r="S44" i="89"/>
  <c r="R44" i="89" a="1"/>
  <c r="R44" i="89" l="1"/>
  <c r="AC44" i="89"/>
  <c r="Y44" i="89"/>
  <c r="U44" i="89"/>
  <c r="J44" i="89"/>
  <c r="W43" i="89" a="1"/>
  <c r="W43" i="89" l="1"/>
  <c r="T45" i="89" l="1"/>
  <c r="L43" i="89" a="1"/>
  <c r="L43" i="89" l="1"/>
  <c r="K43" i="89" a="1"/>
  <c r="K43" i="89" l="1"/>
  <c r="K46" i="89" s="1"/>
  <c r="K45" i="89"/>
  <c r="I43" i="89"/>
  <c r="AA43" i="89" s="1" a="1"/>
  <c r="AA43" i="89" s="1"/>
  <c r="F43" i="89" a="1"/>
  <c r="M43" i="89" l="1"/>
  <c r="F43" i="89"/>
  <c r="I45" i="89"/>
  <c r="I46" i="89" s="1"/>
  <c r="N43" i="89" a="1"/>
  <c r="N43" i="89" l="1"/>
  <c r="Z43" i="89" s="1" a="1"/>
  <c r="Z43" i="89" s="1"/>
  <c r="P43" i="89" l="1"/>
  <c r="Q43" i="89" s="1"/>
  <c r="Q45" i="89" s="1"/>
  <c r="L42" i="89" l="1"/>
  <c r="S43" i="89" a="1"/>
  <c r="AB43" i="89" a="1"/>
  <c r="AB43" i="89" l="1"/>
  <c r="S43" i="89"/>
  <c r="R43" i="89" a="1"/>
  <c r="R43" i="89" l="1"/>
  <c r="AC43" i="89"/>
  <c r="Y43" i="89"/>
  <c r="U43" i="89"/>
  <c r="J43" i="89"/>
  <c r="T42" i="89"/>
  <c r="Y45" i="89" l="1"/>
  <c r="Z46" i="89" s="1"/>
  <c r="M37" i="89" l="1"/>
  <c r="I37" i="89"/>
  <c r="AA37" i="89" a="1"/>
  <c r="AA37" i="89" l="1"/>
  <c r="AE37" i="89"/>
  <c r="N37" i="89" a="1"/>
  <c r="N37" i="89" l="1"/>
  <c r="Z37" i="89" a="1"/>
  <c r="Z37" i="89" l="1"/>
  <c r="P37" i="89"/>
  <c r="Q37" i="89" s="1"/>
  <c r="AE36" i="89" l="1"/>
  <c r="AC37" i="89" l="1"/>
  <c r="Y37" i="89"/>
  <c r="U37" i="89"/>
  <c r="J37" i="89"/>
  <c r="T38" i="89" l="1"/>
  <c r="K39" i="89" l="1"/>
  <c r="K38" i="89"/>
  <c r="M36" i="89"/>
  <c r="I36" i="89"/>
  <c r="AA36" i="89" s="1" a="1"/>
  <c r="AA36" i="89" l="1"/>
  <c r="I38" i="89"/>
  <c r="N36" i="89" a="1"/>
  <c r="N36" i="89" l="1"/>
  <c r="G38" i="89"/>
  <c r="I39" i="89"/>
  <c r="Z36" i="89" a="1"/>
  <c r="Z36" i="89" l="1"/>
  <c r="P36" i="89"/>
  <c r="Q36" i="89" s="1"/>
  <c r="Q38" i="89" s="1"/>
  <c r="P35" i="89" l="1"/>
  <c r="A32" i="89"/>
  <c r="S36" i="89" a="1"/>
  <c r="S36" i="89" l="1"/>
  <c r="R36" i="89" a="1"/>
  <c r="R36" i="89" l="1"/>
  <c r="AC36" i="89"/>
  <c r="Y36" i="89"/>
  <c r="U36" i="89"/>
  <c r="J36" i="89"/>
  <c r="J35" i="89" s="1"/>
  <c r="Y39" i="89" l="1"/>
  <c r="Y40" i="89" s="1"/>
  <c r="M31" i="89" l="1"/>
  <c r="H31" i="89"/>
  <c r="I31" i="89" l="1"/>
  <c r="AE31" i="89"/>
  <c r="AA31" i="89" a="1"/>
  <c r="N31" i="89" a="1"/>
  <c r="AA31" i="89" l="1"/>
  <c r="N31" i="89"/>
  <c r="Z31" i="89" a="1"/>
  <c r="Z31" i="89" l="1"/>
  <c r="P31" i="89"/>
  <c r="Q31" i="89" s="1"/>
  <c r="AE30" i="89"/>
  <c r="AC31" i="89" l="1"/>
  <c r="Y31" i="89"/>
  <c r="U31" i="89"/>
  <c r="J31" i="89"/>
  <c r="T32" i="89" l="1"/>
  <c r="K33" i="89" l="1"/>
  <c r="K32" i="89"/>
  <c r="I30" i="89"/>
  <c r="AA30" i="89" a="1"/>
  <c r="AA30" i="89" l="1"/>
  <c r="M30" i="89"/>
  <c r="I32" i="89"/>
  <c r="K41" i="89"/>
  <c r="K40" i="89"/>
  <c r="N30" i="89" a="1"/>
  <c r="N30" i="89" l="1"/>
  <c r="I41" i="89"/>
  <c r="I33" i="89"/>
  <c r="Z30" i="89" a="1"/>
  <c r="Z30" i="89" l="1"/>
  <c r="P30" i="89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Z20" i="89" a="1"/>
  <c r="Z20" i="89" l="1"/>
  <c r="P20" i="89"/>
  <c r="Q20" i="89" s="1"/>
  <c r="AJ19" i="89"/>
  <c r="AE19" i="89"/>
  <c r="AC20" i="89" l="1"/>
  <c r="Y20" i="89"/>
  <c r="U20" i="89"/>
  <c r="J20" i="89"/>
  <c r="T21" i="89" l="1"/>
  <c r="K22" i="89" l="1"/>
  <c r="K23" i="89"/>
  <c r="L23" i="89"/>
  <c r="K21" i="89"/>
  <c r="M19" i="89"/>
  <c r="I19" i="89"/>
  <c r="AA19" i="89" a="1"/>
  <c r="N19" i="89" a="1"/>
  <c r="AA19" i="89" l="1"/>
  <c r="I21" i="89"/>
  <c r="I22" i="89" s="1"/>
  <c r="N19" i="89"/>
  <c r="J19" i="89"/>
  <c r="G18" i="89"/>
  <c r="Z19" i="89" a="1"/>
  <c r="Z19" i="89" l="1"/>
  <c r="P19" i="89"/>
  <c r="Q19" i="89" s="1"/>
  <c r="Q21" i="89" s="1"/>
  <c r="AC19" i="89"/>
  <c r="Y19" i="89"/>
  <c r="U19" i="89"/>
  <c r="P22" i="89" l="1"/>
  <c r="Y21" i="89"/>
  <c r="Y22" i="89" s="1"/>
  <c r="P23" i="89" l="1"/>
  <c r="M14" i="89" l="1"/>
  <c r="H14" i="89"/>
  <c r="I14" i="89" l="1"/>
  <c r="AE14" i="89"/>
  <c r="AF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N13" i="89" a="1"/>
  <c r="N13" i="89" l="1"/>
  <c r="P13" i="89"/>
  <c r="Z13" i="89" a="1"/>
  <c r="Z13" i="89" l="1"/>
  <c r="P16" i="89"/>
  <c r="Q13" i="89"/>
  <c r="Q15" i="89" s="1"/>
  <c r="AI12" i="89"/>
  <c r="AH12" i="89"/>
  <c r="AI11" i="89"/>
  <c r="AH11" i="89"/>
  <c r="AJ11" i="89" s="1"/>
  <c r="S13" i="89" a="1"/>
  <c r="Q17" i="89" l="1"/>
  <c r="Q24" i="89"/>
  <c r="S13" i="89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I8" i="89" l="1"/>
  <c r="AF8" i="89"/>
  <c r="AE8" i="89"/>
  <c r="AA8" i="89" a="1"/>
  <c r="N8" i="89" a="1"/>
  <c r="AA8" i="89" l="1"/>
  <c r="N8" i="89"/>
  <c r="Z8" i="89" s="1" a="1"/>
  <c r="Z8" i="89" s="1"/>
  <c r="P8" i="89" l="1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0" i="89"/>
  <c r="K18" i="89" s="1"/>
  <c r="K11" i="89"/>
  <c r="N7" i="89" a="1"/>
  <c r="N7" i="89" l="1"/>
  <c r="Z7" i="89" s="1"/>
  <c r="K5" i="89"/>
  <c r="H45" i="2"/>
  <c r="H44" i="2"/>
  <c r="H43" i="2"/>
  <c r="H42" i="2"/>
  <c r="J40" i="2"/>
  <c r="J39" i="2"/>
  <c r="J38" i="2"/>
  <c r="J37" i="2"/>
  <c r="J36" i="2"/>
  <c r="J35" i="2"/>
  <c r="J34" i="2"/>
  <c r="J33" i="2"/>
  <c r="BA28" i="2"/>
  <c r="S7" i="89" a="1"/>
  <c r="J42" i="2" l="1"/>
  <c r="I42" i="2" s="1"/>
  <c r="J43" i="2"/>
  <c r="I43" i="2" s="1"/>
  <c r="J44" i="2"/>
  <c r="I44" i="2" s="1"/>
  <c r="J45" i="2"/>
  <c r="I45" i="2" s="1"/>
  <c r="S7" i="89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A7" i="89"/>
  <c r="Q11" i="89"/>
  <c r="Q5" i="89"/>
  <c r="P11" i="89" l="1"/>
  <c r="R28" i="2" l="1"/>
  <c r="BB28" i="2" l="1"/>
  <c r="BC28" i="2" s="1"/>
  <c r="O28" i="2" l="1"/>
  <c r="S28" i="2" a="1"/>
  <c r="S28" i="2" l="1"/>
  <c r="AP28" i="2" s="1"/>
  <c r="AO28" i="2"/>
  <c r="U28" i="2" l="1"/>
  <c r="AE28" i="2"/>
  <c r="AT28" i="2"/>
  <c r="AS28" i="2"/>
  <c r="AL28" i="2"/>
  <c r="AB28" i="2"/>
  <c r="M28" i="2"/>
  <c r="BA27" i="2"/>
  <c r="AM28" i="2" l="1"/>
  <c r="X28" i="2"/>
  <c r="Y28" i="2" s="1"/>
  <c r="R27" i="2" l="1"/>
  <c r="BB27" i="2" l="1"/>
  <c r="BC27" i="2" s="1"/>
  <c r="O27" i="2" l="1"/>
  <c r="S27" i="2" a="1"/>
  <c r="S27" i="2" l="1"/>
  <c r="AO27" i="2" s="1"/>
  <c r="U27" i="2" l="1"/>
  <c r="AP27" i="2"/>
  <c r="AE27" i="2"/>
  <c r="AT27" i="2"/>
  <c r="AS27" i="2"/>
  <c r="AL27" i="2"/>
  <c r="AB27" i="2"/>
  <c r="M27" i="2"/>
  <c r="AM27" i="2" l="1"/>
  <c r="X27" i="2"/>
  <c r="Y27" i="2" s="1"/>
  <c r="BA12" i="2" l="1"/>
  <c r="R12" i="2" l="1"/>
  <c r="BB12" i="2" l="1"/>
  <c r="BC12" i="2" s="1"/>
  <c r="S12" i="2" a="1"/>
  <c r="S12" i="2" l="1"/>
  <c r="AP12" i="2"/>
  <c r="O12" i="2"/>
  <c r="AO12" i="2" l="1"/>
  <c r="U12" i="2"/>
  <c r="AE12" i="2" l="1"/>
  <c r="AT12" i="2"/>
  <c r="AS12" i="2"/>
  <c r="AL12" i="2"/>
  <c r="AB12" i="2"/>
  <c r="M12" i="2"/>
  <c r="AM12" i="2" l="1"/>
  <c r="X12" i="2"/>
  <c r="Y12" i="2" s="1"/>
  <c r="BA17" i="2" l="1"/>
  <c r="R17" i="2" l="1"/>
  <c r="BB17" i="2" l="1"/>
  <c r="BC17" i="2" s="1"/>
  <c r="O17" i="2" l="1"/>
  <c r="S17" i="2" a="1"/>
  <c r="S17" i="2" l="1"/>
  <c r="AO17" i="2"/>
  <c r="AP17" i="2"/>
  <c r="U17" i="2"/>
  <c r="AE17" i="2" l="1"/>
  <c r="AS17" i="2"/>
  <c r="AT17" i="2"/>
  <c r="AL17" i="2"/>
  <c r="AB17" i="2"/>
  <c r="M17" i="2"/>
  <c r="BA16" i="2"/>
  <c r="AM17" i="2" l="1"/>
  <c r="X17" i="2"/>
  <c r="Y17" i="2" s="1"/>
  <c r="R16" i="2" l="1"/>
  <c r="BB16" i="2" l="1"/>
  <c r="BC16" i="2" s="1"/>
  <c r="O16" i="2" l="1"/>
  <c r="S16" i="2" a="1"/>
  <c r="S16" i="2" l="1"/>
  <c r="AO16" i="2" s="1"/>
  <c r="Z16" i="2"/>
  <c r="AV16" i="2" s="1" a="1"/>
  <c r="AV16" i="2" s="1"/>
  <c r="U16" i="2" l="1"/>
  <c r="AP16" i="2"/>
  <c r="AE16" i="2"/>
  <c r="AS16" i="2"/>
  <c r="AT16" i="2"/>
  <c r="AL16" i="2"/>
  <c r="AB16" i="2"/>
  <c r="M16" i="2"/>
  <c r="BA15" i="2"/>
  <c r="AM16" i="2" l="1"/>
  <c r="X16" i="2"/>
  <c r="Y16" i="2" s="1"/>
  <c r="R15" i="2" l="1"/>
  <c r="BB15" i="2" l="1"/>
  <c r="BC15" i="2" s="1"/>
  <c r="O15" i="2" l="1"/>
  <c r="S15" i="2" a="1"/>
  <c r="S15" i="2" l="1"/>
  <c r="AO15" i="2" s="1"/>
  <c r="Z15" i="2"/>
  <c r="AV15" i="2" s="1" a="1"/>
  <c r="AV15" i="2" l="1"/>
  <c r="U15" i="2"/>
  <c r="AP15" i="2"/>
  <c r="AE15" i="2"/>
  <c r="AT15" i="2"/>
  <c r="AS15" i="2"/>
  <c r="AL15" i="2"/>
  <c r="Q19" i="1" s="1"/>
  <c r="AB15" i="2"/>
  <c r="M15" i="2"/>
  <c r="BA19" i="2"/>
  <c r="T19" i="1" l="1"/>
  <c r="AM15" i="2"/>
  <c r="X15" i="2"/>
  <c r="Y15" i="2" s="1"/>
  <c r="R19" i="2" l="1"/>
  <c r="BB19" i="2" l="1"/>
  <c r="BC19" i="2" s="1"/>
  <c r="O19" i="2" l="1"/>
  <c r="S19" i="2" a="1"/>
  <c r="S19" i="2" l="1"/>
  <c r="U19" i="2" s="1"/>
  <c r="AP19" i="2" l="1"/>
  <c r="AO19" i="2"/>
  <c r="AE19" i="2"/>
  <c r="AT19" i="2"/>
  <c r="AS19" i="2"/>
  <c r="AL19" i="2"/>
  <c r="AB19" i="2"/>
  <c r="M19" i="2"/>
  <c r="BA18" i="2"/>
  <c r="AM19" i="2" l="1"/>
  <c r="X19" i="2"/>
  <c r="Y19" i="2" s="1"/>
  <c r="R18" i="2" l="1"/>
  <c r="BB18" i="2" l="1"/>
  <c r="BC18" i="2" s="1"/>
  <c r="O18" i="2" l="1"/>
  <c r="S18" i="2" a="1"/>
  <c r="S18" i="2" l="1"/>
  <c r="AP18" i="2" s="1"/>
  <c r="U18" i="2" l="1"/>
  <c r="AO18" i="2"/>
  <c r="AE18" i="2"/>
  <c r="AT18" i="2"/>
  <c r="AS18" i="2"/>
  <c r="AL18" i="2"/>
  <c r="AB18" i="2"/>
  <c r="M18" i="2"/>
  <c r="BA20" i="2"/>
  <c r="AM18" i="2" l="1"/>
  <c r="X18" i="2"/>
  <c r="Y18" i="2" s="1"/>
  <c r="R20" i="2" l="1"/>
  <c r="BB20" i="2" l="1"/>
  <c r="BC20" i="2" s="1"/>
  <c r="O20" i="2" l="1"/>
  <c r="S20" i="2" a="1"/>
  <c r="S20" i="2" l="1"/>
  <c r="AP20" i="2" s="1"/>
  <c r="AO20" i="2" l="1"/>
  <c r="U20" i="2"/>
  <c r="AE20" i="2" l="1"/>
  <c r="AS20" i="2"/>
  <c r="AT20" i="2"/>
  <c r="AL20" i="2"/>
  <c r="AB20" i="2"/>
  <c r="M20" i="2"/>
  <c r="BA8" i="2"/>
  <c r="AM20" i="2" l="1"/>
  <c r="X20" i="2"/>
  <c r="Y20" i="2" s="1"/>
  <c r="R8" i="2" l="1"/>
  <c r="BB8" i="2" l="1"/>
  <c r="BC8" i="2" s="1"/>
  <c r="S8" i="2" a="1"/>
  <c r="S8" i="2" l="1"/>
  <c r="AP8" i="2" s="1"/>
  <c r="O8" i="2"/>
  <c r="AO8" i="2" l="1"/>
  <c r="U8" i="2"/>
  <c r="AE8" i="2" l="1"/>
  <c r="AT8" i="2"/>
  <c r="AS8" i="2"/>
  <c r="AL8" i="2"/>
  <c r="AB8" i="2"/>
  <c r="M8" i="2"/>
  <c r="BA6" i="2"/>
  <c r="AM8" i="2" l="1"/>
  <c r="X8" i="2"/>
  <c r="Y8" i="2" s="1"/>
  <c r="R6" i="2" l="1"/>
  <c r="BB6" i="2" l="1"/>
  <c r="BC6" i="2" s="1"/>
  <c r="O6" i="2" l="1"/>
  <c r="S6" i="2" a="1"/>
  <c r="S6" i="2" l="1"/>
  <c r="AO6" i="2" s="1"/>
  <c r="AP6" i="2"/>
  <c r="U6" i="2"/>
  <c r="AE6" i="2" l="1"/>
  <c r="AT6" i="2"/>
  <c r="AS6" i="2"/>
  <c r="AL6" i="2"/>
  <c r="Q15" i="1" s="1"/>
  <c r="AB6" i="2"/>
  <c r="M6" i="2"/>
  <c r="U2" i="2"/>
  <c r="R2" i="2"/>
  <c r="Q2" i="2" a="1"/>
  <c r="T15" i="1" l="1"/>
  <c r="Q2" i="2"/>
  <c r="S2" i="2" s="1"/>
  <c r="AM6" i="2"/>
  <c r="X6" i="2"/>
  <c r="Y6" i="2" s="1"/>
  <c r="P2" i="2" a="1"/>
  <c r="F15" i="1" l="1"/>
  <c r="P2" i="2"/>
  <c r="I2" i="2" l="1"/>
  <c r="X1" i="2"/>
  <c r="R1" i="2"/>
  <c r="O1" i="2"/>
  <c r="H1" i="2" l="1"/>
  <c r="S44" i="1"/>
  <c r="Q44" i="1"/>
  <c r="N44" i="1" l="1"/>
  <c r="J44" i="1"/>
  <c r="T44" i="1" l="1"/>
  <c r="S43" i="1"/>
  <c r="Q43" i="1"/>
  <c r="N43" i="1" l="1"/>
  <c r="J43" i="1"/>
  <c r="T43" i="1" l="1"/>
  <c r="S42" i="1"/>
  <c r="Q42" i="1"/>
  <c r="N42" i="1" l="1"/>
  <c r="J42" i="1"/>
  <c r="T42" i="1" l="1"/>
  <c r="S41" i="1"/>
  <c r="Q41" i="1"/>
  <c r="N41" i="1" l="1"/>
  <c r="J41" i="1"/>
  <c r="T41" i="1" l="1"/>
  <c r="S40" i="1" l="1"/>
  <c r="Q40" i="1"/>
  <c r="N40" i="1" l="1"/>
  <c r="J40" i="1"/>
  <c r="T40" i="1" l="1"/>
  <c r="S39" i="1"/>
  <c r="Q39" i="1"/>
  <c r="N39" i="1" l="1"/>
  <c r="J39" i="1"/>
  <c r="T39" i="1" l="1"/>
  <c r="S38" i="1" l="1"/>
  <c r="Q38" i="1"/>
  <c r="N38" i="1" l="1"/>
  <c r="J38" i="1"/>
  <c r="T38" i="1" l="1"/>
  <c r="S37" i="1"/>
  <c r="Q37" i="1"/>
  <c r="N37" i="1" l="1"/>
  <c r="J37" i="1"/>
  <c r="T37" i="1" l="1"/>
  <c r="S36" i="1"/>
  <c r="Q36" i="1"/>
  <c r="N36" i="1" l="1"/>
  <c r="J36" i="1"/>
  <c r="T36" i="1" l="1"/>
  <c r="S35" i="1"/>
  <c r="Q35" i="1"/>
  <c r="N35" i="1" l="1"/>
  <c r="J35" i="1"/>
  <c r="T35" i="1" l="1"/>
  <c r="Q34" i="1" l="1"/>
  <c r="N34" i="1" l="1"/>
  <c r="J34" i="1"/>
  <c r="T34" i="1" l="1"/>
  <c r="Q32" i="1"/>
  <c r="N32" i="1" l="1"/>
  <c r="J32" i="1"/>
  <c r="T32" i="1" l="1"/>
  <c r="Q31" i="1" l="1"/>
  <c r="N31" i="1" l="1"/>
  <c r="J31" i="1"/>
  <c r="T31" i="1" l="1"/>
  <c r="Q30" i="1"/>
  <c r="N30" i="1" l="1"/>
  <c r="J30" i="1"/>
  <c r="T30" i="1" l="1"/>
  <c r="Q29" i="1"/>
  <c r="N29" i="1" l="1"/>
  <c r="J29" i="1"/>
  <c r="T29" i="1" l="1"/>
  <c r="Q28" i="1"/>
  <c r="N28" i="1" l="1"/>
  <c r="J28" i="1"/>
  <c r="T28" i="1" l="1"/>
  <c r="Q27" i="1" l="1"/>
  <c r="N27" i="1" l="1"/>
  <c r="J27" i="1"/>
  <c r="T27" i="1" l="1"/>
  <c r="S26" i="1"/>
  <c r="Q26" i="1"/>
  <c r="N26" i="1" l="1"/>
  <c r="J26" i="1"/>
  <c r="T26" i="1" l="1"/>
  <c r="S25" i="1"/>
  <c r="Q25" i="1"/>
  <c r="N25" i="1" l="1"/>
  <c r="J25" i="1"/>
  <c r="T25" i="1" l="1"/>
  <c r="S24" i="1"/>
  <c r="Q24" i="1"/>
  <c r="N24" i="1" l="1"/>
  <c r="J24" i="1"/>
  <c r="T24" i="1" l="1"/>
  <c r="S23" i="1"/>
  <c r="Q23" i="1"/>
  <c r="N23" i="1" l="1"/>
  <c r="J23" i="1"/>
  <c r="T23" i="1" l="1"/>
  <c r="S22" i="1"/>
  <c r="Q22" i="1"/>
  <c r="N22" i="1" l="1"/>
  <c r="J22" i="1"/>
  <c r="T22" i="1" l="1"/>
  <c r="S21" i="1" l="1"/>
  <c r="Q21" i="1"/>
  <c r="N21" i="1" l="1"/>
  <c r="J21" i="1"/>
  <c r="T21" i="1" l="1"/>
  <c r="Q20" i="1" l="1"/>
  <c r="N20" i="1" l="1"/>
  <c r="J20" i="1"/>
  <c r="T20" i="1" l="1"/>
  <c r="Q18" i="1"/>
  <c r="N18" i="1" l="1"/>
  <c r="J18" i="1"/>
  <c r="T18" i="1" l="1"/>
  <c r="S17" i="1"/>
  <c r="Q17" i="1"/>
  <c r="N17" i="1" l="1"/>
  <c r="J17" i="1"/>
  <c r="T17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I10" i="1" l="1"/>
  <c r="D10" i="1" l="1"/>
  <c r="M9" i="1" l="1"/>
  <c r="I9" i="1" l="1"/>
  <c r="D9" i="1" l="1"/>
  <c r="M8" i="1" l="1"/>
  <c r="I8" i="1" l="1"/>
  <c r="D8" i="1" l="1"/>
  <c r="AD7" i="1"/>
  <c r="BD26" i="2" l="1"/>
  <c r="AK26" i="2"/>
  <c r="V26" i="2"/>
  <c r="AI26" i="2"/>
  <c r="W26" i="2"/>
  <c r="BD23" i="2"/>
  <c r="V23" i="2"/>
  <c r="AI23" i="2"/>
  <c r="AK23" i="2"/>
  <c r="W23" i="2"/>
  <c r="BD25" i="2"/>
  <c r="V25" i="2"/>
  <c r="AK25" i="2"/>
  <c r="AI25" i="2"/>
  <c r="W25" i="2"/>
  <c r="P33" i="1"/>
  <c r="AH33" i="1"/>
  <c r="BD11" i="2"/>
  <c r="AI11" i="2"/>
  <c r="AK11" i="2"/>
  <c r="V11" i="2"/>
  <c r="W11" i="2"/>
  <c r="BD4" i="2"/>
  <c r="AI4" i="2"/>
  <c r="V4" i="2"/>
  <c r="AK4" i="2"/>
  <c r="W4" i="2"/>
  <c r="P19" i="1"/>
  <c r="AD19" i="1" s="1"/>
  <c r="P15" i="1"/>
  <c r="AD15" i="1" s="1"/>
  <c r="AH19" i="1"/>
  <c r="BD5" i="2"/>
  <c r="AK5" i="2"/>
  <c r="V5" i="2"/>
  <c r="AI5" i="2"/>
  <c r="W5" i="2"/>
  <c r="BD21" i="2"/>
  <c r="BD22" i="2"/>
  <c r="AI22" i="2"/>
  <c r="AI21" i="2"/>
  <c r="V22" i="2"/>
  <c r="AK21" i="2"/>
  <c r="AK22" i="2"/>
  <c r="V21" i="2"/>
  <c r="W22" i="2"/>
  <c r="W21" i="2"/>
  <c r="BD24" i="2"/>
  <c r="AI24" i="2"/>
  <c r="AK24" i="2"/>
  <c r="V24" i="2"/>
  <c r="W24" i="2"/>
  <c r="AH15" i="1"/>
  <c r="P16" i="1"/>
  <c r="AH16" i="1"/>
  <c r="BD10" i="2"/>
  <c r="BD9" i="2"/>
  <c r="V9" i="2"/>
  <c r="AK9" i="2"/>
  <c r="AK10" i="2"/>
  <c r="AI9" i="2"/>
  <c r="V10" i="2"/>
  <c r="AI10" i="2"/>
  <c r="W9" i="2"/>
  <c r="W10" i="2"/>
  <c r="BD13" i="2"/>
  <c r="BD14" i="2"/>
  <c r="AI14" i="2"/>
  <c r="V14" i="2"/>
  <c r="AK14" i="2"/>
  <c r="V13" i="2"/>
  <c r="W13" i="2"/>
  <c r="AI13" i="2"/>
  <c r="W14" i="2"/>
  <c r="AK13" i="2"/>
  <c r="BD7" i="2"/>
  <c r="V7" i="2"/>
  <c r="AI7" i="2"/>
  <c r="AK7" i="2"/>
  <c r="W7" i="2"/>
  <c r="F73" i="54"/>
  <c r="F72" i="54"/>
  <c r="F67" i="54"/>
  <c r="J55" i="54"/>
  <c r="BD28" i="2"/>
  <c r="AK28" i="2"/>
  <c r="AI28" i="2"/>
  <c r="V28" i="2"/>
  <c r="W28" i="2"/>
  <c r="BD27" i="2"/>
  <c r="V27" i="2"/>
  <c r="AI27" i="2"/>
  <c r="AK27" i="2"/>
  <c r="W27" i="2"/>
  <c r="BD12" i="2"/>
  <c r="AK12" i="2"/>
  <c r="V12" i="2"/>
  <c r="AI12" i="2"/>
  <c r="W12" i="2"/>
  <c r="BD17" i="2"/>
  <c r="AK17" i="2"/>
  <c r="AI17" i="2"/>
  <c r="V17" i="2"/>
  <c r="W17" i="2"/>
  <c r="BD16" i="2"/>
  <c r="V16" i="2"/>
  <c r="AK16" i="2"/>
  <c r="AI16" i="2"/>
  <c r="W16" i="2"/>
  <c r="BD15" i="2"/>
  <c r="V15" i="2"/>
  <c r="AI15" i="2"/>
  <c r="AK15" i="2"/>
  <c r="W15" i="2"/>
  <c r="BD19" i="2"/>
  <c r="V19" i="2"/>
  <c r="AI19" i="2"/>
  <c r="AK19" i="2"/>
  <c r="W19" i="2"/>
  <c r="BD18" i="2"/>
  <c r="V18" i="2"/>
  <c r="AI18" i="2"/>
  <c r="AK18" i="2"/>
  <c r="W18" i="2"/>
  <c r="BD20" i="2"/>
  <c r="AK20" i="2"/>
  <c r="AI20" i="2"/>
  <c r="V20" i="2"/>
  <c r="W20" i="2"/>
  <c r="BD8" i="2"/>
  <c r="AK8" i="2"/>
  <c r="V8" i="2"/>
  <c r="AI8" i="2"/>
  <c r="W8" i="2"/>
  <c r="BD6" i="2"/>
  <c r="AK6" i="2"/>
  <c r="AI6" i="2"/>
  <c r="V6" i="2"/>
  <c r="W6" i="2"/>
  <c r="P44" i="1"/>
  <c r="AH44" i="1"/>
  <c r="P43" i="1"/>
  <c r="AH43" i="1"/>
  <c r="P42" i="1"/>
  <c r="AH42" i="1"/>
  <c r="P41" i="1"/>
  <c r="AH41" i="1"/>
  <c r="P40" i="1"/>
  <c r="AH40" i="1"/>
  <c r="P39" i="1"/>
  <c r="AH39" i="1"/>
  <c r="P38" i="1"/>
  <c r="AH38" i="1"/>
  <c r="P37" i="1"/>
  <c r="AH37" i="1"/>
  <c r="P36" i="1"/>
  <c r="AH36" i="1"/>
  <c r="P35" i="1"/>
  <c r="AH35" i="1"/>
  <c r="P34" i="1"/>
  <c r="AH34" i="1"/>
  <c r="P32" i="1"/>
  <c r="AH32" i="1"/>
  <c r="P31" i="1"/>
  <c r="AH31" i="1"/>
  <c r="P30" i="1"/>
  <c r="AH30" i="1"/>
  <c r="P29" i="1"/>
  <c r="AH29" i="1"/>
  <c r="P28" i="1"/>
  <c r="AH28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AH21" i="1"/>
  <c r="P20" i="1"/>
  <c r="AH20" i="1"/>
  <c r="P18" i="1"/>
  <c r="AH18" i="1"/>
  <c r="P17" i="1"/>
  <c r="AH17" i="1"/>
  <c r="P14" i="1"/>
  <c r="AH14" i="1"/>
  <c r="P13" i="1"/>
  <c r="AH13" i="1"/>
  <c r="P12" i="1"/>
  <c r="AH12" i="1"/>
  <c r="AH10" i="1" s="1"/>
  <c r="AD8" i="1"/>
  <c r="AD33" i="1" l="1"/>
  <c r="V33" i="1"/>
  <c r="S30" i="1"/>
  <c r="V30" i="1" s="1"/>
  <c r="S18" i="1"/>
  <c r="V18" i="1" s="1"/>
  <c r="S19" i="1"/>
  <c r="V19" i="1" s="1"/>
  <c r="S15" i="1"/>
  <c r="V15" i="1" s="1"/>
  <c r="S28" i="1"/>
  <c r="V28" i="1" s="1"/>
  <c r="AD16" i="1"/>
  <c r="V16" i="1"/>
  <c r="S34" i="1"/>
  <c r="V34" i="1" s="1"/>
  <c r="S32" i="1"/>
  <c r="V32" i="1" s="1"/>
  <c r="S31" i="1"/>
  <c r="V31" i="1" s="1"/>
  <c r="S20" i="1"/>
  <c r="V20" i="1" s="1"/>
  <c r="S14" i="1"/>
  <c r="V14" i="1" s="1"/>
  <c r="W1" i="2"/>
  <c r="V1" i="2"/>
  <c r="AI1" i="2"/>
  <c r="S27" i="1"/>
  <c r="S29" i="1"/>
  <c r="V29" i="1" s="1"/>
  <c r="M7" i="1"/>
  <c r="AD40" i="1"/>
  <c r="V40" i="1"/>
  <c r="AD24" i="1"/>
  <c r="V24" i="1"/>
  <c r="AD31" i="1"/>
  <c r="AD25" i="1"/>
  <c r="V25" i="1"/>
  <c r="AD28" i="1"/>
  <c r="AD22" i="1"/>
  <c r="V22" i="1"/>
  <c r="AD13" i="1"/>
  <c r="V13" i="1"/>
  <c r="AD34" i="1"/>
  <c r="AD41" i="1"/>
  <c r="V41" i="1"/>
  <c r="AD21" i="1"/>
  <c r="V21" i="1"/>
  <c r="AD30" i="1"/>
  <c r="AD12" i="1"/>
  <c r="V12" i="1"/>
  <c r="P10" i="1"/>
  <c r="P7" i="1"/>
  <c r="AD23" i="1"/>
  <c r="V23" i="1"/>
  <c r="AD18" i="1"/>
  <c r="AD26" i="1"/>
  <c r="V26" i="1"/>
  <c r="AD29" i="1"/>
  <c r="AD32" i="1"/>
  <c r="AD42" i="1"/>
  <c r="V42" i="1"/>
  <c r="AD20" i="1"/>
  <c r="AD27" i="1"/>
  <c r="AD38" i="1"/>
  <c r="V38" i="1"/>
  <c r="AD14" i="1"/>
  <c r="AD35" i="1"/>
  <c r="V35" i="1"/>
  <c r="AD43" i="1"/>
  <c r="V43" i="1"/>
  <c r="AD37" i="1"/>
  <c r="V37" i="1"/>
  <c r="AD39" i="1"/>
  <c r="V39" i="1"/>
  <c r="AD17" i="1"/>
  <c r="V17" i="1"/>
  <c r="AD36" i="1"/>
  <c r="V36" i="1"/>
  <c r="AD44" i="1"/>
  <c r="V44" i="1"/>
  <c r="AJ26" i="2" l="1"/>
  <c r="AJ25" i="2"/>
  <c r="AJ23" i="2"/>
  <c r="AJ11" i="2"/>
  <c r="AJ5" i="2"/>
  <c r="AJ4" i="2"/>
  <c r="AJ22" i="2"/>
  <c r="AJ21" i="2"/>
  <c r="V1" i="1"/>
  <c r="AJ24" i="2"/>
  <c r="V9" i="1"/>
  <c r="AJ9" i="2"/>
  <c r="AJ10" i="2"/>
  <c r="AJ12" i="2"/>
  <c r="AJ14" i="2"/>
  <c r="AJ13" i="2"/>
  <c r="AJ15" i="2"/>
  <c r="S7" i="1"/>
  <c r="AJ7" i="2"/>
  <c r="S10" i="1"/>
  <c r="AJ19" i="2"/>
  <c r="AJ6" i="2"/>
  <c r="V27" i="1"/>
  <c r="AJ16" i="2"/>
  <c r="AJ17" i="2"/>
  <c r="AJ18" i="2"/>
  <c r="AJ8" i="2"/>
  <c r="AJ28" i="2"/>
  <c r="AJ27" i="2"/>
  <c r="AJ20" i="2"/>
  <c r="AD10" i="1"/>
  <c r="I7" i="1"/>
  <c r="D7" i="1" l="1"/>
  <c r="AE6" i="1"/>
  <c r="V6" i="1"/>
  <c r="S6" i="1"/>
  <c r="P6" i="1"/>
  <c r="M6" i="1" l="1"/>
  <c r="I6" i="1" l="1"/>
  <c r="D6" i="1" l="1"/>
  <c r="AE5" i="1"/>
  <c r="V5" i="1"/>
  <c r="V7" i="1" s="1"/>
  <c r="S5" i="1"/>
  <c r="P5" i="1"/>
  <c r="AE7" i="1" l="1"/>
  <c r="X105" i="89"/>
  <c r="AD105" i="89"/>
  <c r="X104" i="89"/>
  <c r="AD104" i="89"/>
  <c r="AD106" i="89" s="1"/>
  <c r="AD103" i="89"/>
  <c r="X103" i="89"/>
  <c r="AD94" i="89"/>
  <c r="AD95" i="89"/>
  <c r="AD97" i="89" s="1"/>
  <c r="X95" i="89"/>
  <c r="X94" i="89"/>
  <c r="AD96" i="89"/>
  <c r="X96" i="89"/>
  <c r="X88" i="89"/>
  <c r="AD88" i="89"/>
  <c r="X87" i="89"/>
  <c r="AD87" i="89"/>
  <c r="AD89" i="89" s="1"/>
  <c r="AD86" i="89"/>
  <c r="X86" i="89"/>
  <c r="X79" i="89"/>
  <c r="AD79" i="89"/>
  <c r="X78" i="89"/>
  <c r="AD78" i="89"/>
  <c r="AD80" i="89" s="1"/>
  <c r="AD77" i="89"/>
  <c r="X77" i="89"/>
  <c r="AD68" i="89"/>
  <c r="AD70" i="89" s="1"/>
  <c r="X68" i="89"/>
  <c r="X70" i="89" s="1"/>
  <c r="X62" i="89"/>
  <c r="AD62" i="89"/>
  <c r="AD61" i="89"/>
  <c r="AD63" i="89" s="1"/>
  <c r="X61" i="89"/>
  <c r="X53" i="89"/>
  <c r="AD53" i="89"/>
  <c r="AD52" i="89"/>
  <c r="AD54" i="89" s="1"/>
  <c r="X52" i="89"/>
  <c r="X44" i="89"/>
  <c r="AD44" i="89"/>
  <c r="AD43" i="89"/>
  <c r="AD45" i="89" s="1"/>
  <c r="X43" i="89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V10" i="1"/>
  <c r="B1" i="2" s="1"/>
  <c r="K1" i="2" s="1"/>
  <c r="R44" i="1"/>
  <c r="O44" i="1"/>
  <c r="R43" i="1"/>
  <c r="U44" i="1"/>
  <c r="O43" i="1"/>
  <c r="R42" i="1"/>
  <c r="U43" i="1"/>
  <c r="O42" i="1"/>
  <c r="R41" i="1"/>
  <c r="U42" i="1"/>
  <c r="O41" i="1"/>
  <c r="U41" i="1"/>
  <c r="R40" i="1"/>
  <c r="O40" i="1"/>
  <c r="R39" i="1"/>
  <c r="U40" i="1"/>
  <c r="O39" i="1"/>
  <c r="U39" i="1"/>
  <c r="R38" i="1"/>
  <c r="O38" i="1"/>
  <c r="R37" i="1"/>
  <c r="U38" i="1"/>
  <c r="O37" i="1"/>
  <c r="R36" i="1"/>
  <c r="U37" i="1"/>
  <c r="O36" i="1"/>
  <c r="R35" i="1"/>
  <c r="U36" i="1"/>
  <c r="O35" i="1"/>
  <c r="U35" i="1"/>
  <c r="R34" i="1"/>
  <c r="O34" i="1"/>
  <c r="R32" i="1"/>
  <c r="U34" i="1"/>
  <c r="O32" i="1"/>
  <c r="U32" i="1"/>
  <c r="R31" i="1"/>
  <c r="O31" i="1"/>
  <c r="R30" i="1"/>
  <c r="U31" i="1"/>
  <c r="O30" i="1"/>
  <c r="R29" i="1"/>
  <c r="U30" i="1"/>
  <c r="O29" i="1"/>
  <c r="R28" i="1"/>
  <c r="U29" i="1"/>
  <c r="O28" i="1"/>
  <c r="U28" i="1"/>
  <c r="R27" i="1"/>
  <c r="O27" i="1"/>
  <c r="R26" i="1"/>
  <c r="U27" i="1"/>
  <c r="O26" i="1"/>
  <c r="R25" i="1"/>
  <c r="U26" i="1"/>
  <c r="O25" i="1"/>
  <c r="R24" i="1"/>
  <c r="U25" i="1"/>
  <c r="O24" i="1"/>
  <c r="R23" i="1"/>
  <c r="U24" i="1"/>
  <c r="O23" i="1"/>
  <c r="R22" i="1"/>
  <c r="U23" i="1"/>
  <c r="O22" i="1"/>
  <c r="U22" i="1"/>
  <c r="R21" i="1"/>
  <c r="O21" i="1"/>
  <c r="U21" i="1"/>
  <c r="R20" i="1"/>
  <c r="O20" i="1"/>
  <c r="R18" i="1"/>
  <c r="U20" i="1"/>
  <c r="O18" i="1"/>
  <c r="R17" i="1"/>
  <c r="U18" i="1"/>
  <c r="O17" i="1"/>
  <c r="R14" i="1"/>
  <c r="U17" i="1"/>
  <c r="O14" i="1"/>
  <c r="U14" i="1"/>
  <c r="R13" i="1"/>
  <c r="O13" i="1"/>
  <c r="U13" i="1"/>
  <c r="R12" i="1"/>
  <c r="W10" i="1"/>
  <c r="O12" i="1"/>
  <c r="U12" i="1"/>
  <c r="L1" i="2" l="1"/>
  <c r="AH26" i="2"/>
  <c r="AG26" i="2"/>
  <c r="AH23" i="2"/>
  <c r="AG23" i="2"/>
  <c r="AH25" i="2"/>
  <c r="AG25" i="2"/>
  <c r="R33" i="1"/>
  <c r="W19" i="1"/>
  <c r="W33" i="1"/>
  <c r="O33" i="1"/>
  <c r="U33" i="1"/>
  <c r="AG11" i="2"/>
  <c r="AH11" i="2"/>
  <c r="AH4" i="2"/>
  <c r="AG4" i="2"/>
  <c r="O19" i="1"/>
  <c r="O15" i="1"/>
  <c r="R19" i="1"/>
  <c r="U19" i="1"/>
  <c r="W15" i="1"/>
  <c r="AH5" i="2"/>
  <c r="AG5" i="2"/>
  <c r="AH22" i="2"/>
  <c r="AH21" i="2"/>
  <c r="AG21" i="2"/>
  <c r="AG22" i="2"/>
  <c r="AH24" i="2"/>
  <c r="AG24" i="2"/>
  <c r="R15" i="1"/>
  <c r="U15" i="1"/>
  <c r="U9" i="1"/>
  <c r="W16" i="1"/>
  <c r="O16" i="1"/>
  <c r="U16" i="1"/>
  <c r="X54" i="89"/>
  <c r="X45" i="89"/>
  <c r="AH10" i="2"/>
  <c r="AG9" i="2"/>
  <c r="AG10" i="2"/>
  <c r="AH9" i="2"/>
  <c r="AG13" i="2"/>
  <c r="AH14" i="2"/>
  <c r="AG14" i="2"/>
  <c r="AH13" i="2"/>
  <c r="X63" i="89"/>
  <c r="X106" i="89"/>
  <c r="X108" i="89" s="1"/>
  <c r="X32" i="89"/>
  <c r="X15" i="89"/>
  <c r="X9" i="89"/>
  <c r="X21" i="89"/>
  <c r="X89" i="89"/>
  <c r="X97" i="89"/>
  <c r="X80" i="89"/>
  <c r="X12" i="89" s="1"/>
  <c r="X38" i="89"/>
  <c r="AG7" i="2"/>
  <c r="AH7" i="2"/>
  <c r="AG28" i="2"/>
  <c r="AH28" i="2"/>
  <c r="AG27" i="2"/>
  <c r="AH27" i="2"/>
  <c r="AG12" i="2"/>
  <c r="AH12" i="2"/>
  <c r="AG17" i="2"/>
  <c r="AH17" i="2"/>
  <c r="AG16" i="2"/>
  <c r="AH16" i="2"/>
  <c r="AG15" i="2"/>
  <c r="AH15" i="2"/>
  <c r="AG19" i="2"/>
  <c r="AH19" i="2"/>
  <c r="AG18" i="2"/>
  <c r="AH18" i="2"/>
  <c r="AG20" i="2"/>
  <c r="AH20" i="2"/>
  <c r="AG8" i="2"/>
  <c r="AH8" i="2"/>
  <c r="AG6" i="2"/>
  <c r="AH6" i="2"/>
  <c r="M5" i="1"/>
  <c r="AA37" i="1"/>
  <c r="Z37" i="1"/>
  <c r="Y37" i="1"/>
  <c r="AA17" i="1"/>
  <c r="Z17" i="1"/>
  <c r="Y17" i="1"/>
  <c r="AA41" i="1"/>
  <c r="Y41" i="1"/>
  <c r="Z41" i="1"/>
  <c r="Y23" i="1"/>
  <c r="AA23" i="1"/>
  <c r="Z23" i="1"/>
  <c r="Y38" i="1"/>
  <c r="Z38" i="1"/>
  <c r="AA38" i="1"/>
  <c r="Z30" i="1"/>
  <c r="AA30" i="1"/>
  <c r="Y30" i="1"/>
  <c r="AA31" i="1"/>
  <c r="Z31" i="1"/>
  <c r="Y31" i="1"/>
  <c r="AA44" i="1"/>
  <c r="Y44" i="1"/>
  <c r="Z44" i="1"/>
  <c r="AA22" i="1"/>
  <c r="Y22" i="1"/>
  <c r="Z22" i="1"/>
  <c r="Z35" i="1"/>
  <c r="AA35" i="1"/>
  <c r="Y35" i="1"/>
  <c r="AA36" i="1"/>
  <c r="Y36" i="1"/>
  <c r="Z36" i="1"/>
  <c r="AA20" i="1"/>
  <c r="Y20" i="1"/>
  <c r="Z20" i="1"/>
  <c r="AA43" i="1"/>
  <c r="Z43" i="1"/>
  <c r="Y43" i="1"/>
  <c r="Z12" i="1"/>
  <c r="AA12" i="1"/>
  <c r="Y12" i="1"/>
  <c r="Y26" i="1"/>
  <c r="Z26" i="1"/>
  <c r="AA26" i="1"/>
  <c r="AA18" i="1"/>
  <c r="Z18" i="1"/>
  <c r="Y18" i="1"/>
  <c r="AA42" i="1"/>
  <c r="Z42" i="1"/>
  <c r="Y42" i="1"/>
  <c r="Y32" i="1"/>
  <c r="AA32" i="1"/>
  <c r="Z32" i="1"/>
  <c r="Z24" i="1"/>
  <c r="AA24" i="1"/>
  <c r="Y24" i="1"/>
  <c r="Z25" i="1"/>
  <c r="AA25" i="1"/>
  <c r="Y25" i="1"/>
  <c r="AA28" i="1"/>
  <c r="Z28" i="1"/>
  <c r="Y28" i="1"/>
  <c r="AA29" i="1"/>
  <c r="Y29" i="1"/>
  <c r="Z29" i="1"/>
  <c r="W44" i="1"/>
  <c r="W43" i="1"/>
  <c r="W42" i="1"/>
  <c r="W41" i="1"/>
  <c r="W40" i="1"/>
  <c r="W39" i="1"/>
  <c r="W38" i="1"/>
  <c r="W37" i="1"/>
  <c r="W36" i="1"/>
  <c r="W35" i="1"/>
  <c r="W34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8" i="1"/>
  <c r="W17" i="1"/>
  <c r="W14" i="1"/>
  <c r="W13" i="1"/>
  <c r="W12" i="1"/>
  <c r="AA27" i="1"/>
  <c r="Y27" i="1"/>
  <c r="Z27" i="1"/>
  <c r="AA34" i="1"/>
  <c r="Z34" i="1"/>
  <c r="Y34" i="1"/>
  <c r="AA39" i="1"/>
  <c r="Z39" i="1"/>
  <c r="Y39" i="1"/>
  <c r="AA13" i="1"/>
  <c r="Y13" i="1"/>
  <c r="Z13" i="1"/>
  <c r="AA21" i="1"/>
  <c r="Y21" i="1"/>
  <c r="Z21" i="1"/>
  <c r="Z14" i="1"/>
  <c r="Y14" i="1"/>
  <c r="AA14" i="1"/>
  <c r="Y40" i="1"/>
  <c r="Z40" i="1"/>
  <c r="AA40" i="1"/>
  <c r="AA33" i="1" l="1"/>
  <c r="Z33" i="1"/>
  <c r="Y33" i="1"/>
  <c r="Y19" i="1"/>
  <c r="Z19" i="1"/>
  <c r="AA19" i="1"/>
  <c r="AA15" i="1"/>
  <c r="Z15" i="1"/>
  <c r="Y15" i="1"/>
  <c r="U1" i="1"/>
  <c r="Z16" i="1"/>
  <c r="Y16" i="1"/>
  <c r="U6" i="1"/>
  <c r="W6" i="1" s="1"/>
  <c r="O6" i="1"/>
  <c r="U5" i="1"/>
  <c r="W5" i="1" s="1"/>
  <c r="R6" i="1"/>
  <c r="R5" i="1"/>
  <c r="O5" i="1"/>
  <c r="I5" i="1"/>
  <c r="AA5" i="1" l="1"/>
  <c r="AB5" i="1" s="1"/>
  <c r="AA6" i="1"/>
  <c r="AB6" i="1" s="1"/>
  <c r="O8" i="1"/>
  <c r="U8" i="1"/>
  <c r="U7" i="1"/>
  <c r="U10" i="1" s="1"/>
  <c r="R7" i="1"/>
  <c r="R8" i="1"/>
  <c r="Z10" i="1"/>
  <c r="AA10" i="1"/>
  <c r="O7" i="1"/>
  <c r="D5" i="1"/>
  <c r="W7" i="1" l="1"/>
  <c r="AA7" i="1"/>
  <c r="AA8" i="1"/>
  <c r="M4" i="1"/>
  <c r="I4" i="1" l="1"/>
  <c r="D4" i="1" l="1"/>
  <c r="X6" i="1" l="1"/>
  <c r="Y6" i="1" s="1"/>
  <c r="Z5" i="1"/>
  <c r="Z6" i="1"/>
  <c r="X5" i="1"/>
  <c r="Y5" i="1" s="1"/>
  <c r="AD3" i="1"/>
  <c r="U3" i="1"/>
  <c r="T3" i="1"/>
  <c r="R3" i="1"/>
  <c r="Y7" i="1" l="1"/>
  <c r="S3" i="1"/>
  <c r="P3" i="1" s="1"/>
  <c r="Z7" i="1"/>
  <c r="M3" i="1" l="1"/>
  <c r="I3" i="1" l="1"/>
  <c r="D3" i="1" l="1"/>
  <c r="W2" i="1" l="1"/>
  <c r="T2" i="1"/>
  <c r="R2" i="1"/>
  <c r="S2" i="1" l="1"/>
  <c r="P2" i="1" s="1"/>
  <c r="M2" i="1"/>
  <c r="I2" i="1" l="1"/>
  <c r="AH5" i="1" l="1"/>
  <c r="AH4" i="1"/>
  <c r="AH3" i="1"/>
  <c r="AJ5" i="1"/>
  <c r="AJ4" i="1"/>
  <c r="AJ3" i="1"/>
  <c r="D2" i="1"/>
  <c r="Z1" i="1"/>
  <c r="T1" i="1"/>
  <c r="R1" i="1"/>
  <c r="S1" i="1" l="1"/>
  <c r="P1" i="1" s="1"/>
  <c r="M1" i="1"/>
  <c r="I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T46" i="531" s="1"/>
  <c r="T47" i="531" s="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S31" i="531" s="1"/>
  <c r="S32" i="531" s="1"/>
  <c r="H27" i="53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P21" i="531" s="1"/>
  <c r="P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34" i="531" l="1"/>
  <c r="Q31" i="531"/>
  <c r="Q32" i="531" s="1"/>
  <c r="Q34" i="531" s="1"/>
  <c r="S46" i="531"/>
  <c r="S47" i="531" s="1"/>
  <c r="T31" i="531"/>
  <c r="T32" i="531" s="1"/>
  <c r="T34" i="531" s="1"/>
  <c r="T49" i="531"/>
  <c r="T51" i="531"/>
  <c r="P24" i="531"/>
  <c r="S51" i="531"/>
  <c r="S49" i="531"/>
  <c r="P31" i="531"/>
  <c r="P32" i="531" s="1"/>
  <c r="P34" i="531" s="1"/>
  <c r="P46" i="531"/>
  <c r="P47" i="531" s="1"/>
  <c r="T21" i="531"/>
  <c r="T22" i="531" s="1"/>
  <c r="R31" i="531"/>
  <c r="R32" i="531" s="1"/>
  <c r="R34" i="531" s="1"/>
  <c r="Q46" i="531"/>
  <c r="Q47" i="531" s="1"/>
  <c r="I59" i="531"/>
  <c r="S21" i="531"/>
  <c r="S22" i="531" s="1"/>
  <c r="R46" i="531"/>
  <c r="R47" i="531" s="1"/>
  <c r="Q21" i="531"/>
  <c r="Q22" i="531" s="1"/>
  <c r="I60" i="531"/>
  <c r="R21" i="531"/>
  <c r="R22" i="531" s="1"/>
  <c r="R36" i="531" l="1"/>
  <c r="R24" i="531"/>
  <c r="R51" i="531"/>
  <c r="R49" i="531"/>
  <c r="T24" i="531"/>
  <c r="T36" i="531"/>
  <c r="Q36" i="531"/>
  <c r="Q24" i="531"/>
  <c r="S24" i="531"/>
  <c r="S36" i="531"/>
  <c r="Q49" i="531"/>
  <c r="Q51" i="531"/>
  <c r="P49" i="531"/>
  <c r="P51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L12" i="338" s="1" a="1"/>
  <c r="V12" i="338" a="1"/>
  <c r="U12" i="338" a="1"/>
  <c r="U12" i="338" l="1"/>
  <c r="V12" i="338"/>
  <c r="L12" i="338"/>
  <c r="N12" i="338" s="1"/>
  <c r="AB12" i="338"/>
  <c r="AD12" i="338"/>
  <c r="Z12" i="338"/>
  <c r="I11" i="338" a="1"/>
  <c r="I11" i="338" l="1"/>
  <c r="J11" i="338" a="1"/>
  <c r="G11" i="338" a="1"/>
  <c r="J11" i="338" l="1"/>
  <c r="G11" i="338"/>
  <c r="A11" i="338"/>
  <c r="H11" i="338" a="1"/>
  <c r="H11" i="338" l="1"/>
  <c r="O11" i="338"/>
  <c r="K11" i="338"/>
  <c r="U11" i="338" s="1" a="1"/>
  <c r="V11" i="338" l="1" a="1"/>
  <c r="L11" i="338" a="1"/>
  <c r="L11" i="338" s="1"/>
  <c r="N11" i="338" s="1"/>
  <c r="V11" i="338"/>
  <c r="U11" i="338"/>
  <c r="AD11" i="338"/>
  <c r="AB11" i="338"/>
  <c r="Z11" i="338"/>
  <c r="I10" i="338" a="1"/>
  <c r="I10" i="338" l="1"/>
  <c r="J10" i="338" a="1"/>
  <c r="G10" i="338" a="1"/>
  <c r="J10" i="338" l="1"/>
  <c r="G10" i="338"/>
  <c r="A10" i="338"/>
  <c r="H10" i="338" a="1"/>
  <c r="H10" i="338" l="1"/>
  <c r="O10" i="338"/>
  <c r="K10" i="338"/>
  <c r="L10" i="338" s="1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s="1" a="1"/>
  <c r="G9" i="338" a="1"/>
  <c r="J9" i="338" l="1"/>
  <c r="G9" i="338"/>
  <c r="A9" i="338"/>
  <c r="H9" i="338" a="1"/>
  <c r="H9" i="338" l="1"/>
  <c r="O9" i="338"/>
  <c r="K9" i="338"/>
  <c r="L9" i="338" a="1"/>
  <c r="U9" i="338" a="1"/>
  <c r="V9" i="338" a="1"/>
  <c r="V9" i="338" l="1"/>
  <c r="U9" i="338"/>
  <c r="L9" i="338"/>
  <c r="N9" i="338" s="1"/>
  <c r="AD9" i="338"/>
  <c r="AB9" i="338"/>
  <c r="Z9" i="338"/>
  <c r="I8" i="338" a="1"/>
  <c r="I8" i="338" l="1"/>
  <c r="J8" i="338" a="1"/>
  <c r="G8" i="338" a="1"/>
  <c r="J8" i="338" l="1"/>
  <c r="G8" i="338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H37" i="530"/>
  <c r="H38" i="530" s="1"/>
  <c r="J36" i="530"/>
  <c r="I36" i="530"/>
  <c r="H36" i="530"/>
  <c r="G36" i="530"/>
  <c r="G37" i="530" s="1"/>
  <c r="G38" i="530" s="1"/>
  <c r="F36" i="530"/>
  <c r="F37" i="530" s="1"/>
  <c r="F38" i="530" s="1"/>
  <c r="C36" i="530"/>
  <c r="C34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AU12" i="338" a="1"/>
  <c r="AU8" i="338" a="1"/>
  <c r="AU11" i="338" a="1"/>
  <c r="AP12" i="338" a="1"/>
  <c r="AP8" i="338" a="1"/>
  <c r="AP9" i="338" a="1"/>
  <c r="AU9" i="338" a="1"/>
  <c r="AP10" i="338" a="1"/>
  <c r="AP11" i="338" a="1"/>
  <c r="AU10" i="338" a="1"/>
  <c r="H8" i="338" a="1"/>
  <c r="AU10" i="338" l="1"/>
  <c r="AP11" i="338"/>
  <c r="AP10" i="338"/>
  <c r="AU9" i="338"/>
  <c r="AP9" i="338"/>
  <c r="AP8" i="338"/>
  <c r="AO8" i="338" s="1"/>
  <c r="AP12" i="338"/>
  <c r="AU11" i="338"/>
  <c r="AU8" i="338"/>
  <c r="AU12" i="338"/>
  <c r="H8" i="338"/>
  <c r="AN3" i="338"/>
  <c r="O8" i="338"/>
  <c r="Q2" i="338"/>
  <c r="Q4" i="338" s="1"/>
  <c r="AM3" i="338"/>
  <c r="K8" i="338"/>
  <c r="V8" i="338" s="1" a="1"/>
  <c r="F39" i="530"/>
  <c r="F40" i="530" s="1"/>
  <c r="G39" i="530"/>
  <c r="G40" i="530" s="1"/>
  <c r="H39" i="530"/>
  <c r="H40" i="530" s="1"/>
  <c r="I39" i="530"/>
  <c r="I40" i="530" s="1"/>
  <c r="L16" i="530"/>
  <c r="K16" i="530"/>
  <c r="J39" i="530"/>
  <c r="J40" i="530" s="1"/>
  <c r="Q11" i="338" a="1"/>
  <c r="Q10" i="338" a="1"/>
  <c r="Q12" i="338" a="1"/>
  <c r="Q9" i="338" a="1"/>
  <c r="Q8" i="338" a="1"/>
  <c r="U8" i="338" l="1" a="1"/>
  <c r="U8" i="338" s="1"/>
  <c r="L8" i="338" a="1"/>
  <c r="L8" i="338" s="1"/>
  <c r="N8" i="338" s="1"/>
  <c r="V8" i="338"/>
  <c r="Q9" i="338"/>
  <c r="Q12" i="338"/>
  <c r="Q10" i="338"/>
  <c r="Q11" i="338"/>
  <c r="Q8" i="338"/>
  <c r="AD8" i="338"/>
  <c r="Z8" i="338"/>
  <c r="AB8" i="338"/>
  <c r="AO9" i="338"/>
  <c r="AO10" i="338"/>
  <c r="AT11" i="338"/>
  <c r="AO12" i="338"/>
  <c r="AT8" i="338"/>
  <c r="AT9" i="338"/>
  <c r="AT10" i="338"/>
  <c r="AO11" i="338"/>
  <c r="AT12" i="338"/>
  <c r="J42" i="530"/>
  <c r="J41" i="530"/>
  <c r="I41" i="530"/>
  <c r="I42" i="530"/>
  <c r="H41" i="530"/>
  <c r="H42" i="530"/>
  <c r="G41" i="530"/>
  <c r="G42" i="530"/>
  <c r="F41" i="530"/>
  <c r="F42" i="530"/>
  <c r="AN11" i="338"/>
  <c r="AM12" i="338"/>
  <c r="AM8" i="338"/>
  <c r="AR10" i="338"/>
  <c r="AM11" i="338"/>
  <c r="AN8" i="338"/>
  <c r="AS12" i="338"/>
  <c r="AR9" i="338"/>
  <c r="AR12" i="338"/>
  <c r="AR8" i="338"/>
  <c r="AS8" i="338"/>
  <c r="AN12" i="338"/>
  <c r="AM9" i="338"/>
  <c r="AN10" i="338"/>
  <c r="AR11" i="338"/>
  <c r="AN9" i="338"/>
  <c r="AM10" i="338"/>
  <c r="AS11" i="338"/>
  <c r="AS9" i="338"/>
  <c r="AS10" i="3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2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<sst xmlns="http://schemas.openxmlformats.org/spreadsheetml/2006/main" count="3984" uniqueCount="1263">
  <si>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</si>
  <si>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</si>
  <si>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</si>
  <si>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</si>
  <si>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</si>
  <si>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</si>
  <si>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</si>
  <si>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</si>
  <si>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</si>
  <si>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</si>
  <si>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</si>
  <si>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</si>
  <si>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</si>
  <si>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</si>
  <si>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</si>
  <si>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</si>
  <si>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</si>
  <si>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</si>
  <si>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</si>
  <si>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</si>
  <si>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</si>
  <si>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</si>
  <si>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</si>
  <si>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</si>
  <si>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</si>
  <si>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</si>
  <si>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</si>
  <si>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</si>
  <si>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</si>
  <si>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</si>
  <si>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</si>
  <si>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</si>
  <si>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</si>
  <si>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</si>
  <si>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</si>
  <si>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</si>
  <si>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</si>
  <si>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</si>
  <si>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</si>
  <si>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</si>
  <si>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</si>
  <si>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</si>
  <si>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</si>
  <si>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</si>
  <si>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</si>
  <si>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</si>
  <si>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</si>
  <si>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</si>
  <si>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</si>
  <si>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</si>
  <si>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</si>
  <si>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</si>
  <si>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</si>
  <si>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</si>
  <si>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</si>
  <si>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</si>
  <si>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</si>
  <si>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</si>
  <si>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</si>
  <si>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</si>
  <si>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</si>
  <si>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</si>
  <si>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</si>
  <si>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</si>
  <si>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</si>
  <si>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</si>
  <si>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</si>
  <si>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</si>
  <si>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</si>
  <si>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</si>
  <si>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</si>
  <si>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</si>
  <si>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</si>
  <si>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</si>
  <si>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</si>
  <si>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</si>
  <si>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</si>
  <si>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</si>
  <si>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</si>
  <si>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</si>
  <si>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</si>
  <si>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</si>
  <si>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</si>
  <si>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</si>
  <si>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</si>
  <si>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</si>
  <si>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</si>
  <si>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</si>
  <si>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</si>
  <si>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</si>
  <si>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</si>
  <si>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</si>
  <si>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</si>
  <si>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</si>
  <si>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</si>
  <si>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</si>
  <si>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</si>
  <si>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</si>
  <si>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</si>
  <si>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</si>
  <si>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</si>
  <si>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</si>
  <si>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</si>
  <si>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</si>
  <si>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</si>
  <si>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</si>
  <si>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</si>
  <si>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</si>
  <si>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</si>
  <si>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</si>
  <si>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</si>
  <si>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</si>
  <si>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</si>
  <si>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</si>
  <si>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</si>
  <si>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</si>
  <si>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</si>
  <si>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</si>
  <si>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</si>
  <si>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</si>
  <si>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</si>
  <si>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</si>
  <si>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</si>
  <si>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</si>
  <si>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</si>
  <si>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</si>
  <si>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</si>
  <si>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</si>
  <si>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</si>
  <si>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</si>
  <si>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</si>
  <si>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</si>
  <si>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</si>
  <si>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</si>
  <si>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</si>
  <si>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</si>
  <si>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</si>
  <si>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</si>
  <si>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</si>
  <si>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</si>
  <si>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</si>
  <si>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</si>
  <si>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</si>
  <si>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</si>
  <si>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</si>
  <si>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</si>
  <si>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</si>
  <si>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</si>
  <si>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</si>
  <si>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</si>
  <si>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</si>
  <si>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</si>
  <si>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</si>
  <si>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</si>
  <si>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</si>
  <si>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</si>
  <si>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</si>
  <si>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</si>
  <si>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</si>
  <si>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</si>
  <si>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</si>
  <si>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</si>
  <si>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</si>
  <si>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</si>
  <si>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</si>
  <si>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</si>
  <si>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</si>
  <si>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</si>
  <si>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</si>
  <si>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</si>
  <si>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</si>
  <si>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</si>
  <si>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</si>
  <si>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</si>
  <si>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</si>
  <si>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</si>
  <si>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</si>
  <si>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</si>
  <si>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</si>
  <si>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</si>
  <si>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</si>
  <si>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</si>
  <si>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</si>
  <si>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</si>
  <si>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</si>
  <si>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</si>
  <si>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</si>
  <si>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</si>
  <si>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</si>
  <si>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</si>
  <si>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</si>
  <si>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</si>
  <si>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</si>
  <si>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</si>
  <si>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</si>
  <si>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</si>
  <si>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</si>
  <si>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</si>
  <si>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</si>
  <si>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</si>
  <si>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</si>
  <si>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</si>
  <si>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</si>
  <si>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</si>
  <si>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</si>
  <si>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</si>
  <si>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</si>
  <si>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</si>
  <si>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</si>
  <si>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</si>
  <si>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</si>
  <si>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</si>
  <si>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</si>
  <si>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</si>
  <si>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</si>
  <si>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</si>
  <si>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</si>
  <si>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</si>
  <si>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</si>
  <si>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</si>
  <si>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</si>
  <si>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</si>
  <si>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</si>
  <si>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</si>
  <si>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</si>
  <si>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</si>
  <si>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</si>
  <si>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</si>
  <si>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</si>
  <si>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</si>
  <si>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</si>
  <si>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</si>
  <si>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</si>
  <si>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</si>
  <si>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</si>
  <si>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</si>
  <si>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</si>
  <si>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</si>
  <si>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</si>
  <si>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</si>
  <si>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</si>
  <si>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</si>
  <si>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</si>
  <si>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</si>
  <si>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</si>
  <si>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</si>
  <si>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</si>
  <si>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</si>
  <si>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</si>
  <si>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</si>
  <si>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</si>
  <si>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</si>
  <si>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</si>
  <si>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</si>
  <si>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</si>
  <si>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</si>
  <si>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</si>
  <si>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</si>
  <si>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</si>
  <si>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</si>
  <si>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</si>
  <si>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</si>
  <si>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</si>
  <si>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</si>
  <si>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</si>
  <si>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</si>
  <si>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</si>
  <si>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</si>
  <si>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</si>
  <si>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</si>
  <si>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</si>
  <si>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</si>
  <si>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</si>
  <si>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</si>
  <si>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</si>
  <si>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</si>
  <si>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</si>
  <si>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</si>
  <si>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</si>
  <si>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</si>
  <si>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</si>
  <si>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</si>
  <si>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</si>
  <si>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</si>
  <si>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</si>
  <si>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</si>
  <si>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</si>
  <si>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</si>
  <si>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</si>
  <si>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</si>
  <si>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</si>
  <si>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</si>
  <si>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</si>
  <si>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</si>
  <si>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</si>
  <si>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</si>
  <si>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</si>
  <si>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</si>
  <si>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</si>
  <si>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</si>
  <si>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</si>
  <si>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</si>
  <si>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</si>
  <si>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</si>
  <si>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</si>
  <si>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</si>
  <si>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</si>
  <si>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</si>
  <si>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</si>
  <si>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</si>
  <si>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</si>
  <si>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</si>
  <si>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</si>
  <si>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</si>
  <si>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</si>
  <si>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</si>
  <si>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</si>
  <si>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</si>
  <si>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</si>
  <si>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</si>
  <si>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</si>
  <si>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</si>
  <si>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</si>
  <si>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</si>
  <si>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</si>
  <si>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</si>
  <si>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</si>
  <si>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</si>
  <si>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</si>
  <si>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</si>
  <si>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</si>
  <si>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</si>
  <si>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</si>
  <si>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</si>
  <si>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</si>
  <si>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</si>
  <si>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</si>
  <si>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</si>
  <si>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</si>
  <si>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</si>
  <si>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MELI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</si>
  <si>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</si>
  <si>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</si>
  <si>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</si>
  <si>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</si>
  <si>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</si>
  <si>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</si>
  <si>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</si>
  <si>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</si>
  <si>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</si>
  <si>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</si>
  <si>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</si>
  <si>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</si>
  <si>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</si>
  <si>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</si>
  <si>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</si>
  <si>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</si>
  <si>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</si>
  <si>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</si>
  <si>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</si>
  <si>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</si>
  <si>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</si>
  <si>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</si>
  <si>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</si>
  <si>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</si>
  <si>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</si>
  <si>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</si>
  <si>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</si>
  <si>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</si>
  <si>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</si>
  <si>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</si>
  <si>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</si>
  <si>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</si>
  <si>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</si>
  <si>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</si>
  <si>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</si>
  <si>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</si>
  <si>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</si>
  <si>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</si>
  <si>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</si>
  <si>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</si>
  <si>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</si>
  <si>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</si>
  <si>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</si>
  <si>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</si>
  <si>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</si>
  <si>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</si>
  <si>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</si>
  <si>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</si>
  <si>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</si>
  <si>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</si>
  <si>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</si>
  <si>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</si>
  <si>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</si>
  <si>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</si>
  <si>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</si>
  <si>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</si>
  <si>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</si>
  <si>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</si>
  <si>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</si>
  <si>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</si>
  <si>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</si>
  <si>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</si>
  <si>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</si>
  <si>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</si>
  <si>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</si>
  <si>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</si>
  <si>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</si>
  <si>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</si>
  <si>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</si>
  <si>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</si>
  <si>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</si>
  <si>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</si>
  <si>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</si>
  <si>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</si>
  <si>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</si>
  <si>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</si>
  <si>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</si>
  <si>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</si>
  <si>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</si>
  <si>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</si>
  <si>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</si>
  <si>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</si>
  <si>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</si>
  <si>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</si>
  <si>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</si>
  <si>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</si>
  <si>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</si>
  <si>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</si>
  <si>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</si>
  <si>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</si>
  <si>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</si>
  <si>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</si>
  <si>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</si>
  <si>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</si>
  <si>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</si>
  <si>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</si>
  <si>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</si>
  <si>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</si>
  <si>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</si>
  <si>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</si>
  <si>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</si>
  <si>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</si>
  <si>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</si>
  <si>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</si>
  <si>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</si>
  <si>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</si>
  <si>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</si>
  <si>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</si>
  <si>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</si>
  <si>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</si>
  <si>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</si>
  <si>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</si>
  <si>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</si>
  <si>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</si>
  <si>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</si>
  <si>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</si>
  <si>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</si>
  <si>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</si>
  <si>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</si>
  <si>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</si>
  <si>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</si>
  <si>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</si>
  <si>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</si>
  <si>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</si>
  <si>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</si>
  <si>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</si>
  <si>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</si>
  <si>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</si>
  <si>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</si>
  <si>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</si>
  <si>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</si>
  <si>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</si>
  <si>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</si>
  <si>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</si>
  <si>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</si>
  <si>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</si>
  <si>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</si>
  <si>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</si>
  <si>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</si>
  <si>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</si>
  <si>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</si>
  <si>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</si>
  <si>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</si>
  <si>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</si>
  <si>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</si>
  <si>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</si>
  <si>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</si>
  <si>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</si>
  <si>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</si>
  <si>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</si>
  <si>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</si>
  <si>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</si>
  <si>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</si>
  <si>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</si>
  <si>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</si>
  <si>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</si>
  <si>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</si>
  <si>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</si>
  <si>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</si>
  <si>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</si>
  <si>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</si>
  <si>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</si>
  <si>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</si>
  <si>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</si>
  <si>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</si>
  <si>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</si>
  <si>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</si>
  <si>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</si>
  <si>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</si>
  <si>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</si>
  <si>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</si>
  <si>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</si>
  <si>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</si>
  <si>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</si>
  <si>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</si>
  <si>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</si>
  <si>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</si>
  <si>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</si>
  <si>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</si>
  <si>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</si>
  <si>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</si>
  <si>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</si>
  <si>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</si>
  <si>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</si>
  <si>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</si>
  <si>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</si>
  <si>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</si>
  <si>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</si>
  <si>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</si>
  <si>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</si>
  <si>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</si>
  <si>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</si>
  <si>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</si>
  <si>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</si>
  <si>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</si>
  <si>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</si>
  <si>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</si>
  <si>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</si>
  <si>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</si>
  <si>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</si>
  <si>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</si>
  <si>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</si>
  <si>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</si>
  <si>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</si>
  <si>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</si>
  <si>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</si>
  <si>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</si>
  <si>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</si>
  <si>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</si>
  <si>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</si>
  <si>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</si>
  <si>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</si>
  <si>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</si>
  <si>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</si>
  <si>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</si>
  <si>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</si>
  <si>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</si>
  <si>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</si>
  <si>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</si>
  <si>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</si>
  <si>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</si>
  <si>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</si>
  <si>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</si>
  <si>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</si>
  <si>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</si>
  <si>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</si>
  <si>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</si>
  <si>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</si>
  <si>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</si>
  <si>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</si>
  <si>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</si>
  <si>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</si>
  <si>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</si>
  <si>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</si>
  <si>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</si>
  <si>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</si>
  <si>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</si>
  <si>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</si>
  <si>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</si>
  <si>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</si>
  <si>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</si>
  <si>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</si>
  <si>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</si>
  <si>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</si>
  <si>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</si>
  <si>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</si>
  <si>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</si>
  <si>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</si>
  <si>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</si>
  <si>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</si>
  <si>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</si>
  <si>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</si>
  <si>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</si>
  <si>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</si>
  <si>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</si>
  <si>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</si>
  <si>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</si>
  <si>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</si>
  <si>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</si>
  <si>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</si>
  <si>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</si>
  <si>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</si>
  <si>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</si>
  <si>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</si>
  <si>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</si>
  <si>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</si>
  <si>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</si>
  <si>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</si>
  <si>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</si>
  <si>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</si>
  <si>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</si>
  <si>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</si>
  <si>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</si>
  <si>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</si>
  <si>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</si>
  <si>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</si>
  <si>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</si>
  <si>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</si>
  <si>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</si>
  <si>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</si>
  <si>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</si>
  <si>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</si>
  <si>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</si>
  <si>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</si>
  <si>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</si>
  <si>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</si>
  <si>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</si>
  <si>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</si>
  <si>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</si>
  <si>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</si>
  <si>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</si>
  <si>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</si>
  <si>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</si>
  <si>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</si>
  <si>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</si>
  <si>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</si>
  <si>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</si>
  <si>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</si>
  <si>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</si>
  <si>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</si>
  <si>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</si>
  <si>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</si>
  <si>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</si>
  <si>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</si>
  <si>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</si>
  <si>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</si>
  <si>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</si>
  <si>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</si>
  <si>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</si>
  <si>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</si>
  <si>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</si>
  <si>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</si>
  <si>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</si>
  <si>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</si>
  <si>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</si>
  <si>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</si>
  <si>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</si>
  <si>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</si>
  <si>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</si>
  <si>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</si>
  <si>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</si>
  <si>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</si>
  <si>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</si>
  <si>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</si>
  <si>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</si>
  <si>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</si>
  <si>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</si>
  <si>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</si>
  <si>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</si>
  <si>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</si>
  <si>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</si>
  <si>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</si>
  <si>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</si>
  <si>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</si>
  <si>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</si>
  <si>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</si>
  <si>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</si>
  <si>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</si>
  <si>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</si>
  <si>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</si>
  <si>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</si>
  <si>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</si>
  <si>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</si>
  <si>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</si>
  <si>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</si>
  <si>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</si>
  <si>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</si>
  <si>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</si>
  <si>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</si>
  <si>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</si>
  <si>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</si>
  <si>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</si>
  <si>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</si>
  <si>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</si>
  <si>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</si>
  <si>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</si>
  <si>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</si>
  <si>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</si>
  <si>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</si>
  <si>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</si>
  <si>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</si>
  <si>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</si>
  <si>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</si>
  <si>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</si>
  <si>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</si>
  <si>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</si>
  <si>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</si>
  <si>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</si>
  <si>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</si>
  <si>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</si>
  <si>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</si>
  <si>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</si>
  <si>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</si>
  <si>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</si>
  <si>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</si>
  <si>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</si>
  <si>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</si>
  <si>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</si>
  <si>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</si>
  <si>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</si>
  <si>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</si>
  <si>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</si>
  <si>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</si>
  <si>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</si>
  <si>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</si>
  <si>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</si>
  <si>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</si>
  <si>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</si>
  <si>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</si>
  <si>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</si>
  <si>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</si>
  <si>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</si>
  <si>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</si>
  <si>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</si>
  <si>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</si>
  <si>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</si>
  <si>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</si>
  <si>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</si>
  <si>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</si>
  <si>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</si>
  <si>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</si>
  <si>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</si>
  <si>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</si>
  <si>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</si>
  <si>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</si>
  <si>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</si>
  <si>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</si>
  <si>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</si>
  <si>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</si>
  <si>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</si>
  <si>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</si>
  <si>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</si>
  <si>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</si>
  <si>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</si>
  <si>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</si>
  <si>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</si>
  <si>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</si>
  <si>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</si>
  <si>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</si>
  <si>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</si>
  <si>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</si>
  <si>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</si>
  <si>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</si>
  <si>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</si>
  <si>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</si>
  <si>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</si>
  <si>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</si>
  <si>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</si>
  <si>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</si>
  <si>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</si>
  <si>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</si>
  <si>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</si>
  <si>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</si>
  <si>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</si>
  <si>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</si>
  <si>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</si>
  <si>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</si>
  <si>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</si>
  <si>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</si>
  <si>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</si>
  <si>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</si>
  <si>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</si>
  <si>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</si>
  <si>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</si>
  <si>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</si>
  <si>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</si>
  <si>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</si>
  <si>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</si>
  <si>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</si>
  <si>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</si>
  <si>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</si>
  <si>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</si>
  <si>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</si>
  <si>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</si>
  <si>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</si>
  <si>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</si>
  <si>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</si>
  <si>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</si>
  <si>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</si>
  <si>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</si>
  <si>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</si>
  <si>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</si>
  <si>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</si>
  <si>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</si>
  <si>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</si>
  <si>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</si>
  <si>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</si>
  <si>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</si>
  <si>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</si>
  <si>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</si>
  <si>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</si>
  <si>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</si>
  <si>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</si>
  <si>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</si>
  <si>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</si>
  <si>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</si>
  <si>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</si>
  <si>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</si>
  <si>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</si>
  <si>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</si>
  <si>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</si>
  <si>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</si>
  <si>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</si>
  <si>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</si>
  <si>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</si>
  <si>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</si>
  <si>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</si>
  <si>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</si>
  <si>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</si>
  <si>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</si>
  <si>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</si>
  <si>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</si>
  <si>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</si>
  <si>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</si>
  <si>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</si>
  <si>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</si>
  <si>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</si>
  <si>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</si>
  <si>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</si>
  <si>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</si>
  <si>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</si>
  <si>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</si>
  <si>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</si>
  <si>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</si>
  <si>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</si>
  <si>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</si>
  <si>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</si>
  <si>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</si>
  <si>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</si>
  <si>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</si>
  <si>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</si>
  <si>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</si>
  <si>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</si>
  <si>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</si>
  <si>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</si>
  <si>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</si>
  <si>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</si>
  <si>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</si>
  <si>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</si>
  <si>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</si>
  <si>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</si>
  <si>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</si>
  <si>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</si>
  <si>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</si>
  <si>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</si>
  <si>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</si>
  <si>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</si>
  <si>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</si>
  <si>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</si>
  <si>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</si>
  <si>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</si>
  <si>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</si>
  <si>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</si>
  <si>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</si>
  <si>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</si>
  <si>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</si>
  <si>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</si>
  <si>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</si>
  <si>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</si>
  <si>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</si>
  <si>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</si>
  <si>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</si>
  <si>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</si>
  <si>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</si>
  <si>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</si>
  <si>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</si>
  <si>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</si>
  <si>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</si>
  <si>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</si>
  <si>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</si>
  <si>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</si>
  <si>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</si>
  <si>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</si>
  <si>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</si>
  <si>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</si>
  <si>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</si>
  <si>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</si>
  <si>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</si>
  <si>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</si>
  <si>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</si>
  <si>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</si>
  <si>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</si>
  <si>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</si>
  <si>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Internet/SW</t>
  </si>
  <si>
    <t>Pairs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</si>
  <si>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</si>
  <si>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</si>
  <si>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</si>
  <si>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</si>
  <si>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</si>
  <si>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</si>
  <si>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</si>
  <si>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</si>
  <si>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</si>
  <si>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</si>
  <si>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</si>
  <si>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</si>
  <si>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</si>
  <si>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</si>
  <si>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</si>
  <si>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</si>
  <si>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</si>
  <si>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</si>
  <si>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</si>
  <si>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</si>
  <si>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</si>
  <si>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</si>
  <si>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</si>
  <si>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</si>
  <si>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</si>
  <si>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</si>
  <si>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</si>
  <si>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</si>
  <si>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</si>
  <si>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</si>
  <si>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</si>
  <si>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</si>
  <si>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</si>
  <si>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</si>
  <si>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</si>
  <si>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</si>
  <si>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</si>
  <si>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</si>
  <si>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</si>
  <si>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</si>
  <si>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</si>
  <si>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</si>
  <si>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</si>
  <si>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</si>
  <si>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</si>
  <si>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</si>
  <si>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</si>
  <si>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</si>
  <si>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</si>
  <si>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</si>
  <si>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</si>
  <si>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</si>
  <si>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</si>
  <si>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</si>
  <si>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</si>
  <si>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</si>
  <si>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</si>
  <si>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</si>
  <si>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</si>
  <si>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</si>
  <si>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</si>
  <si>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</si>
  <si>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</si>
  <si>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</si>
  <si>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</si>
  <si>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</si>
  <si>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</si>
  <si>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</si>
  <si>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</si>
  <si>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</si>
  <si>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</si>
  <si>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</si>
  <si>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</si>
  <si>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</si>
  <si>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</si>
  <si>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</si>
  <si>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</si>
  <si>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</si>
  <si>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</si>
  <si>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</si>
  <si>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</si>
  <si>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</si>
  <si>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</si>
  <si>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</si>
  <si>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</si>
  <si>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</si>
  <si>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</si>
  <si>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</si>
  <si>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</si>
  <si>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</si>
  <si>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</si>
  <si>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</si>
  <si>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</si>
  <si>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</si>
  <si>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</si>
  <si>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</si>
  <si>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</si>
  <si>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</si>
  <si>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</si>
  <si>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</si>
  <si>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</si>
  <si>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</si>
  <si>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</si>
  <si>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</si>
  <si>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</si>
  <si>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</si>
  <si>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</si>
  <si>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</si>
  <si>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</si>
  <si>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</si>
  <si>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</si>
  <si>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</si>
  <si>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</si>
  <si>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</si>
  <si>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</si>
  <si>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</si>
  <si>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</si>
  <si>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</si>
  <si>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</si>
  <si>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</si>
  <si>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</si>
  <si>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</si>
  <si>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</si>
  <si>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</si>
  <si>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</si>
  <si>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</si>
  <si>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</si>
  <si>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</si>
  <si>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</si>
  <si>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</si>
  <si>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</si>
  <si>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</si>
  <si>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</si>
  <si>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</si>
  <si>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</si>
  <si>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</si>
  <si>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</si>
  <si>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</si>
  <si>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</si>
  <si>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TBOND</t>
  </si>
  <si>
    <t>T 4.000% 11/15/35</t>
  </si>
  <si>
    <t>NVDA US Equity</t>
  </si>
  <si>
    <t>NVDA US 02/13/26 C202.5 Equity</t>
  </si>
  <si>
    <t>202.5</t>
  </si>
  <si>
    <t>NVDA US 05/15/26 C200 Equity</t>
  </si>
  <si>
    <t>META US 07/17/26 C700 Equity</t>
  </si>
  <si>
    <t>700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</si>
  <si>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</si>
  <si>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</si>
  <si>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</si>
  <si>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</si>
  <si>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</si>
  <si>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</si>
  <si>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</si>
  <si>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</si>
  <si>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</si>
  <si>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</si>
  <si>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</si>
  <si>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</si>
  <si>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</si>
  <si>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</si>
  <si>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</si>
  <si>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</si>
  <si>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</si>
  <si>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</si>
  <si>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</si>
  <si>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</si>
  <si>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</si>
  <si>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</si>
  <si>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</si>
  <si>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</si>
  <si>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</si>
  <si>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</si>
  <si>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</si>
  <si>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</si>
  <si>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</si>
  <si>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</si>
  <si>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</si>
  <si>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280</t>
  </si>
  <si>
    <t>META US 07/17/26 C750 Equity</t>
  </si>
  <si>
    <t>B3SA3 20/02/26 C17.67 OTC</t>
  </si>
  <si>
    <t>B3SA3 Equity</t>
  </si>
  <si>
    <t>17.67</t>
  </si>
  <si>
    <t>MOTV3 20/02/26 C18.01 OTC</t>
  </si>
  <si>
    <t>MOTV3 Equity</t>
  </si>
  <si>
    <t>18.01</t>
  </si>
  <si>
    <t>PRIO3 17/04/26 P45.5 OTC</t>
  </si>
  <si>
    <t>45.5</t>
  </si>
  <si>
    <t>PRIO3 17/04/26 P49.5 OTC</t>
  </si>
  <si>
    <t>49.5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</si>
  <si>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</si>
  <si>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</si>
  <si>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</si>
  <si>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</si>
  <si>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</si>
  <si>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</si>
  <si>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</si>
  <si>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</si>
  <si>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</si>
  <si>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</si>
  <si>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</si>
  <si>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</si>
  <si>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</si>
  <si>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</si>
  <si>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</si>
  <si>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</si>
  <si>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</si>
  <si>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</si>
  <si>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</si>
  <si>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18.87</t>
  </si>
  <si>
    <t>VIVA3 20/02/26 C30.64 OTC</t>
  </si>
  <si>
    <t>30.64</t>
  </si>
  <si>
    <t>VIVA3 20/02/26 P26.64 OTC</t>
  </si>
  <si>
    <t>26.64</t>
  </si>
  <si>
    <t>VIVA3 20/02/26 P28.64 OTC</t>
  </si>
  <si>
    <t>28.64</t>
  </si>
  <si>
    <t>SAP</t>
  </si>
  <si>
    <t>MELI US 02/20/26 C2150</t>
  </si>
  <si>
    <t>AVGO US 02/13/26 C330</t>
  </si>
  <si>
    <t>MELI US 02/20/26 C2150 Equity</t>
  </si>
  <si>
    <t>MELI US Equity</t>
  </si>
  <si>
    <t>2150</t>
  </si>
  <si>
    <t>AVGO US 02/13/26 C330 Equity</t>
  </si>
  <si>
    <t>INBR32 20/02/26 C53.54 OTC</t>
  </si>
  <si>
    <t>INBR32 Equity</t>
  </si>
  <si>
    <t>53.54</t>
  </si>
  <si>
    <t>INBR32 20/02/26 P45.54 OTC</t>
  </si>
  <si>
    <t>45.54</t>
  </si>
  <si>
    <t>INBR32 20/02/26 P49.29 OTC</t>
  </si>
  <si>
    <t>49.29</t>
  </si>
  <si>
    <t>PGMN3 20/03/26 C7.37 OTC</t>
  </si>
  <si>
    <t>PGMN3 Equity</t>
  </si>
  <si>
    <t>7.37</t>
  </si>
  <si>
    <t>PGMN3 20/03/26 P6.17 OTC</t>
  </si>
  <si>
    <t>6.17</t>
  </si>
  <si>
    <t>PGMN3 20/03/26 P6.77 OTC</t>
  </si>
  <si>
    <t>6.77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</si>
  <si>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</si>
  <si>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</si>
  <si>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</si>
  <si>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</si>
  <si>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</si>
  <si>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</si>
  <si>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</si>
  <si>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235</t>
  </si>
  <si>
    <t>AMZN US 04/17/26 C250 Equity</t>
  </si>
  <si>
    <t>SBFG3 20/03/26 C15.20 OTC</t>
  </si>
  <si>
    <t>SBFG3 Equity</t>
  </si>
  <si>
    <t>15.20</t>
  </si>
  <si>
    <t>SBFG3 20/03/26 P12.70 OTC</t>
  </si>
  <si>
    <t>12.70</t>
  </si>
  <si>
    <t>SBFG3 20/03/26 P13.70 OTC</t>
  </si>
  <si>
    <t>13.70</t>
  </si>
  <si>
    <t>VALE3 20/03/26 P81.18 OTC</t>
  </si>
  <si>
    <t>81.18</t>
  </si>
  <si>
    <t>VALE3 20/03/26 P86.18 OTC</t>
  </si>
  <si>
    <t>86.18</t>
  </si>
  <si>
    <t>2OG6P 24750</t>
  </si>
  <si>
    <t>CPLE3 20/03/26 C14.48 OTC</t>
  </si>
  <si>
    <t>14.48</t>
  </si>
  <si>
    <t>CPLE3 20/03/26 P12.23 OTC</t>
  </si>
  <si>
    <t>12.23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</si>
  <si>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</si>
  <si>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</si>
  <si>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</si>
  <si>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</si>
  <si>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</si>
  <si>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</si>
  <si>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</si>
  <si>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</si>
  <si>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</si>
  <si>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</si>
  <si>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</si>
  <si>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</si>
  <si>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</si>
  <si>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</si>
  <si>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</si>
  <si>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</si>
  <si>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</si>
  <si>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14.91</t>
  </si>
  <si>
    <t>FLRY3 19/06/26 P16.91 OTC</t>
  </si>
  <si>
    <t>16.91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</si>
  <si>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</si>
  <si>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</si>
  <si>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</si>
  <si>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</si>
  <si>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</si>
  <si>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</si>
  <si>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</si>
  <si>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</si>
  <si>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DTM</t>
  </si>
  <si>
    <t>EUR Equity</t>
  </si>
  <si>
    <t>Provision EUR Equity EUR_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</si>
  <si>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</si>
  <si>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</si>
  <si>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</si>
  <si>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</si>
  <si>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</si>
  <si>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720</t>
  </si>
  <si>
    <t>CSCO US 04/17/26 C100 Equity</t>
  </si>
  <si>
    <t>CSCO US Equity</t>
  </si>
  <si>
    <t>100</t>
  </si>
  <si>
    <t>CSCO US 04/17/26 C95 Equity</t>
  </si>
  <si>
    <t>95</t>
  </si>
  <si>
    <t>IBOVE 18/03/26 P176000 OTC</t>
  </si>
  <si>
    <t>176000</t>
  </si>
  <si>
    <t>IBOVE 18/03/26 P185000 OTC</t>
  </si>
  <si>
    <t>185000</t>
  </si>
  <si>
    <t>QQQ US 02/13/26 P610</t>
  </si>
  <si>
    <t>QQQ US 02/13/26 P605</t>
  </si>
  <si>
    <t>QQQ US 02/20/26 P605</t>
  </si>
  <si>
    <t>QQQ US 02/20/26 P590</t>
  </si>
  <si>
    <t>NVDA US 03/20/26 C200</t>
  </si>
  <si>
    <t>NVDA US 03/20/26 C220</t>
  </si>
  <si>
    <t>AMZN US 12/18/26 C250</t>
  </si>
  <si>
    <t>AMZN US 12/18/26 C230</t>
  </si>
  <si>
    <t>AMZN US 07/17/26 C230</t>
  </si>
  <si>
    <t>AMZN US 07/17/26 P180</t>
  </si>
  <si>
    <t>AMZN US 12/18/26 P180</t>
  </si>
  <si>
    <t>AMZN US 07/17/26 C240</t>
  </si>
  <si>
    <t>CSCO US 07/17/26 C95</t>
  </si>
  <si>
    <t>CSCO US 07/17/26 C100</t>
  </si>
  <si>
    <t>AKAM</t>
  </si>
  <si>
    <t>QQQ US 02/13/26 P610 Equity</t>
  </si>
  <si>
    <t>610</t>
  </si>
  <si>
    <t>QQQ US 02/20/26 P590 Equity</t>
  </si>
  <si>
    <t>QQQ US 02/20/26 P605 Equity</t>
  </si>
  <si>
    <t>605</t>
  </si>
  <si>
    <t>NVDA US 03/20/26 C200 Equity</t>
  </si>
  <si>
    <t>AMZN US 07/17/26 C240 Equity</t>
  </si>
  <si>
    <t>240</t>
  </si>
  <si>
    <t>AMZN US 07/17/26 P180 Equity</t>
  </si>
  <si>
    <t>180</t>
  </si>
  <si>
    <t>CSCO US 07/17/26 C100 Equity</t>
  </si>
  <si>
    <t>CSCO US 07/17/26 C95 Equity</t>
  </si>
  <si>
    <t>NVDA US 03/20/26 C220 Equity</t>
  </si>
  <si>
    <t>220</t>
  </si>
  <si>
    <t>QQQ US 02/13/26 P605 Equity</t>
  </si>
  <si>
    <t>B3SA3 20/02/26 P16.42 OTC</t>
  </si>
  <si>
    <t>16.42</t>
  </si>
  <si>
    <t>B3SA3 20/02/26 P17.17 OTC</t>
  </si>
  <si>
    <t>17.17</t>
  </si>
  <si>
    <t>BBAS3 20/02/26 P23.49 OTC</t>
  </si>
  <si>
    <t>BBAS3 Equity</t>
  </si>
  <si>
    <t>23.49</t>
  </si>
  <si>
    <t>BBAS3 20/02/26 P24.86 OTC</t>
  </si>
  <si>
    <t>24.86</t>
  </si>
  <si>
    <t>QQQ US 02/27/26 P590</t>
  </si>
  <si>
    <t>QQQ US 02/20/26 P600</t>
  </si>
  <si>
    <t>QQQ US 02/27/26 P580</t>
  </si>
  <si>
    <t>LITE US 02/20/26 C680</t>
  </si>
  <si>
    <t>LITE US 02/20/26 C690</t>
  </si>
  <si>
    <t>NVDA US 03/20/26 C210</t>
  </si>
  <si>
    <t>QQQ US 02/13/26 P595</t>
  </si>
  <si>
    <t>QQQ US 02/13/26 P590</t>
  </si>
  <si>
    <t>QQQ US 02/12/26 P599</t>
  </si>
  <si>
    <t>QQQ US 02/12/26 P598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</si>
</sst>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100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20" fillId="17" borderId="0" applyNumberFormat="0" applyBorder="0" applyAlignment="0" applyProtection="0"/>
    <xf numFmtId="0" fontId="21" fillId="18" borderId="23" applyNumberFormat="0" applyAlignment="0" applyProtection="0"/>
    <xf numFmtId="0" fontId="24" fillId="0" borderId="25" applyNumberFormat="0" applyFill="0" applyAlignment="0" applyProtection="0"/>
    <xf numFmtId="0" fontId="9" fillId="20" borderId="26" applyNumberFormat="0" applyAlignment="0" applyProtection="0"/>
    <xf numFmtId="0" fontId="25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3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6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27" fillId="33" borderId="0" applyNumberFormat="0" applyBorder="0" applyAlignment="0" applyProtection="0"/>
    <xf numFmtId="0" fontId="27" fillId="37" borderId="0" applyNumberFormat="0" applyBorder="0" applyAlignment="0" applyProtection="0"/>
    <xf numFmtId="0" fontId="27" fillId="41" borderId="0" applyNumberFormat="0" applyBorder="0" applyAlignment="0" applyProtection="0"/>
    <xf numFmtId="0" fontId="27" fillId="45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47" borderId="0" applyNumberFormat="0" applyBorder="0" applyAlignment="0" applyProtection="0"/>
    <xf numFmtId="37" fontId="30" fillId="0" borderId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27" fillId="38" borderId="0" applyNumberFormat="0" applyBorder="0" applyAlignment="0" applyProtection="0"/>
    <xf numFmtId="0" fontId="27" fillId="42" borderId="0" applyNumberFormat="0" applyBorder="0" applyAlignment="0" applyProtection="0"/>
    <xf numFmtId="0" fontId="33" fillId="0" borderId="0"/>
    <xf numFmtId="41" fontId="33" fillId="0" borderId="0" applyFont="0" applyFill="0" applyBorder="0" applyAlignment="0" applyProtection="0"/>
    <xf numFmtId="0" fontId="19" fillId="16" borderId="0" applyNumberFormat="0" applyBorder="0" applyAlignment="0" applyProtection="0"/>
    <xf numFmtId="183" fontId="33" fillId="0" borderId="0" applyFill="0" applyBorder="0" applyAlignment="0" applyProtection="0">
      <alignment horizontal="right"/>
      <protection locked="0"/>
    </xf>
    <xf numFmtId="0" fontId="34" fillId="52" borderId="0"/>
    <xf numFmtId="0" fontId="23" fillId="19" borderId="23" applyNumberFormat="0" applyAlignment="0" applyProtection="0"/>
    <xf numFmtId="0" fontId="35" fillId="46" borderId="29" applyNumberFormat="0" applyAlignment="0" applyProtection="0"/>
    <xf numFmtId="0" fontId="9" fillId="20" borderId="26" applyNumberFormat="0" applyAlignment="0" applyProtection="0"/>
    <xf numFmtId="0" fontId="33" fillId="0" borderId="0">
      <alignment horizontal="center" wrapText="1"/>
      <protection hidden="1"/>
    </xf>
    <xf numFmtId="0" fontId="36" fillId="0" borderId="0" applyNumberFormat="0" applyFill="0" applyBorder="0" applyAlignment="0"/>
    <xf numFmtId="182" fontId="33" fillId="0" borderId="0" applyFont="0" applyFill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7" fillId="0" borderId="0" applyFont="0" applyFill="0" applyBorder="0" applyAlignment="0" applyProtection="0"/>
    <xf numFmtId="0" fontId="38" fillId="53" borderId="0">
      <alignment horizontal="center" vertical="center" wrapText="1"/>
    </xf>
    <xf numFmtId="0" fontId="39" fillId="0" borderId="30" applyNumberFormat="0"/>
    <xf numFmtId="0" fontId="40" fillId="0" borderId="30" applyNumberFormat="0"/>
    <xf numFmtId="1" fontId="37" fillId="0" borderId="0" applyFont="0" applyFill="0" applyBorder="0" applyAlignment="0" applyProtection="0"/>
    <xf numFmtId="2" fontId="41" fillId="54" borderId="16">
      <protection locked="0"/>
    </xf>
    <xf numFmtId="0" fontId="42" fillId="0" borderId="0" applyNumberFormat="0" applyBorder="0" applyAlignment="0">
      <alignment horizontal="center"/>
    </xf>
    <xf numFmtId="0" fontId="42" fillId="55" borderId="0" applyNumberFormat="0" applyBorder="0" applyAlignment="0">
      <alignment horizontal="center"/>
    </xf>
    <xf numFmtId="0" fontId="43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32" fillId="51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1" borderId="0" applyNumberFormat="0" applyBorder="0" applyAlignment="0" applyProtection="0"/>
    <xf numFmtId="0" fontId="32" fillId="59" borderId="0" applyNumberFormat="0" applyBorder="0" applyAlignment="0" applyProtection="0"/>
    <xf numFmtId="0" fontId="33" fillId="0" borderId="0"/>
    <xf numFmtId="184" fontId="3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2" fontId="43" fillId="0" borderId="0" applyFont="0" applyFill="0" applyBorder="0" applyAlignment="0" applyProtection="0"/>
    <xf numFmtId="0" fontId="44" fillId="0" borderId="0" applyFill="0" applyBorder="0" applyProtection="0">
      <alignment horizontal="left"/>
    </xf>
    <xf numFmtId="0" fontId="18" fillId="15" borderId="0" applyNumberFormat="0" applyBorder="0" applyAlignment="0" applyProtection="0"/>
    <xf numFmtId="0" fontId="45" fillId="0" borderId="0" applyNumberFormat="0">
      <alignment horizontal="right"/>
    </xf>
    <xf numFmtId="0" fontId="46" fillId="0" borderId="0" applyNumberFormat="0">
      <alignment horizontal="right"/>
    </xf>
    <xf numFmtId="0" fontId="46" fillId="0" borderId="0" applyNumberFormat="0">
      <alignment horizontal="left"/>
    </xf>
    <xf numFmtId="0" fontId="45" fillId="0" borderId="0" applyNumberFormat="0">
      <alignment horizontal="left"/>
    </xf>
    <xf numFmtId="0" fontId="47" fillId="0" borderId="0" applyNumberFormat="0">
      <alignment horizontal="left" vertical="top"/>
    </xf>
    <xf numFmtId="0" fontId="15" fillId="0" borderId="20" applyNumberFormat="0" applyFill="0" applyAlignment="0" applyProtection="0"/>
    <xf numFmtId="0" fontId="16" fillId="0" borderId="21" applyNumberFormat="0" applyFill="0" applyAlignment="0" applyProtection="0"/>
    <xf numFmtId="0" fontId="17" fillId="0" borderId="22" applyNumberFormat="0" applyFill="0" applyAlignment="0" applyProtection="0"/>
    <xf numFmtId="0" fontId="17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49" fillId="60" borderId="0" applyNumberFormat="0" applyBorder="0" applyAlignment="0" applyProtection="0"/>
    <xf numFmtId="0" fontId="21" fillId="18" borderId="23" applyNumberFormat="0" applyAlignment="0" applyProtection="0"/>
    <xf numFmtId="185" fontId="33" fillId="0" borderId="0" applyFill="0" applyBorder="0">
      <alignment horizontal="right"/>
      <protection locked="0"/>
    </xf>
    <xf numFmtId="0" fontId="41" fillId="61" borderId="30">
      <alignment horizontal="left" vertical="center" wrapText="1"/>
    </xf>
    <xf numFmtId="0" fontId="24" fillId="0" borderId="25" applyNumberFormat="0" applyFill="0" applyAlignment="0" applyProtection="0"/>
    <xf numFmtId="0" fontId="50" fillId="62" borderId="0" applyNumberFormat="0" applyBorder="0" applyAlignment="0" applyProtection="0"/>
    <xf numFmtId="0" fontId="29" fillId="17" borderId="0" applyNumberFormat="0" applyBorder="0" applyAlignment="0" applyProtection="0"/>
    <xf numFmtId="171" fontId="33" fillId="0" borderId="0"/>
    <xf numFmtId="0" fontId="51" fillId="0" borderId="0"/>
    <xf numFmtId="0" fontId="33" fillId="0" borderId="0"/>
    <xf numFmtId="0" fontId="1" fillId="0" borderId="0"/>
    <xf numFmtId="0" fontId="33" fillId="0" borderId="0"/>
    <xf numFmtId="186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" fillId="21" borderId="27" applyNumberFormat="0" applyFont="0" applyAlignment="0" applyProtection="0"/>
    <xf numFmtId="0" fontId="52" fillId="0" borderId="19"/>
    <xf numFmtId="0" fontId="53" fillId="0" borderId="0"/>
    <xf numFmtId="0" fontId="22" fillId="19" borderId="24" applyNumberFormat="0" applyAlignment="0" applyProtection="0"/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3" fillId="0" borderId="0" applyFill="0" applyBorder="0">
      <alignment horizontal="right"/>
      <protection locked="0"/>
    </xf>
    <xf numFmtId="164" fontId="33" fillId="0" borderId="0" applyFont="0" applyFill="0" applyBorder="0" applyAlignment="0" applyProtection="0"/>
    <xf numFmtId="188" fontId="33" fillId="0" borderId="0">
      <alignment horizontal="right"/>
      <protection locked="0"/>
    </xf>
    <xf numFmtId="1" fontId="41" fillId="54" borderId="0" applyBorder="0">
      <protection locked="0"/>
    </xf>
    <xf numFmtId="1" fontId="41" fillId="54" borderId="13" applyBorder="0">
      <protection locked="0"/>
    </xf>
    <xf numFmtId="181" fontId="41" fillId="54" borderId="13" applyBorder="0">
      <protection locked="0"/>
    </xf>
    <xf numFmtId="0" fontId="54" fillId="46" borderId="31" applyNumberFormat="0" applyAlignment="0" applyProtection="0"/>
    <xf numFmtId="4" fontId="55" fillId="63" borderId="32" applyNumberFormat="0" applyProtection="0">
      <alignment vertical="center"/>
    </xf>
    <xf numFmtId="4" fontId="56" fillId="63" borderId="32" applyNumberFormat="0" applyProtection="0">
      <alignment vertical="center"/>
    </xf>
    <xf numFmtId="4" fontId="57" fillId="63" borderId="32" applyNumberFormat="0" applyProtection="0">
      <alignment horizontal="left" vertical="center" indent="1"/>
    </xf>
    <xf numFmtId="4" fontId="57" fillId="64" borderId="0" applyNumberFormat="0" applyProtection="0">
      <alignment horizontal="left" vertical="center" indent="1"/>
    </xf>
    <xf numFmtId="4" fontId="58" fillId="65" borderId="32" applyNumberFormat="0" applyProtection="0">
      <alignment horizontal="right" vertical="center"/>
    </xf>
    <xf numFmtId="4" fontId="58" fillId="66" borderId="32" applyNumberFormat="0" applyProtection="0">
      <alignment horizontal="right" vertical="center"/>
    </xf>
    <xf numFmtId="4" fontId="58" fillId="67" borderId="32" applyNumberFormat="0" applyProtection="0">
      <alignment horizontal="right" vertical="center"/>
    </xf>
    <xf numFmtId="4" fontId="58" fillId="68" borderId="32" applyNumberFormat="0" applyProtection="0">
      <alignment horizontal="right" vertical="center"/>
    </xf>
    <xf numFmtId="4" fontId="58" fillId="69" borderId="32" applyNumberFormat="0" applyProtection="0">
      <alignment horizontal="right" vertical="center"/>
    </xf>
    <xf numFmtId="4" fontId="58" fillId="70" borderId="32" applyNumberFormat="0" applyProtection="0">
      <alignment horizontal="right" vertical="center"/>
    </xf>
    <xf numFmtId="4" fontId="58" fillId="71" borderId="32" applyNumberFormat="0" applyProtection="0">
      <alignment horizontal="right" vertical="center"/>
    </xf>
    <xf numFmtId="4" fontId="58" fillId="72" borderId="32" applyNumberFormat="0" applyProtection="0">
      <alignment horizontal="right" vertical="center"/>
    </xf>
    <xf numFmtId="4" fontId="58" fillId="73" borderId="32" applyNumberFormat="0" applyProtection="0">
      <alignment horizontal="right" vertical="center"/>
    </xf>
    <xf numFmtId="4" fontId="55" fillId="74" borderId="33" applyNumberFormat="0" applyProtection="0">
      <alignment horizontal="left" vertical="center" indent="1"/>
    </xf>
    <xf numFmtId="4" fontId="55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8" fillId="75" borderId="32" applyNumberFormat="0" applyProtection="0">
      <alignment horizontal="right" vertical="center"/>
    </xf>
    <xf numFmtId="4" fontId="60" fillId="75" borderId="0" applyNumberFormat="0" applyProtection="0">
      <alignment horizontal="left" vertical="center" indent="1"/>
    </xf>
    <xf numFmtId="4" fontId="60" fillId="64" borderId="0" applyNumberFormat="0" applyProtection="0">
      <alignment horizontal="left" vertical="center" indent="1"/>
    </xf>
    <xf numFmtId="4" fontId="58" fillId="76" borderId="32" applyNumberFormat="0" applyProtection="0">
      <alignment vertical="center"/>
    </xf>
    <xf numFmtId="4" fontId="61" fillId="76" borderId="32" applyNumberFormat="0" applyProtection="0">
      <alignment vertical="center"/>
    </xf>
    <xf numFmtId="4" fontId="59" fillId="75" borderId="34" applyNumberFormat="0" applyProtection="0">
      <alignment horizontal="left" vertical="center" indent="1"/>
    </xf>
    <xf numFmtId="4" fontId="57" fillId="76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5" fillId="75" borderId="32" applyNumberFormat="0" applyProtection="0">
      <alignment horizontal="left" vertical="center" indent="1"/>
    </xf>
    <xf numFmtId="4" fontId="62" fillId="77" borderId="34" applyNumberFormat="0" applyProtection="0">
      <alignment horizontal="left" vertical="center" indent="1"/>
    </xf>
    <xf numFmtId="4" fontId="63" fillId="76" borderId="32" applyNumberFormat="0" applyProtection="0">
      <alignment horizontal="right" vertical="center"/>
    </xf>
    <xf numFmtId="189" fontId="64" fillId="0" borderId="0" applyFill="0" applyBorder="0">
      <alignment horizontal="right"/>
      <protection hidden="1"/>
    </xf>
    <xf numFmtId="0" fontId="65" fillId="53" borderId="16">
      <alignment horizontal="center" vertical="center" wrapText="1"/>
      <protection hidden="1"/>
    </xf>
    <xf numFmtId="0" fontId="41" fillId="54" borderId="0">
      <protection locked="0"/>
    </xf>
    <xf numFmtId="0" fontId="41" fillId="54" borderId="13" applyBorder="0">
      <protection locked="0"/>
    </xf>
    <xf numFmtId="180" fontId="33" fillId="0" borderId="0"/>
    <xf numFmtId="182" fontId="33" fillId="0" borderId="0">
      <alignment textRotation="255"/>
    </xf>
    <xf numFmtId="0" fontId="66" fillId="0" borderId="0">
      <alignment vertical="center"/>
    </xf>
    <xf numFmtId="0" fontId="33" fillId="0" borderId="0"/>
    <xf numFmtId="0" fontId="67" fillId="0" borderId="0" applyBorder="0" applyProtection="0">
      <alignment horizontal="left"/>
    </xf>
    <xf numFmtId="0" fontId="68" fillId="0" borderId="0" applyFill="0" applyBorder="0" applyProtection="0">
      <alignment horizontal="left"/>
    </xf>
    <xf numFmtId="0" fontId="69" fillId="0" borderId="18" applyFill="0" applyBorder="0" applyProtection="0">
      <alignment horizontal="left" vertical="top"/>
    </xf>
    <xf numFmtId="0" fontId="7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3" fillId="0" borderId="0" applyBorder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0" borderId="36" applyNumberFormat="0" applyFill="0" applyAlignment="0" applyProtection="0"/>
    <xf numFmtId="0" fontId="74" fillId="0" borderId="37" applyNumberFormat="0" applyFill="0" applyAlignment="0" applyProtection="0"/>
    <xf numFmtId="0" fontId="74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1" fillId="54" borderId="16">
      <protection locked="0"/>
    </xf>
    <xf numFmtId="4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3" fillId="0" borderId="0" applyFont="0" applyFill="0" applyBorder="0" applyAlignment="0" applyProtection="0"/>
    <xf numFmtId="191" fontId="3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5" fillId="0" borderId="0"/>
    <xf numFmtId="0" fontId="7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5" fillId="0" borderId="0"/>
    <xf numFmtId="0" fontId="33" fillId="0" borderId="0"/>
    <xf numFmtId="0" fontId="1" fillId="0" borderId="0"/>
    <xf numFmtId="0" fontId="1" fillId="0" borderId="0"/>
    <xf numFmtId="0" fontId="1" fillId="0" borderId="0"/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14" fontId="30" fillId="0" borderId="0"/>
    <xf numFmtId="14" fontId="30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51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0" fontId="78" fillId="0" borderId="0">
      <alignment vertical="top"/>
    </xf>
    <xf numFmtId="0" fontId="79" fillId="0" borderId="0">
      <alignment horizontal="left" vertical="top"/>
    </xf>
    <xf numFmtId="14" fontId="78" fillId="0" borderId="0">
      <alignment vertical="top"/>
    </xf>
    <xf numFmtId="0" fontId="78" fillId="78" borderId="7">
      <alignment horizontal="left" vertical="top"/>
    </xf>
    <xf numFmtId="0" fontId="77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0" fontId="80" fillId="0" borderId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15" borderId="0" applyNumberFormat="0" applyBorder="0" applyAlignment="0" applyProtection="0"/>
    <xf numFmtId="0" fontId="21" fillId="18" borderId="23" applyNumberFormat="0" applyAlignment="0" applyProtection="0"/>
    <xf numFmtId="0" fontId="24" fillId="0" borderId="25" applyNumberFormat="0" applyFill="0" applyAlignment="0" applyProtection="0"/>
    <xf numFmtId="0" fontId="9" fillId="20" borderId="26" applyNumberFormat="0" applyAlignment="0" applyProtection="0"/>
    <xf numFmtId="0" fontId="25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6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47" borderId="0" applyNumberFormat="0" applyBorder="0" applyAlignment="0" applyProtection="0"/>
    <xf numFmtId="0" fontId="91" fillId="48" borderId="0" applyNumberFormat="0" applyBorder="0" applyAlignment="0" applyProtection="0"/>
    <xf numFmtId="0" fontId="35" fillId="46" borderId="29" applyNumberFormat="0" applyAlignment="0" applyProtection="0"/>
    <xf numFmtId="0" fontId="34" fillId="86" borderId="42" applyNumberFormat="0" applyAlignment="0" applyProtection="0"/>
    <xf numFmtId="0" fontId="92" fillId="0" borderId="43" applyNumberFormat="0" applyFill="0" applyAlignment="0" applyProtection="0"/>
    <xf numFmtId="0" fontId="32" fillId="51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1" borderId="0" applyNumberFormat="0" applyBorder="0" applyAlignment="0" applyProtection="0"/>
    <xf numFmtId="0" fontId="32" fillId="59" borderId="0" applyNumberFormat="0" applyBorder="0" applyAlignment="0" applyProtection="0"/>
    <xf numFmtId="0" fontId="93" fillId="47" borderId="29" applyNumberFormat="0" applyAlignment="0" applyProtection="0"/>
    <xf numFmtId="0" fontId="33" fillId="0" borderId="0" applyFont="0" applyFill="0" applyBorder="0" applyAlignment="0" applyProtection="0"/>
    <xf numFmtId="8" fontId="94" fillId="0" borderId="0" applyFont="0" applyFill="0" applyBorder="0" applyAlignment="0" applyProtection="0"/>
    <xf numFmtId="0" fontId="95" fillId="87" borderId="44" applyNumberFormat="0" applyFont="0" applyAlignment="0" applyProtection="0"/>
    <xf numFmtId="0" fontId="54" fillId="46" borderId="31" applyNumberFormat="0" applyAlignment="0" applyProtection="0"/>
    <xf numFmtId="0" fontId="96" fillId="0" borderId="0" applyFont="0" applyFill="0" applyBorder="0" applyAlignment="0" applyProtection="0"/>
    <xf numFmtId="4" fontId="9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0" borderId="36" applyNumberFormat="0" applyFill="0" applyAlignment="0" applyProtection="0"/>
    <xf numFmtId="0" fontId="74" fillId="0" borderId="37" applyNumberFormat="0" applyFill="0" applyAlignment="0" applyProtection="0"/>
    <xf numFmtId="0" fontId="74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4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76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0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4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left"/>
    </xf>
    <xf numFmtId="15" fontId="11" fillId="0" borderId="16" xfId="0" applyNumberFormat="1" applyFont="1" applyBorder="1" applyAlignment="1">
      <alignment horizontal="center"/>
    </xf>
    <xf numFmtId="15" fontId="11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2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3" fillId="0" borderId="17" xfId="190" applyNumberFormat="1" applyFont="1" applyFill="1" applyBorder="1" applyAlignment="1">
      <alignment horizontal="center" vertical="center"/>
    </xf>
    <xf numFmtId="172" fontId="13" fillId="0" borderId="17" xfId="1" applyNumberFormat="1" applyFont="1" applyFill="1" applyBorder="1" applyAlignment="1">
      <alignment horizontal="center" vertical="center"/>
    </xf>
    <xf numFmtId="178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1" fillId="0" borderId="0" xfId="0" applyFont="1"/>
    <xf numFmtId="14" fontId="81" fillId="0" borderId="39" xfId="0" applyNumberFormat="1" applyFont="1" applyBorder="1" applyAlignment="1">
      <alignment horizontal="center"/>
    </xf>
    <xf numFmtId="4" fontId="81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8" fillId="3" borderId="0" xfId="190" applyNumberFormat="1" applyFont="1" applyFill="1"/>
    <xf numFmtId="11" fontId="81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2" fillId="79" borderId="39" xfId="0" applyFont="1" applyFill="1" applyBorder="1" applyAlignment="1">
      <alignment horizontal="center"/>
    </xf>
    <xf numFmtId="0" fontId="82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6" fillId="6" borderId="0" xfId="190" applyFont="1" applyFill="1"/>
    <xf numFmtId="0" fontId="84" fillId="0" borderId="0" xfId="0" applyFont="1" applyAlignment="1">
      <alignment horizontal="left"/>
    </xf>
    <xf numFmtId="172" fontId="84" fillId="0" borderId="0" xfId="1" applyNumberFormat="1" applyFont="1" applyFill="1"/>
    <xf numFmtId="10" fontId="84" fillId="0" borderId="0" xfId="1" applyNumberFormat="1" applyFont="1" applyFill="1"/>
    <xf numFmtId="43" fontId="84" fillId="0" borderId="0" xfId="190" applyNumberFormat="1" applyFont="1"/>
    <xf numFmtId="0" fontId="84" fillId="0" borderId="0" xfId="0" applyFont="1"/>
    <xf numFmtId="169" fontId="84" fillId="0" borderId="0" xfId="0" applyNumberFormat="1" applyFont="1"/>
    <xf numFmtId="170" fontId="85" fillId="0" borderId="0" xfId="190" applyNumberFormat="1" applyFont="1"/>
    <xf numFmtId="0" fontId="85" fillId="0" borderId="0" xfId="0" applyFont="1" applyAlignment="1">
      <alignment horizontal="left"/>
    </xf>
    <xf numFmtId="10" fontId="85" fillId="0" borderId="0" xfId="1" applyNumberFormat="1" applyFont="1" applyFill="1"/>
    <xf numFmtId="10" fontId="84" fillId="0" borderId="0" xfId="1" applyNumberFormat="1" applyFont="1"/>
    <xf numFmtId="172" fontId="85" fillId="8" borderId="2" xfId="1" applyNumberFormat="1" applyFont="1" applyFill="1" applyBorder="1" applyAlignment="1">
      <alignment horizontal="left"/>
    </xf>
    <xf numFmtId="172" fontId="85" fillId="8" borderId="2" xfId="1" applyNumberFormat="1" applyFont="1" applyFill="1" applyBorder="1"/>
    <xf numFmtId="10" fontId="85" fillId="8" borderId="2" xfId="1" applyNumberFormat="1" applyFont="1" applyFill="1" applyBorder="1"/>
    <xf numFmtId="10" fontId="85" fillId="8" borderId="2" xfId="1" applyNumberFormat="1" applyFont="1" applyFill="1" applyBorder="1" applyAlignment="1">
      <alignment horizontal="center"/>
    </xf>
    <xf numFmtId="10" fontId="85" fillId="8" borderId="0" xfId="1" applyNumberFormat="1" applyFont="1" applyFill="1" applyBorder="1"/>
    <xf numFmtId="172" fontId="84" fillId="0" borderId="0" xfId="1" applyNumberFormat="1" applyFont="1" applyFill="1" applyAlignment="1">
      <alignment horizontal="left"/>
    </xf>
    <xf numFmtId="170" fontId="84" fillId="0" borderId="0" xfId="0" applyNumberFormat="1" applyFont="1" applyAlignment="1">
      <alignment wrapText="1"/>
    </xf>
    <xf numFmtId="172" fontId="85" fillId="3" borderId="0" xfId="1" applyNumberFormat="1" applyFont="1" applyFill="1" applyAlignment="1">
      <alignment horizontal="left"/>
    </xf>
    <xf numFmtId="172" fontId="85" fillId="3" borderId="0" xfId="1" applyNumberFormat="1" applyFont="1" applyFill="1"/>
    <xf numFmtId="170" fontId="85" fillId="3" borderId="0" xfId="0" applyNumberFormat="1" applyFont="1" applyFill="1" applyAlignment="1">
      <alignment wrapText="1"/>
    </xf>
    <xf numFmtId="10" fontId="85" fillId="3" borderId="0" xfId="1" applyNumberFormat="1" applyFont="1" applyFill="1"/>
    <xf numFmtId="10" fontId="85" fillId="0" borderId="0" xfId="1" applyNumberFormat="1" applyFont="1"/>
    <xf numFmtId="0" fontId="85" fillId="0" borderId="0" xfId="0" applyFont="1"/>
    <xf numFmtId="169" fontId="85" fillId="0" borderId="0" xfId="0" applyNumberFormat="1" applyFont="1"/>
    <xf numFmtId="172" fontId="85" fillId="0" borderId="0" xfId="1" applyNumberFormat="1" applyFont="1" applyFill="1" applyAlignment="1">
      <alignment horizontal="left"/>
    </xf>
    <xf numFmtId="172" fontId="85" fillId="0" borderId="0" xfId="1" applyNumberFormat="1" applyFont="1" applyFill="1"/>
    <xf numFmtId="168" fontId="85" fillId="0" borderId="0" xfId="190" applyNumberFormat="1" applyFont="1" applyFill="1"/>
    <xf numFmtId="172" fontId="85" fillId="0" borderId="4" xfId="1" applyNumberFormat="1" applyFont="1" applyFill="1" applyBorder="1" applyAlignment="1">
      <alignment horizontal="left"/>
    </xf>
    <xf numFmtId="172" fontId="85" fillId="0" borderId="4" xfId="1" applyNumberFormat="1" applyFont="1" applyFill="1" applyBorder="1"/>
    <xf numFmtId="168" fontId="85" fillId="0" borderId="4" xfId="190" applyNumberFormat="1" applyFont="1" applyFill="1" applyBorder="1"/>
    <xf numFmtId="10" fontId="85" fillId="0" borderId="4" xfId="1" applyNumberFormat="1" applyFont="1" applyFill="1" applyBorder="1"/>
    <xf numFmtId="10" fontId="85" fillId="0" borderId="0" xfId="1" applyNumberFormat="1" applyFont="1" applyFill="1" applyBorder="1"/>
    <xf numFmtId="14" fontId="85" fillId="0" borderId="0" xfId="0" applyNumberFormat="1" applyFont="1" applyAlignment="1">
      <alignment horizontal="left"/>
    </xf>
    <xf numFmtId="172" fontId="84" fillId="0" borderId="0" xfId="0" applyNumberFormat="1" applyFont="1" applyAlignment="1">
      <alignment horizontal="center" vertical="center" wrapText="1"/>
    </xf>
    <xf numFmtId="10" fontId="84" fillId="0" borderId="0" xfId="0" applyNumberFormat="1" applyFont="1"/>
    <xf numFmtId="0" fontId="86" fillId="0" borderId="0" xfId="0" applyFont="1"/>
    <xf numFmtId="169" fontId="85" fillId="0" borderId="0" xfId="190" applyNumberFormat="1" applyFont="1"/>
    <xf numFmtId="170" fontId="85" fillId="2" borderId="0" xfId="190" applyNumberFormat="1" applyFont="1" applyFill="1"/>
    <xf numFmtId="168" fontId="84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8" fillId="0" borderId="0" xfId="0" applyFont="1"/>
    <xf numFmtId="14" fontId="87" fillId="0" borderId="0" xfId="0" applyNumberFormat="1" applyFont="1"/>
    <xf numFmtId="0" fontId="87" fillId="0" borderId="0" xfId="0" applyFont="1"/>
    <xf numFmtId="3" fontId="87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5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5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1" fillId="0" borderId="0" xfId="0" applyFont="1" applyAlignment="1">
      <alignment horizontal="center"/>
    </xf>
    <xf numFmtId="170" fontId="0" fillId="3" borderId="0" xfId="190" applyNumberFormat="1" applyFont="1" applyFill="1"/>
    <xf numFmtId="10" fontId="84" fillId="0" borderId="0" xfId="0" applyNumberFormat="1" applyFont="1" applyAlignment="1">
      <alignment horizontal="center" vertical="center" wrapText="1"/>
    </xf>
    <xf numFmtId="0" fontId="84" fillId="0" borderId="0" xfId="0" applyFont="1" applyAlignment="1">
      <alignment horizontal="center" vertical="center" wrapText="1"/>
    </xf>
    <xf numFmtId="10" fontId="84" fillId="0" borderId="0" xfId="1" applyNumberFormat="1" applyFont="1" applyAlignment="1">
      <alignment horizontal="center" vertical="center" wrapText="1"/>
    </xf>
    <xf numFmtId="170" fontId="85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1" fillId="0" borderId="0" xfId="0" applyNumberFormat="1" applyFont="1"/>
    <xf numFmtId="172" fontId="89" fillId="0" borderId="0" xfId="0" applyNumberFormat="1" applyFont="1"/>
    <xf numFmtId="10" fontId="89" fillId="0" borderId="0" xfId="0" applyNumberFormat="1" applyFont="1"/>
    <xf numFmtId="0" fontId="89" fillId="0" borderId="0" xfId="0" applyFont="1" applyAlignment="1">
      <alignment horizontal="left" indent="1"/>
    </xf>
    <xf numFmtId="170" fontId="89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5" fillId="0" borderId="40" xfId="0" applyFont="1" applyBorder="1" applyAlignment="1">
      <alignment horizontal="left"/>
    </xf>
    <xf numFmtId="172" fontId="85" fillId="0" borderId="40" xfId="0" applyNumberFormat="1" applyFont="1" applyBorder="1"/>
    <xf numFmtId="170" fontId="85" fillId="0" borderId="40" xfId="0" applyNumberFormat="1" applyFont="1" applyBorder="1"/>
    <xf numFmtId="10" fontId="85" fillId="0" borderId="40" xfId="0" applyNumberFormat="1" applyFont="1" applyBorder="1"/>
    <xf numFmtId="0" fontId="85" fillId="84" borderId="41" xfId="0" applyFont="1" applyFill="1" applyBorder="1" applyAlignment="1">
      <alignment horizontal="left"/>
    </xf>
    <xf numFmtId="172" fontId="85" fillId="84" borderId="41" xfId="0" applyNumberFormat="1" applyFont="1" applyFill="1" applyBorder="1"/>
    <xf numFmtId="170" fontId="85" fillId="84" borderId="41" xfId="0" applyNumberFormat="1" applyFont="1" applyFill="1" applyBorder="1"/>
    <xf numFmtId="10" fontId="85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9" fillId="0" borderId="0" xfId="0" applyNumberFormat="1" applyFont="1"/>
    <xf numFmtId="2" fontId="91" fillId="0" borderId="0" xfId="0" applyNumberFormat="1" applyFont="1"/>
    <xf numFmtId="172" fontId="91" fillId="0" borderId="0" xfId="4420" applyNumberFormat="1" applyFont="1"/>
    <xf numFmtId="168" fontId="0" fillId="0" borderId="0" xfId="4419" applyNumberFormat="1" applyFont="1"/>
    <xf numFmtId="0" fontId="99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3" fillId="2" borderId="0" xfId="190" applyNumberFormat="1" applyFont="1" applyFill="1"/>
    <xf numFmtId="43" fontId="83" fillId="11" borderId="0" xfId="190" applyNumberFormat="1" applyFont="1" applyFill="1"/>
    <xf numFmtId="3" fontId="83" fillId="2" borderId="0" xfId="190" applyNumberFormat="1" applyFont="1" applyFill="1"/>
    <xf numFmtId="3" fontId="0" fillId="0" borderId="0" xfId="0" applyNumberFormat="1"/>
    <xf numFmtId="4" fontId="83" fillId="4" borderId="0" xfId="190" applyFont="1" applyFill="1"/>
    <xf numFmtId="4" fontId="83" fillId="0" borderId="0" xfId="190" applyFont="1" applyFill="1"/>
    <xf numFmtId="4" fontId="83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5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3" fillId="92" borderId="18" xfId="190" applyFont="1" applyFill="1" applyBorder="1" applyAlignment="1">
      <alignment horizontal="center"/>
    </xf>
    <xf numFmtId="2" fontId="13" fillId="92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6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57" xfId="1" applyNumberFormat="1" applyFont="1" applyFill="1" applyBorder="1"/>
    <xf numFmtId="43" fontId="0" fillId="0" borderId="58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57" xfId="190" applyNumberFormat="1" applyFont="1" applyFill="1" applyBorder="1"/>
    <xf numFmtId="196" fontId="0" fillId="0" borderId="7" xfId="1" applyNumberFormat="1" applyFont="1" applyFill="1" applyBorder="1"/>
    <xf numFmtId="170" fontId="0" fillId="0" borderId="57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right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166" fontId="0" fillId="0" borderId="4" xfId="0" applyNumberFormat="1" applyBorder="1" applyAlignment="1">
      <alignment horizontal="right"/>
    </xf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0" fontId="0" fillId="82" borderId="0" xfId="0" applyFill="1"/>
    <xf numFmtId="172" fontId="0" fillId="82" borderId="0" xfId="1" applyNumberFormat="1" applyFont="1" applyFill="1"/>
    <xf numFmtId="3" fontId="0" fillId="82" borderId="0" xfId="190" applyNumberFormat="1" applyFont="1" applyFill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195" fontId="0" fillId="82" borderId="0" xfId="0" applyNumberFormat="1" applyFill="1"/>
    <xf numFmtId="0" fontId="0" fillId="82" borderId="0" xfId="0" applyFill="1" applyAlignment="1">
      <alignment horizontal="center"/>
    </xf>
    <xf numFmtId="10" fontId="0" fillId="82" borderId="0" xfId="1" applyNumberFormat="1" applyFont="1" applyFill="1" applyBorder="1"/>
    <xf numFmtId="170" fontId="0" fillId="82" borderId="0" xfId="190" applyNumberFormat="1" applyFont="1" applyFill="1" applyBorder="1"/>
    <xf numFmtId="4" fontId="0" fillId="82" borderId="0" xfId="190" applyFont="1" applyFill="1"/>
    <xf numFmtId="3" fontId="0" fillId="82" borderId="0" xfId="190" applyNumberFormat="1" applyFont="1" applyFill="1" applyAlignment="1">
      <alignment horizontal="center"/>
    </xf>
    <xf numFmtId="166" fontId="0" fillId="82" borderId="0" xfId="0" applyNumberFormat="1" applyFill="1"/>
    <xf numFmtId="170" fontId="0" fillId="82" borderId="0" xfId="1" applyNumberFormat="1" applyFont="1" applyFill="1"/>
    <xf numFmtId="173" fontId="0" fillId="82" borderId="0" xfId="1" applyNumberFormat="1" applyFont="1" applyFill="1"/>
    <xf numFmtId="170" fontId="0" fillId="82" borderId="1" xfId="190" applyNumberFormat="1" applyFont="1" applyFill="1" applyBorder="1"/>
    <xf numFmtId="168" fontId="0" fillId="82" borderId="0" xfId="190" applyNumberFormat="1" applyFont="1" applyFill="1"/>
    <xf numFmtId="10" fontId="0" fillId="82" borderId="1" xfId="1" applyNumberFormat="1" applyFont="1" applyFill="1" applyBorder="1"/>
    <xf numFmtId="196" fontId="0" fillId="82" borderId="0" xfId="1" applyNumberFormat="1" applyFont="1" applyFill="1"/>
    <xf numFmtId="166" fontId="0" fillId="82" borderId="0" xfId="0" applyNumberFormat="1" applyFill="1" applyAlignment="1">
      <alignment horizontal="right"/>
    </xf>
    <xf numFmtId="166" fontId="0" fillId="82" borderId="1" xfId="190" applyNumberFormat="1" applyFont="1" applyFill="1" applyBorder="1"/>
    <xf numFmtId="43" fontId="0" fillId="82" borderId="19" xfId="190" applyNumberFormat="1" applyFont="1" applyFill="1" applyBorder="1" applyAlignment="1">
      <alignment horizontal="right"/>
    </xf>
    <xf numFmtId="43" fontId="0" fillId="82" borderId="0" xfId="190" applyNumberFormat="1" applyFont="1" applyFill="1"/>
    <xf numFmtId="166" fontId="0" fillId="82" borderId="0" xfId="190" applyNumberFormat="1" applyFont="1" applyFill="1"/>
    <xf numFmtId="172" fontId="0" fillId="0" borderId="54" xfId="1" applyNumberFormat="1" applyFont="1" applyFill="1" applyBorder="1"/>
    <xf numFmtId="166" fontId="0" fillId="0" borderId="56" xfId="190" applyNumberFormat="1" applyFont="1" applyFill="1" applyBorder="1"/>
    <xf numFmtId="43" fontId="0" fillId="0" borderId="56" xfId="190" applyNumberFormat="1" applyFont="1" applyFill="1" applyBorder="1"/>
    <xf numFmtId="10" fontId="0" fillId="0" borderId="59" xfId="1" applyNumberFormat="1" applyFont="1" applyFill="1" applyBorder="1"/>
    <xf numFmtId="43" fontId="0" fillId="0" borderId="60" xfId="190" applyNumberFormat="1" applyFont="1" applyFill="1" applyBorder="1" applyAlignment="1">
      <alignment horizontal="right"/>
    </xf>
    <xf numFmtId="168" fontId="0" fillId="0" borderId="56" xfId="190" applyNumberFormat="1" applyFont="1" applyFill="1" applyBorder="1"/>
    <xf numFmtId="166" fontId="0" fillId="0" borderId="59" xfId="190" applyNumberFormat="1" applyFont="1" applyFill="1" applyBorder="1"/>
    <xf numFmtId="196" fontId="0" fillId="0" borderId="56" xfId="1" applyNumberFormat="1" applyFont="1" applyFill="1" applyBorder="1"/>
    <xf numFmtId="170" fontId="0" fillId="0" borderId="59" xfId="190" applyNumberFormat="1" applyFont="1" applyFill="1" applyBorder="1"/>
    <xf numFmtId="10" fontId="0" fillId="0" borderId="56" xfId="1" applyNumberFormat="1" applyFont="1" applyFill="1" applyBorder="1"/>
    <xf numFmtId="173" fontId="0" fillId="0" borderId="56" xfId="1" applyNumberFormat="1" applyFont="1" applyFill="1" applyBorder="1"/>
    <xf numFmtId="170" fontId="0" fillId="0" borderId="55" xfId="190" applyNumberFormat="1" applyFont="1" applyFill="1" applyBorder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0" fontId="0" fillId="0" borderId="56" xfId="0" applyBorder="1"/>
    <xf numFmtId="0" fontId="0" fillId="0" borderId="56" xfId="0" applyBorder="1" applyAlignment="1">
      <alignment horizontal="center"/>
    </xf>
    <xf numFmtId="166" fontId="0" fillId="0" borderId="56" xfId="0" applyNumberFormat="1" applyBorder="1" applyAlignment="1">
      <alignment horizontal="right"/>
    </xf>
    <xf numFmtId="166" fontId="0" fillId="0" borderId="56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66" fontId="0" fillId="10" borderId="0" xfId="0" applyNumberFormat="1" applyFill="1" applyAlignment="1">
      <alignment horizontal="right"/>
    </xf>
    <xf numFmtId="10" fontId="0" fillId="10" borderId="1" xfId="1" applyNumberFormat="1" applyFont="1" applyFill="1" applyBorder="1"/>
    <xf numFmtId="166" fontId="0" fillId="10" borderId="1" xfId="190" applyNumberFormat="1" applyFont="1" applyFill="1" applyBorder="1"/>
    <xf numFmtId="196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173" fontId="0" fillId="10" borderId="0" xfId="1" applyNumberFormat="1" applyFon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5" fontId="0" fillId="10" borderId="0" xfId="0" applyNumberFormat="1" applyFill="1"/>
    <xf numFmtId="169" fontId="0" fillId="3" borderId="0" xfId="190" applyNumberFormat="1" applyFont="1" applyFill="1"/>
    <xf numFmtId="171" fontId="0" fillId="3" borderId="0" xfId="190" applyNumberFormat="1" applyFont="1" applyFill="1"/>
    <xf numFmtId="43" fontId="0" fillId="3" borderId="0" xfId="190" quotePrefix="1" applyNumberFormat="1" applyFont="1" applyFill="1"/>
    <xf numFmtId="10" fontId="0" fillId="3" borderId="0" xfId="1" applyNumberFormat="1" applyFont="1" applyFill="1"/>
    <xf numFmtId="2" fontId="0" fillId="3" borderId="0" xfId="0" applyNumberFormat="1" applyFill="1"/>
    <xf numFmtId="4" fontId="0" fillId="3" borderId="0" xfId="190" applyFont="1" applyFill="1"/>
    <xf numFmtId="194" fontId="0" fillId="3" borderId="0" xfId="190" applyNumberFormat="1" applyFont="1" applyFill="1"/>
    <xf numFmtId="167" fontId="0" fillId="3" borderId="0" xfId="190" applyNumberFormat="1" applyFont="1" applyFill="1"/>
    <xf numFmtId="4" fontId="1" fillId="3" borderId="0" xfId="190" applyFont="1" applyFill="1" applyAlignment="1">
      <alignment horizontal="right"/>
    </xf>
    <xf numFmtId="170" fontId="1" fillId="3" borderId="0" xfId="190" applyNumberFormat="1" applyFont="1" applyFill="1"/>
    <xf numFmtId="172" fontId="0" fillId="3" borderId="0" xfId="1" applyNumberFormat="1" applyFont="1" applyFill="1"/>
    <xf numFmtId="9" fontId="0" fillId="3" borderId="0" xfId="1" applyFont="1" applyFill="1"/>
    <xf numFmtId="43" fontId="0" fillId="3" borderId="0" xfId="190" applyNumberFormat="1" applyFont="1" applyFill="1"/>
    <xf numFmtId="4" fontId="83" fillId="3" borderId="0" xfId="190" applyFont="1" applyFill="1"/>
    <xf numFmtId="166" fontId="0" fillId="3" borderId="0" xfId="190" applyNumberFormat="1" applyFont="1" applyFill="1"/>
    <xf numFmtId="4" fontId="25" fillId="3" borderId="0" xfId="190" applyFont="1" applyFill="1"/>
    <xf numFmtId="197" fontId="0" fillId="0" borderId="0" xfId="0" applyNumberFormat="1"/>
    <xf numFmtId="0" fontId="104" fillId="0" borderId="0" xfId="0" applyFont="1" applyAlignment="1">
      <alignment horizontal="center" vertical="center" wrapText="1"/>
    </xf>
    <xf numFmtId="10" fontId="104" fillId="0" borderId="0" xfId="0" applyNumberFormat="1" applyFont="1" applyAlignment="1">
      <alignment horizontal="center" vertical="center" wrapText="1"/>
    </xf>
    <xf numFmtId="170" fontId="104" fillId="0" borderId="0" xfId="0" applyNumberFormat="1" applyFont="1"/>
    <xf numFmtId="0" fontId="104" fillId="0" borderId="0" xfId="0" applyFont="1" applyAlignment="1">
      <alignment horizontal="left" indent="1"/>
    </xf>
    <xf numFmtId="10" fontId="104" fillId="0" borderId="0" xfId="0" applyNumberFormat="1" applyFont="1"/>
    <xf numFmtId="172" fontId="104" fillId="0" borderId="0" xfId="0" applyNumberFormat="1" applyFont="1"/>
    <xf numFmtId="0" fontId="104" fillId="0" borderId="0" xfId="0" applyFont="1" applyAlignment="1">
      <alignment horizontal="left"/>
    </xf>
    <xf numFmtId="170" fontId="105" fillId="0" borderId="0" xfId="0" applyNumberFormat="1" applyFont="1" applyAlignment="1">
      <alignment horizontal="center" vertical="center" wrapText="1"/>
    </xf>
    <xf numFmtId="14" fontId="13" fillId="3" borderId="0" xfId="0" applyNumberFormat="1" applyFont="1" applyFill="1" applyAlignment="1">
      <alignment horizontal="center"/>
    </xf>
    <xf numFmtId="0" fontId="3" fillId="91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0" fillId="85" borderId="0" xfId="0" applyFont="1" applyFill="1" applyAlignment="1">
      <alignment horizontal="center"/>
    </xf>
    <xf numFmtId="0" fontId="3" fillId="89" borderId="46" xfId="0" applyFont="1" applyFill="1" applyBorder="1" applyAlignment="1">
      <alignment horizontal="left"/>
    </xf>
    <xf numFmtId="0" fontId="3" fillId="90" borderId="47" xfId="0" applyFont="1" applyFill="1" applyBorder="1" applyAlignment="1">
      <alignment horizontal="center"/>
    </xf>
    <xf numFmtId="0" fontId="3" fillId="90" borderId="48" xfId="0" applyFont="1" applyFill="1" applyBorder="1" applyAlignment="1">
      <alignment horizontal="center"/>
    </xf>
    <xf numFmtId="0" fontId="3" fillId="90" borderId="49" xfId="0" applyFont="1" applyFill="1" applyBorder="1" applyAlignment="1">
      <alignment horizontal="center"/>
    </xf>
    <xf numFmtId="0" fontId="3" fillId="90" borderId="50" xfId="0" applyFont="1" applyFill="1" applyBorder="1" applyAlignment="1">
      <alignment horizontal="center"/>
    </xf>
    <xf numFmtId="0" fontId="3" fillId="90" borderId="51" xfId="0" applyFont="1" applyFill="1" applyBorder="1" applyAlignment="1">
      <alignment horizontal="center"/>
    </xf>
    <xf numFmtId="0" fontId="3" fillId="90" borderId="52" xfId="0" applyFont="1" applyFill="1" applyBorder="1" applyAlignment="1">
      <alignment horizontal="center"/>
    </xf>
    <xf numFmtId="0" fontId="3" fillId="90" borderId="53" xfId="0" applyFont="1" applyFill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3" fillId="0" borderId="19" xfId="0" applyFont="1" applyBorder="1" applyAlignment="1">
      <alignment horizontal="center"/>
    </xf>
    <xf numFmtId="2" fontId="13" fillId="92" borderId="0" xfId="0" applyNumberFormat="1" applyFont="1" applyFill="1" applyAlignment="1">
      <alignment horizontal="center"/>
    </xf>
    <xf numFmtId="2" fontId="13" fillId="92" borderId="1" xfId="0" applyNumberFormat="1" applyFont="1" applyFill="1" applyBorder="1" applyAlignment="1">
      <alignment horizontal="center"/>
    </xf>
    <xf numFmtId="182" fontId="13" fillId="92" borderId="0" xfId="0" applyNumberFormat="1" applyFont="1" applyFill="1" applyAlignment="1">
      <alignment horizontal="center"/>
    </xf>
    <xf numFmtId="0" fontId="25" fillId="0" borderId="0" xfId="0" applyFont="1"/>
    <xf numFmtId="0" fontId="13" fillId="2" borderId="0" xfId="0" applyFont="1" applyFill="1" applyAlignment="1">
      <alignment horizontal="center"/>
    </xf>
    <xf numFmtId="2" fontId="13" fillId="2" borderId="18" xfId="0" applyNumberFormat="1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0" fontId="13" fillId="12" borderId="0" xfId="0" applyFont="1" applyFill="1" applyAlignment="1">
      <alignment horizontal="center"/>
    </xf>
    <xf numFmtId="0" fontId="83" fillId="0" borderId="0" xfId="0" applyFont="1"/>
    <xf numFmtId="0" fontId="13" fillId="8" borderId="0" xfId="0" applyFont="1" applyFill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03" fillId="2" borderId="0" xfId="0" applyFont="1" applyFill="1" applyAlignment="1">
      <alignment horizontal="center"/>
    </xf>
    <xf numFmtId="0" fontId="103" fillId="0" borderId="0" xfId="0" applyFont="1" applyAlignment="1">
      <alignment horizontal="center"/>
    </xf>
    <xf numFmtId="2" fontId="103" fillId="2" borderId="18" xfId="0" applyNumberFormat="1" applyFont="1" applyFill="1" applyBorder="1" applyAlignment="1">
      <alignment horizontal="center"/>
    </xf>
    <xf numFmtId="2" fontId="103" fillId="2" borderId="1" xfId="0" applyNumberFormat="1" applyFont="1" applyFill="1" applyBorder="1" applyAlignment="1">
      <alignment horizontal="center"/>
    </xf>
    <xf numFmtId="14" fontId="103" fillId="3" borderId="0" xfId="0" applyNumberFormat="1" applyFont="1" applyFill="1" applyAlignment="1">
      <alignment horizontal="center"/>
    </xf>
    <xf numFmtId="0" fontId="103" fillId="0" borderId="19" xfId="0" applyFont="1" applyBorder="1" applyAlignment="1">
      <alignment horizontal="center"/>
    </xf>
    <xf numFmtId="14" fontId="10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0" fontId="83" fillId="0" borderId="0" xfId="0" applyFont="1" applyAlignment="1">
      <alignment horizontal="center"/>
    </xf>
    <xf numFmtId="0" fontId="3" fillId="89" borderId="49" xfId="0" applyFont="1" applyFill="1" applyBorder="1" applyAlignment="1">
      <alignment horizontal="center"/>
    </xf>
    <xf numFmtId="0" fontId="13" fillId="0" borderId="0" xfId="0" quotePrefix="1" applyFont="1"/>
    <xf numFmtId="0" fontId="103" fillId="0" borderId="0" xfId="0" quotePrefix="1" applyFont="1"/>
  </cellXfs>
  <cellStyles count="2100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6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P&amp;L'!$B$12:$B$44</c:f>
              <c:strCache>
                <c:ptCount val="33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NQA</c:v>
                </c:pt>
                <c:pt idx="5">
                  <c:v>GOOG</c:v>
                </c:pt>
                <c:pt idx="6">
                  <c:v>META</c:v>
                </c:pt>
                <c:pt idx="7">
                  <c:v>AMZN</c:v>
                </c:pt>
                <c:pt idx="8">
                  <c:v>NFLX</c:v>
                </c:pt>
                <c:pt idx="9">
                  <c:v>EWY</c:v>
                </c:pt>
                <c:pt idx="10">
                  <c:v>000660 KS</c:v>
                </c:pt>
                <c:pt idx="11">
                  <c:v>402340 KS</c:v>
                </c:pt>
                <c:pt idx="12">
                  <c:v>005930 KS</c:v>
                </c:pt>
                <c:pt idx="13">
                  <c:v>005935 KS</c:v>
                </c:pt>
                <c:pt idx="14">
                  <c:v>2330 TT</c:v>
                </c:pt>
                <c:pt idx="15">
                  <c:v>TSM</c:v>
                </c:pt>
                <c:pt idx="16">
                  <c:v>AVGO</c:v>
                </c:pt>
                <c:pt idx="17">
                  <c:v>INTC</c:v>
                </c:pt>
                <c:pt idx="18">
                  <c:v>NVDA</c:v>
                </c:pt>
                <c:pt idx="19">
                  <c:v>MRVL</c:v>
                </c:pt>
                <c:pt idx="20">
                  <c:v>LITE</c:v>
                </c:pt>
                <c:pt idx="21">
                  <c:v>AKAM</c:v>
                </c:pt>
                <c:pt idx="22">
                  <c:v>CSCO</c:v>
                </c:pt>
                <c:pt idx="23">
                  <c:v>RIOT</c:v>
                </c:pt>
                <c:pt idx="24">
                  <c:v>AGX</c:v>
                </c:pt>
                <c:pt idx="25">
                  <c:v>GEV</c:v>
                </c:pt>
                <c:pt idx="26">
                  <c:v>ENR GY</c:v>
                </c:pt>
                <c:pt idx="27">
                  <c:v>WMB</c:v>
                </c:pt>
                <c:pt idx="28">
                  <c:v>GDX</c:v>
                </c:pt>
                <c:pt idx="29">
                  <c:v>XLF</c:v>
                </c:pt>
                <c:pt idx="30">
                  <c:v>KBWB</c:v>
                </c:pt>
                <c:pt idx="31">
                  <c:v>KHC</c:v>
                </c:pt>
                <c:pt idx="32">
                  <c:v>XLP</c:v>
                </c:pt>
              </c:strCache>
            </c:strRef>
          </c:cat>
          <c:val>
            <c:numRef>
              <c:f>'Master P&amp;L'!$J$12:$J$44</c:f>
              <c:numCache>
                <c:formatCode>0.00%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68037</xdr:colOff>
      <xdr:row>51</xdr:row>
      <xdr:rowOff>151243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12</xdr:col>
      <xdr:colOff>620525</xdr:colOff>
      <xdr:row>11</xdr:row>
      <xdr:rowOff>42723</xdr:rowOff>
    </xdr:from>
    <xdr:to>
      <xdr:col>18</xdr:col>
      <xdr:colOff>734456</xdr:colOff>
      <xdr:row>50</xdr:row>
      <xdr:rowOff>154782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1088" y="2293004"/>
          <a:ext cx="4126337" cy="83988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65.769328125003" createdVersion="8" refreshedVersion="8" minRefreshableVersion="3" recordCount="43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AKAM"/>
        <s v="CSCO"/>
        <s v="RIOT"/>
        <s v="AGX"/>
        <s v="GEV"/>
        <s v="ENR GY"/>
        <s v="WMB"/>
        <s v="GDX"/>
        <s v="XLF"/>
        <s v="KBWB"/>
        <s v="KHC"/>
        <s v="XLP"/>
        <s v="MU" u="1"/>
        <s v="COHR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53300"/>
    </cacheField>
    <cacheField name="Price Today" numFmtId="43">
      <sharedItems containsSemiMixedTypes="0" containsString="0" containsNumber="1" minValue="14.2" maxValue="894000"/>
    </cacheField>
    <cacheField name="% Chg" numFmtId="10">
      <sharedItems containsString="0" containsBlank="1" containsNumber="1" minValue="-0.1232172083235914" maxValue="0.14653660675142488"/>
    </cacheField>
    <cacheField name="Price Yest" numFmtId="43">
      <sharedItems containsSemiMixedTypes="0" containsString="0" containsNumber="1" minValue="14.8" maxValue="860000"/>
    </cacheField>
    <cacheField name="FX" numFmtId="0">
      <sharedItems containsSemiMixedTypes="0" containsString="0" containsNumber="1" minValue="0.84238901524724119" maxValue="1439.1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7443600" maxValue="7706975.3799999999"/>
    </cacheField>
    <cacheField name="D1 Exp %" numFmtId="196">
      <sharedItems containsString="0" containsBlank="1" containsNumber="1" minValue="-2.9487072574596266E-3" maxValue="3.0530407646929799E-3"/>
    </cacheField>
    <cacheField name="D1 P&amp;L bps" numFmtId="170">
      <sharedItems containsSemiMixedTypes="0" containsString="0" containsNumber="1" minValue="-1.1050806125030352" maxValue="0.56628204424452366"/>
    </cacheField>
    <cacheField name="Options Exp USD (delta adj)" numFmtId="166">
      <sharedItems containsString="0" containsBlank="1" containsNumber="1" minValue="-9863551.2616157532" maxValue="14310931.383669373"/>
    </cacheField>
    <cacheField name="Option Exp %" numFmtId="0">
      <sharedItems containsString="0" containsBlank="1" containsNumber="1" minValue="-3.9073466050636024E-3" maxValue="5.6691314998163012E-3"/>
    </cacheField>
    <cacheField name="Options P&amp;L bps" numFmtId="170">
      <sharedItems containsString="0" containsBlank="1" containsNumber="1" minValue="-0.87041848318732074" maxValue="0.62372233554599676"/>
    </cacheField>
    <cacheField name="Exp" numFmtId="166">
      <sharedItems containsSemiMixedTypes="0" containsString="0" containsNumber="1" minValue="-9863551.2616157532" maxValue="12470431.383669373"/>
    </cacheField>
    <cacheField name="Exp %" numFmtId="173">
      <sharedItems containsString="0" containsBlank="1" containsNumber="1" minValue="-3.9073466050636024E-3" maxValue="4.9400359402276012E-3"/>
    </cacheField>
    <cacheField name="P&amp;L bps" numFmtId="170">
      <sharedItems containsSemiMixedTypes="0" containsString="0" containsNumber="1" minValue="-1.5081530014633731" maxValue="0.62372233554599676"/>
    </cacheField>
    <cacheField name="xx" numFmtId="166">
      <sharedItems containsSemiMixedTypes="0" containsString="0" containsNumber="1" minValue="0.50869749657423824" maxValue="17777.18631690140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22126.279421445724"/>
    </cacheField>
    <cacheField name="Column1" numFmtId="170">
      <sharedItems containsSemiMixedTypes="0" containsString="0" containsNumber="1" minValue="-0.5211575988048287" maxValue="1.6326898680314967"/>
    </cacheField>
    <cacheField name="Expo Beta Adj" numFmtId="10">
      <sharedItems containsString="0" containsBlank="1" containsNumber="1" minValue="-3.9119798382151062E-3" maxValue="8.6366033926993015E-3"/>
    </cacheField>
    <cacheField name="Vol 10d" numFmtId="43">
      <sharedItems containsSemiMixedTypes="0" containsString="0" containsNumber="1" minValue="14.257347602829473" maxValue="147.53850576682254"/>
    </cacheField>
    <cacheField name="Beta" numFmtId="43">
      <sharedItems containsMixedTypes="1" containsNumber="1" minValue="0.36547309160232544" maxValue="2.0511934757232666"/>
    </cacheField>
    <cacheField name="Daily P&amp;L" numFmtId="166">
      <sharedItems containsSemiMixedTypes="0" containsString="0" containsNumber="1" minValue="-261966.04017970353" maxValue="134240.58215951922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6.827219000000001E-2" maxValue="4.4303769999999999E-2"/>
    </cacheField>
    <cacheField name="Column4" numFmtId="170">
      <sharedItems containsMixedTypes="1" containsNumber="1" minValue="-0.47449756916926328" maxValue="0.76116938035234893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m/>
    <s v="USD"/>
    <s v="Long"/>
    <m/>
    <n v="3678"/>
    <n v="158.72999999999999"/>
    <n v="-3.4018987341772222E-2"/>
    <n v="164.32"/>
    <n v="1"/>
    <n v="1"/>
    <n v="583808.93999999994"/>
    <n v="2.3127003846899505E-4"/>
    <n v="-8.1446450894076927E-2"/>
    <n v="0"/>
    <n v="0"/>
    <n v="0"/>
    <n v="583808.93999999994"/>
    <n v="2.3127003846899505E-4"/>
    <n v="-8.1446450894076927E-2"/>
    <n v="1590.3486782586783"/>
    <m/>
    <n v="1287.2999999999997"/>
    <n v="5.1803454237655554E-2"/>
    <n v="2.0000026986768574E-4"/>
    <n v="35.839284383290682"/>
    <n v="0.86479109525680542"/>
    <n v="-19307.373585249105"/>
    <m/>
    <s v="20/02/2026"/>
    <e v="#VALUE!"/>
    <e v="#VALUE!"/>
    <s v="12/06/2025"/>
  </r>
  <r>
    <x v="1"/>
    <x v="0"/>
    <m/>
    <s v="USD"/>
    <s v="Long"/>
    <m/>
    <n v="290"/>
    <n v="138.38"/>
    <n v="4.9382716049384268E-3"/>
    <n v="137.69999999999999"/>
    <n v="1"/>
    <n v="1"/>
    <n v="40130.199999999997"/>
    <n v="1.589717502059572E-5"/>
    <n v="7.811879617000433E-4"/>
    <m/>
    <m/>
    <m/>
    <n v="40130.199999999997"/>
    <n v="1.589717502059572E-5"/>
    <n v="7.811879617000433E-4"/>
    <n v="1824.2234838849545"/>
    <m/>
    <n v="101.49999999999999"/>
    <n v="5.0340310576993206E-3"/>
    <n v="1.652518731213446E-5"/>
    <n v="50.665918201717609"/>
    <n v="1.0395046472549438"/>
    <n v="185.18532914905532"/>
    <m/>
    <s v="26/02/2026"/>
    <e v="#VALUE!"/>
    <e v="#VALUE!"/>
    <s v="#N/A Field Not Applicable"/>
  </r>
  <r>
    <x v="1"/>
    <x v="0"/>
    <m/>
    <s v="USD"/>
    <s v="Long"/>
    <m/>
    <n v="4210"/>
    <n v="138.38"/>
    <n v="-4.6444321940463107E-2"/>
    <n v="145.12"/>
    <n v="1"/>
    <n v="1"/>
    <n v="582579.79999999993"/>
    <n v="2.3078312702313098E-4"/>
    <n v="-0.11240629253764307"/>
    <n v="0"/>
    <n v="0"/>
    <n v="0"/>
    <n v="582579.79999999993"/>
    <n v="2.3078312702313098E-4"/>
    <n v="-0.11240629253764307"/>
    <n v="1824.2234838849545"/>
    <m/>
    <n v="1473.5"/>
    <n v="7.3080243975565992E-2"/>
    <n v="2.3990013304857265E-4"/>
    <n v="50.665918201717609"/>
    <n v="1.0395046472549438"/>
    <n v="-26646.591220771086"/>
    <m/>
    <s v="26/02/2026"/>
    <e v="#VALUE!"/>
    <e v="#VALUE!"/>
    <s v="#N/A Field Not Applicable"/>
  </r>
  <r>
    <x v="2"/>
    <x v="0"/>
    <m/>
    <s v="USD"/>
    <s v="Long"/>
    <m/>
    <n v="10000"/>
    <n v="33.82"/>
    <n v="-5.5865921787708883E-3"/>
    <n v="34.01"/>
    <n v="1"/>
    <n v="1"/>
    <n v="338200"/>
    <n v="1.339745277114361E-4"/>
    <n v="-7.5266588601929493E-3"/>
    <n v="1127839.8943841457"/>
    <n v="4.4678242810240065E-4"/>
    <n v="1.7194469967468207E-2"/>
    <n v="1466039.8943841457"/>
    <n v="5.807569558138367E-4"/>
    <n v="9.6678111072752565E-3"/>
    <n v="7464.1054316972204"/>
    <m/>
    <n v="15171.909019351004"/>
    <n v="5.2517503762701034E-2"/>
    <n v="6.6170630922421803E-4"/>
    <n v="14.468704193576128"/>
    <n v="1.1393859386444092"/>
    <n v="-1784.2399867302097"/>
    <m/>
    <s v="#N/A N/A"/>
    <n v="2.078847E-3"/>
    <n v="1.2073048553227269E-2"/>
    <s v="19/12/2025"/>
  </r>
  <r>
    <x v="3"/>
    <x v="1"/>
    <m/>
    <s v="USD"/>
    <s v="Short"/>
    <m/>
    <m/>
    <n v="600.64"/>
    <n v="-2.03389277617394E-2"/>
    <n v="613.11"/>
    <n v="1"/>
    <n v="1"/>
    <n v="0"/>
    <n v="0"/>
    <n v="0"/>
    <n v="-9863551.2616157532"/>
    <n v="-3.9073466050636024E-3"/>
    <n v="0.62372233554599676"/>
    <n v="-9863551.2616157532"/>
    <n v="-3.9073466050636024E-3"/>
    <n v="0.62372233554599676"/>
    <n v="420.27844582445391"/>
    <m/>
    <n v="-5747.6074546575546"/>
    <n v="-0.5211575988048287"/>
    <n v="-3.9119798382151062E-3"/>
    <n v="21.340624274465991"/>
    <n v="1.0011857748031616"/>
    <n v="0"/>
    <m/>
    <s v="#N/A N/A"/>
    <n v="2.2345010000000003E-3"/>
    <n v="-8.7309698963612251E-2"/>
    <s v="22/12/2025"/>
  </r>
  <r>
    <x v="4"/>
    <x v="1"/>
    <m/>
    <s v="USD"/>
    <s v="Short"/>
    <m/>
    <n v="-15"/>
    <n v="24812"/>
    <n v="-1.8842556893449602E-2"/>
    <n v="25288.5"/>
    <n v="1"/>
    <n v="20"/>
    <n v="-7443600"/>
    <n v="-2.9487072574596266E-3"/>
    <n v="0.56628204424452366"/>
    <m/>
    <m/>
    <m/>
    <n v="-7443600"/>
    <n v="-2.9487072574596266E-3"/>
    <n v="0.56628204424452366"/>
    <n v="0.50869749657423824"/>
    <m/>
    <n v="-104.99999999999999"/>
    <n v="-0.41609665960300624"/>
    <m/>
    <n v="22.577848434448242"/>
    <s v="#N/A Field Not Applicable"/>
    <n v="134240.58215951922"/>
    <m/>
    <s v="#N/A Field Not Applicable"/>
    <e v="#VALUE!"/>
    <e v="#VALUE!"/>
    <s v="#N/A Field Not Applicable"/>
  </r>
  <r>
    <x v="5"/>
    <x v="2"/>
    <m/>
    <s v="USD"/>
    <s v="Long"/>
    <m/>
    <n v="2000"/>
    <n v="309.37"/>
    <n v="-6.2955706163876357E-3"/>
    <n v="311.33"/>
    <n v="1"/>
    <n v="1"/>
    <n v="618740"/>
    <n v="2.4510762648188638E-4"/>
    <n v="-1.5528685648398108E-2"/>
    <n v="0"/>
    <n v="0"/>
    <n v="0"/>
    <n v="618740"/>
    <n v="2.4510762648188638E-4"/>
    <n v="-1.5528685648398108E-2"/>
    <n v="815.96808255486951"/>
    <m/>
    <n v="699.99999999999989"/>
    <n v="3.5556671436558752E-2"/>
    <n v="2.5137825116674448E-4"/>
    <n v="23.210487211297874"/>
    <n v="1.0255831480026245"/>
    <n v="-3681.1688147275963"/>
    <m/>
    <s v="24/04/2026"/>
    <n v="3.5011940000000004E-3"/>
    <n v="8.581693511926218E-3"/>
    <s v="09/03/2026"/>
  </r>
  <r>
    <x v="6"/>
    <x v="2"/>
    <m/>
    <s v="USD"/>
    <s v="Long"/>
    <m/>
    <n v="8100"/>
    <n v="649.80999999999995"/>
    <n v="-2.8234308872571945E-2"/>
    <n v="668.69"/>
    <n v="1"/>
    <n v="1"/>
    <n v="5263461"/>
    <n v="2.0850671247858166E-3"/>
    <n v="-0.60580888745874084"/>
    <n v="3570396.5836909409"/>
    <n v="1.4143766884758093E-3"/>
    <n v="-0.39732835983019044"/>
    <n v="8833857.5836909413"/>
    <n v="3.4994438132616261E-3"/>
    <n v="-1.0031372472889313"/>
    <n v="388.47670195903419"/>
    <m/>
    <n v="4758.0833694338799"/>
    <n v="0.61087152695069724"/>
    <n v="4.1651810137669359E-3"/>
    <n v="27.929993886946956"/>
    <n v="1.1902408599853516"/>
    <n v="-143610.65931088544"/>
    <m/>
    <s v="30/04/2026"/>
    <e v="#VALUE!"/>
    <e v="#VALUE!"/>
    <s v="16/03/2026"/>
  </r>
  <r>
    <x v="7"/>
    <x v="2"/>
    <m/>
    <s v="USD"/>
    <s v="Short"/>
    <m/>
    <m/>
    <n v="199.6"/>
    <n v="-2.1952175617405034E-2"/>
    <n v="204.08"/>
    <n v="1"/>
    <n v="1"/>
    <n v="0"/>
    <n v="0"/>
    <n v="0"/>
    <n v="55020.934581756592"/>
    <n v="2.1795989724519992E-5"/>
    <n v="-4.1000483791051562E-2"/>
    <n v="55020.934581756592"/>
    <n v="2.1795989724519992E-5"/>
    <n v="-4.1000483791051562E-2"/>
    <n v="1264.7096477955911"/>
    <m/>
    <n v="96.479594707488999"/>
    <n v="4.6587783125361807E-3"/>
    <n v="2.778902115038421E-5"/>
    <n v="34.199159543887369"/>
    <n v="1.2749602794647217"/>
    <n v="0"/>
    <m/>
    <s v="01/05/2026"/>
    <n v="-2.3030239999999999E-3"/>
    <n v="-5.0196687439322933E-4"/>
    <s v="#N/A Field Not Applicable"/>
  </r>
  <r>
    <x v="8"/>
    <x v="2"/>
    <m/>
    <s v="USD"/>
    <s v="Short"/>
    <m/>
    <m/>
    <n v="75.86"/>
    <n v="-4.7224315498618497E-2"/>
    <n v="79.62"/>
    <n v="1"/>
    <n v="1"/>
    <n v="0"/>
    <n v="0"/>
    <n v="0"/>
    <n v="-353341.87600016594"/>
    <n v="-1.3997282956178313E-4"/>
    <n v="-4.5952233041178556E-2"/>
    <n v="-353341.87600016594"/>
    <n v="-1.3997282956178313E-4"/>
    <n v="-4.5952233041178556E-2"/>
    <n v="3327.6568112312152"/>
    <m/>
    <n v="-1630.2353888750076"/>
    <n v="-3.2074961735580491E-2"/>
    <n v="-1.5539815906238835E-4"/>
    <n v="36.664214717668827"/>
    <n v="1.1102023124694824"/>
    <n v="0"/>
    <m/>
    <s v="17/04/2026"/>
    <n v="-7.1590010000000008E-3"/>
    <n v="1.0020656268056351E-2"/>
    <s v="#N/A Field Not Applicable"/>
  </r>
  <r>
    <x v="9"/>
    <x v="3"/>
    <m/>
    <s v="USD"/>
    <s v="Long"/>
    <m/>
    <n v="30496"/>
    <n v="130.80000000000001"/>
    <n v="1.5313935681471325E-3"/>
    <n v="130.6"/>
    <n v="1"/>
    <n v="1"/>
    <n v="3988876.8000000003"/>
    <n v="1.5801534162599191E-3"/>
    <n v="2.4161367221101737E-2"/>
    <n v="0"/>
    <n v="0"/>
    <n v="0"/>
    <n v="3988876.8000000003"/>
    <n v="1.5801534162599191E-3"/>
    <n v="2.4161367221101737E-2"/>
    <n v="1929.9391873088682"/>
    <m/>
    <n v="10673.599999999999"/>
    <n v="0.41692211113281452"/>
    <n v="1.4264133531999847E-3"/>
    <n v="42.215861507385192"/>
    <n v="0.9027056097984314"/>
    <n v="5727.5981721399758"/>
    <m/>
    <s v="#N/A N/A"/>
    <n v="1.9601820000000002E-2"/>
    <n v="0.30973882837912003"/>
    <s v="16/12/2025"/>
  </r>
  <r>
    <x v="9"/>
    <x v="3"/>
    <m/>
    <s v="USD"/>
    <s v="Long"/>
    <m/>
    <n v="8000"/>
    <n v="130.80000000000001"/>
    <n v="-1.6791329568004443E-3"/>
    <n v="131.02000000000001"/>
    <n v="1"/>
    <n v="1"/>
    <n v="1046400.0000000001"/>
    <n v="4.1452083322663144E-4"/>
    <n v="-6.9720629441787788E-3"/>
    <m/>
    <m/>
    <m/>
    <n v="1046400.0000000001"/>
    <n v="4.1452083322663144E-4"/>
    <n v="-6.9720629441787788E-3"/>
    <n v="1929.9391873088682"/>
    <m/>
    <n v="2799.9999999999995"/>
    <n v="0.10937096304638368"/>
    <n v="3.7419028153200023E-4"/>
    <n v="42.215861507385192"/>
    <n v="0.9027056097984314"/>
    <n v="-1652.769671918521"/>
    <m/>
    <s v="#N/A N/A"/>
    <n v="1.9601820000000002E-2"/>
    <n v="8.1253627591584485E-2"/>
    <s v="16/12/2025"/>
  </r>
  <r>
    <x v="10"/>
    <x v="3"/>
    <m/>
    <s v="KRW"/>
    <s v="Long"/>
    <m/>
    <n v="1563"/>
    <n v="894000"/>
    <n v="3.953488372093017E-2"/>
    <n v="860000"/>
    <n v="1439.1"/>
    <n v="1"/>
    <n v="970969.35584740469"/>
    <n v="3.8463974237709457E-4"/>
    <n v="0.14628357092641178"/>
    <n v="0"/>
    <n v="0"/>
    <n v="0"/>
    <n v="970969.35584740469"/>
    <n v="3.8463974237709457E-4"/>
    <n v="0.14628357092641178"/>
    <n v="406.35426551104024"/>
    <m/>
    <n v="0.38013341671878259"/>
    <n v="0.1809964858526919"/>
    <n v="6.4934035100667879E-4"/>
    <n v="75.289770000000004"/>
    <n v="1.688178"/>
    <n v="34677.404874690663"/>
    <m/>
    <s v="23/04/2026"/>
    <e v="#VALUE!"/>
    <e v="#VALUE!"/>
    <s v="26/02/2026"/>
  </r>
  <r>
    <x v="11"/>
    <x v="3"/>
    <m/>
    <s v="KRW"/>
    <s v="Long"/>
    <m/>
    <n v="1468"/>
    <n v="569000"/>
    <n v="7.1563088512241135E-2"/>
    <n v="531000"/>
    <n v="1439.1"/>
    <n v="1"/>
    <n v="580426.65554860677"/>
    <n v="2.2993018050932286E-4"/>
    <n v="0.15355618381993444"/>
    <n v="0"/>
    <n v="0"/>
    <n v="0"/>
    <n v="580426.65554860677"/>
    <n v="2.2993018050932286E-4"/>
    <n v="0.15355618381993444"/>
    <n v="638.45468078536021"/>
    <m/>
    <n v="0.35702869849211311"/>
    <n v="0.1406999394843497"/>
    <n v="4.5817405307479038E-4"/>
    <n v="97.907939999999996"/>
    <n v="1.992666"/>
    <n v="36401.421729135975"/>
    <m/>
    <s v="11/03/2026"/>
    <e v="#VALUE!"/>
    <e v="#VALUE!"/>
    <s v="#N/A N/A"/>
  </r>
  <r>
    <x v="12"/>
    <x v="3"/>
    <m/>
    <s v="KRW"/>
    <s v="Long"/>
    <m/>
    <n v="7080"/>
    <n v="179900"/>
    <n v="7.8537170263788925E-2"/>
    <n v="166800"/>
    <n v="1439.1"/>
    <n v="1"/>
    <n v="885061.49676881393"/>
    <n v="3.5060820823530034E-4"/>
    <n v="0.25530669971553277"/>
    <n v="0"/>
    <n v="0"/>
    <n v="0"/>
    <n v="885061.49676881393"/>
    <n v="3.5060820823530034E-4"/>
    <n v="0.25530669971553277"/>
    <n v="2019.3480453967202"/>
    <m/>
    <n v="1.7219095267875755"/>
    <n v="0.18094942218255086"/>
    <n v="4.055968983985084E-4"/>
    <n v="82.576239999999999"/>
    <n v="1.156838"/>
    <n v="60521.996675281516"/>
    <m/>
    <s v="07/04/2026"/>
    <e v="#VALUE!"/>
    <e v="#VALUE!"/>
    <s v="29/12/2025"/>
  </r>
  <r>
    <x v="13"/>
    <x v="3"/>
    <m/>
    <s v="KRW"/>
    <s v="Long"/>
    <m/>
    <n v="4400"/>
    <n v="122100"/>
    <n v="5.7756447463030547E-2"/>
    <n v="115433"/>
    <n v="1439.1"/>
    <n v="1"/>
    <n v="373316.65624348552"/>
    <n v="1.4788563780908785E-4"/>
    <n v="8.0749676271350435E-2"/>
    <n v="0"/>
    <n v="0"/>
    <n v="0"/>
    <n v="373316.65624348552"/>
    <n v="1.4788563780908785E-4"/>
    <n v="8.0749676271350435E-2"/>
    <n v="2975.2720177466826"/>
    <m/>
    <n v="1.0701132652352163"/>
    <n v="7.3344464371115997E-2"/>
    <n v="1.66702754249554E-4"/>
    <n v="79.352630000000005"/>
    <n v="1.1272409999999999"/>
    <n v="19142.198948441455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448"/>
    <n v="1"/>
    <n v="1093050.4324599339"/>
    <n v="4.3300093274275761E-4"/>
    <n v="0"/>
    <n v="0"/>
    <n v="0"/>
    <n v="0"/>
    <n v="1093050.4324599339"/>
    <n v="4.3300093274275761E-4"/>
    <n v="0"/>
    <n v="4145.4876058347782"/>
    <m/>
    <n v="199.77423047570591"/>
    <n v="7.7688215475956682E-2"/>
    <n v="5.488819413661726E-4"/>
    <n v="28.706900000000001"/>
    <n v="1.2676229999999999"/>
    <n v="0"/>
    <m/>
    <s v="17/04/2026"/>
    <e v="#VALUE!"/>
    <e v="#VALUE!"/>
    <s v="17/03/2026"/>
  </r>
  <r>
    <x v="15"/>
    <x v="4"/>
    <m/>
    <s v="USD"/>
    <s v="Long"/>
    <m/>
    <n v="-5000"/>
    <n v="368.1"/>
    <n v="-1.6012189580047465E-2"/>
    <n v="374.09"/>
    <n v="1"/>
    <n v="1"/>
    <n v="-1840500"/>
    <n v="-7.2909555958869941E-4"/>
    <n v="0.11864391203304196"/>
    <n v="14310931.383669373"/>
    <n v="5.6691314998163012E-3"/>
    <n v="-0.87041848318732074"/>
    <n v="12470431.383669373"/>
    <n v="4.9400359402276012E-3"/>
    <n v="-0.75177457115427881"/>
    <n v="685.78116191252366"/>
    <m/>
    <n v="11857.242554426188"/>
    <n v="1.4460106485484652"/>
    <n v="7.1772371392254553E-3"/>
    <n v="46.834012255606169"/>
    <n v="1.4528714418411255"/>
    <n v="28125.256632931578"/>
    <m/>
    <s v="17/04/2026"/>
    <e v="#VALUE!"/>
    <e v="#VALUE!"/>
    <s v="17/03/2026"/>
  </r>
  <r>
    <x v="16"/>
    <x v="4"/>
    <m/>
    <s v="USD"/>
    <s v="Long"/>
    <m/>
    <n v="16400"/>
    <n v="331.17"/>
    <n v="-3.3813747228381263E-2"/>
    <n v="342.76"/>
    <n v="1"/>
    <n v="1"/>
    <n v="5431188"/>
    <n v="2.1515104885039007E-3"/>
    <n v="-0.75296695237371003"/>
    <n v="2021579.0405416491"/>
    <n v="8.0082819984596558E-4"/>
    <n v="-0.2911628559074676"/>
    <n v="7452767.0405416489"/>
    <n v="2.9523386883498664E-3"/>
    <n v="-1.0441298082811776"/>
    <n v="762.25517317389858"/>
    <m/>
    <n v="7876.5240335464468"/>
    <n v="1.0486536615256312"/>
    <n v="5.9843967099071169E-3"/>
    <n v="56.831076497486762"/>
    <n v="2.0270020961761475"/>
    <n v="-178495.36827249193"/>
    <m/>
    <s v="04/03/2026"/>
    <n v="4.230312E-3"/>
    <n v="0.12489313781390698"/>
    <s v="22/12/2025"/>
  </r>
  <r>
    <x v="17"/>
    <x v="4"/>
    <m/>
    <s v="USD"/>
    <s v="Long"/>
    <m/>
    <n v="-2000"/>
    <n v="46.48"/>
    <n v="-3.7481880306481696E-2"/>
    <n v="48.29"/>
    <n v="1"/>
    <n v="1"/>
    <n v="-92960"/>
    <n v="-3.6825168823344472E-5"/>
    <n v="1.434026582836781E-2"/>
    <n v="724611.15574836731"/>
    <n v="2.8704741976885088E-4"/>
    <n v="-0.13072618020335283"/>
    <n v="631651.15574836731"/>
    <n v="2.5022225094550643E-4"/>
    <n v="-0.11638591437498502"/>
    <n v="5431.0681088640276"/>
    <m/>
    <n v="4756.4093053340912"/>
    <n v="9.422944750865038E-2"/>
    <n v="3.6735900020193508E-4"/>
    <n v="60.253281010838144"/>
    <n v="1.4681308269500732"/>
    <n v="3399.4467115597076"/>
    <m/>
    <s v="24/04/2026"/>
    <e v="#VALUE!"/>
    <e v="#VALUE!"/>
    <s v="03/09/2024"/>
  </r>
  <r>
    <x v="17"/>
    <x v="4"/>
    <m/>
    <s v="USD"/>
    <s v="Long"/>
    <m/>
    <n v="1000"/>
    <n v="46.48"/>
    <n v="3.8876889848811214E-3"/>
    <n v="46.3"/>
    <n v="1"/>
    <n v="1"/>
    <n v="46480"/>
    <n v="1.8412584411672236E-5"/>
    <n v="7.1305189201828685E-4"/>
    <m/>
    <m/>
    <m/>
    <n v="46480"/>
    <n v="1.8412584411672236E-5"/>
    <n v="7.1305189201828685E-4"/>
    <n v="5431.0681088640276"/>
    <m/>
    <n v="350"/>
    <n v="6.9338663918266574E-3"/>
    <n v="2.7032082778596387E-5"/>
    <n v="60.253281010838144"/>
    <n v="1.4681308269500732"/>
    <n v="169.03326190075848"/>
    <m/>
    <s v="24/04/2026"/>
    <e v="#VALUE!"/>
    <e v="#VALUE!"/>
    <s v="03/09/2024"/>
  </r>
  <r>
    <x v="18"/>
    <x v="4"/>
    <m/>
    <s v="USD"/>
    <s v="Long"/>
    <m/>
    <n v="41227"/>
    <n v="186.94"/>
    <n v="-1.6364114706656219E-2"/>
    <n v="190.05"/>
    <n v="1"/>
    <n v="1"/>
    <n v="7706975.3799999999"/>
    <n v="3.0530407646929799E-3"/>
    <n v="-0.50791466664144691"/>
    <n v="4110986.5487001836"/>
    <n v="1.6285259647846654E-3"/>
    <n v="-0.21426219005299529"/>
    <n v="11817961.928700183"/>
    <n v="4.6815667294776448E-3"/>
    <n v="-0.7221768566944422"/>
    <n v="1350.3586482293783"/>
    <m/>
    <n v="22126.279421445724"/>
    <n v="1.6326898680314967"/>
    <n v="8.6366033926993015E-3"/>
    <n v="55.7997768653373"/>
    <n v="1.8448104858398438"/>
    <n v="-120404.2424270551"/>
    <m/>
    <s v="25/02/2026"/>
    <n v="1.625886E-2"/>
    <n v="0.76116938035234893"/>
    <s v="04/12/2025"/>
  </r>
  <r>
    <x v="18"/>
    <x v="4"/>
    <m/>
    <s v="USD"/>
    <s v="Long"/>
    <m/>
    <n v="6273"/>
    <n v="186.94"/>
    <m/>
    <n v="191.98"/>
    <n v="1"/>
    <n v="1"/>
    <n v="1172674.6199999999"/>
    <n v="4.6454325361823708E-4"/>
    <n v="-0.12524328652165997"/>
    <m/>
    <m/>
    <m/>
    <n v="1172674.6199999999"/>
    <n v="4.6454325361823708E-4"/>
    <n v="-0.12524328652165997"/>
    <n v="1350.3586482293783"/>
    <m/>
    <n v="2195.5499999999997"/>
    <n v="0.1620088118512214"/>
    <n v="8.5699426540108167E-4"/>
    <n v="55.7997768653373"/>
    <n v="1.8448104858398438"/>
    <n v="-29689.678253296821"/>
    <m/>
    <s v="25/02/2026"/>
    <n v="1.625886E-2"/>
    <n v="7.5529437245234116E-2"/>
    <s v="04/12/2025"/>
  </r>
  <r>
    <x v="18"/>
    <x v="4"/>
    <m/>
    <s v="USD"/>
    <s v="Long"/>
    <m/>
    <n v="5200"/>
    <n v="186.94"/>
    <m/>
    <n v="192.43"/>
    <n v="1"/>
    <n v="1"/>
    <n v="972088"/>
    <n v="3.8508288200459639E-4"/>
    <n v="-0.11309003007410065"/>
    <m/>
    <m/>
    <m/>
    <n v="972088"/>
    <n v="3.8508288200459639E-4"/>
    <n v="-0.11309003007410065"/>
    <n v="1350.3586482293783"/>
    <m/>
    <n v="1820"/>
    <n v="0.1342971180657343"/>
    <n v="7.1040493863950671E-4"/>
    <n v="55.7997768653373"/>
    <n v="1.8448104858398438"/>
    <n v="-26808.67533746038"/>
    <m/>
    <s v="25/02/2026"/>
    <n v="1.625886E-2"/>
    <n v="6.2610086669092513E-2"/>
    <s v="04/12/2025"/>
  </r>
  <r>
    <x v="19"/>
    <x v="4"/>
    <m/>
    <s v="USD"/>
    <s v="Short"/>
    <m/>
    <n v="-5600"/>
    <n v="78.23"/>
    <n v="-3.8234570936808487E-2"/>
    <n v="81.34"/>
    <n v="1"/>
    <n v="1"/>
    <n v="-438088"/>
    <n v="-1.7354415403917096E-4"/>
    <n v="6.8991731952169455E-2"/>
    <n v="-556210.60444191098"/>
    <n v="-2.2033723547663342E-4"/>
    <n v="8.1109652717080219E-2"/>
    <n v="-994298.60444191098"/>
    <n v="-3.9388138951580438E-4"/>
    <n v="0.15010138466924966"/>
    <n v="3226.844505944011"/>
    <m/>
    <n v="-4448.4789921343317"/>
    <n v="-0.14519998463332676"/>
    <n v="-7.8017923366397346E-4"/>
    <n v="58.982216879785085"/>
    <n v="1.9807466268539429"/>
    <n v="16354.907162575631"/>
    <m/>
    <s v="05/03/2026"/>
    <n v="9.5894570000000009E-3"/>
    <n v="-3.7771086478620576E-2"/>
    <s v="09/01/2026"/>
  </r>
  <r>
    <x v="20"/>
    <x v="5"/>
    <m/>
    <s v="USD"/>
    <s v="Long"/>
    <m/>
    <n v="3961"/>
    <n v="583.46"/>
    <n v="1.6286077580951464E-2"/>
    <n v="574.11"/>
    <n v="1"/>
    <n v="1"/>
    <n v="2311085.06"/>
    <n v="9.1551309702677698E-4"/>
    <n v="0.14671181327255314"/>
    <n v="1037266.7683392763"/>
    <n v="4.1090279538445344E-4"/>
    <n v="2.3768396400608294E-2"/>
    <n v="3348351.8283392764"/>
    <n v="1.3264158924112305E-3"/>
    <n v="0.17048020967316144"/>
    <n v="432.65355928426965"/>
    <m/>
    <n v="2008.5749493002893"/>
    <n v="0.51400383988252962"/>
    <n v="2.6754219133497711E-3"/>
    <n v="62.002132854201029"/>
    <n v="2.0170309543609619"/>
    <n v="34778.922311868228"/>
    <m/>
    <s v="06/05/2026"/>
    <e v="#VALUE!"/>
    <e v="#VALUE!"/>
    <s v="#N/A N/A"/>
  </r>
  <r>
    <x v="20"/>
    <x v="5"/>
    <m/>
    <s v="USD"/>
    <s v="Long"/>
    <m/>
    <n v="39"/>
    <n v="583.46"/>
    <m/>
    <n v="854.66"/>
    <n v="1"/>
    <n v="1"/>
    <n v="22754.940000000002"/>
    <m/>
    <n v="-4.189892917499459E-2"/>
    <m/>
    <m/>
    <m/>
    <n v="22754.940000000002"/>
    <m/>
    <n v="-4.189892917499459E-2"/>
    <n v="432.65355928426965"/>
    <m/>
    <n v="0"/>
    <n v="0"/>
    <n v="0"/>
    <n v="62.002132854201029"/>
    <n v="2.0170309543609619"/>
    <n v="-9932.3944692885798"/>
    <m/>
    <s v="06/05/2026"/>
    <e v="#VALUE!"/>
    <e v="#VALUE!"/>
    <s v="#N/A N/A"/>
  </r>
  <r>
    <x v="21"/>
    <x v="5"/>
    <m/>
    <s v="USD"/>
    <s v="Long"/>
    <m/>
    <n v="6500"/>
    <n v="104.61"/>
    <n v="0.10348101265822796"/>
    <n v="94.8"/>
    <n v="1"/>
    <n v="1"/>
    <n v="679965"/>
    <n v="2.693612943090084E-4"/>
    <n v="0.25259863274747857"/>
    <n v="0"/>
    <n v="0"/>
    <n v="0"/>
    <n v="679965"/>
    <n v="2.693612943090084E-4"/>
    <n v="0.25259863274747857"/>
    <n v="2413.1158177994453"/>
    <m/>
    <n v="2274.9999999999995"/>
    <n v="0.11071071216706221"/>
    <n v="1.9583625687049714E-4"/>
    <n v="65.761912795121077"/>
    <n v="0.72703933715820313"/>
    <n v="59880.033028343794"/>
    <m/>
    <s v="19/02/2026"/>
    <n v="4.4303769999999999E-2"/>
    <n v="0.11933720829968618"/>
    <s v="#N/A Field Not Applicable"/>
  </r>
  <r>
    <x v="21"/>
    <x v="5"/>
    <m/>
    <s v="USD"/>
    <s v="Long"/>
    <m/>
    <n v="1500"/>
    <n v="104.61"/>
    <n v="0.14653660675142488"/>
    <n v="91.24"/>
    <n v="1"/>
    <n v="2"/>
    <n v="313830"/>
    <n v="1.243205973733885E-4"/>
    <n v="0.15889172993807521"/>
    <n v="0"/>
    <n v="0"/>
    <n v="0"/>
    <n v="313830"/>
    <n v="1.243205973733885E-4"/>
    <n v="0.15889172993807521"/>
    <n v="1206.5579088997226"/>
    <m/>
    <n v="1049.9999999999998"/>
    <n v="5.1097251769413328E-2"/>
    <n v="9.0385964709460221E-5"/>
    <n v="65.761912795121077"/>
    <n v="0.72703933715820313"/>
    <n v="37666.245193552415"/>
    <m/>
    <s v="19/02/2026"/>
    <n v="4.4303769999999999E-2"/>
    <n v="5.5078711522932082E-2"/>
    <s v="#N/A Field Not Applicable"/>
  </r>
  <r>
    <x v="22"/>
    <x v="5"/>
    <m/>
    <s v="USD"/>
    <s v="Long"/>
    <m/>
    <n v="26467"/>
    <n v="75"/>
    <n v="-0.1232172083235914"/>
    <n v="85.54"/>
    <n v="1"/>
    <n v="1"/>
    <n v="1985025"/>
    <n v="7.8634768441866775E-4"/>
    <n v="-1.1050806125030352"/>
    <n v="-230572.85696268082"/>
    <n v="-9.1339117725167574E-5"/>
    <n v="-0.40307238896033792"/>
    <n v="1754452.1430373192"/>
    <n v="6.9500856669350017E-4"/>
    <n v="-1.5081530014633731"/>
    <n v="3365.8139426666667"/>
    <m/>
    <n v="8187.4433341741542"/>
    <n v="0.35988631881720251"/>
    <n v="6.4286263386465598E-4"/>
    <n v="82.850505404124135"/>
    <n v="0.92497080564498901"/>
    <n v="-261966.04017970353"/>
    <m/>
    <s v="14/05/2026"/>
    <n v="-6.827219000000001E-2"/>
    <n v="-0.47449756916926328"/>
    <s v="02/04/2026"/>
  </r>
  <r>
    <x v="22"/>
    <x v="5"/>
    <m/>
    <s v="USD"/>
    <s v="Long"/>
    <m/>
    <n v="4093"/>
    <n v="75"/>
    <n v="-6.095944871455039E-3"/>
    <n v="75.459999999999994"/>
    <n v="1"/>
    <n v="1"/>
    <n v="306975"/>
    <n v="1.2160505808461886E-4"/>
    <n v="-7.458443562523189E-3"/>
    <m/>
    <m/>
    <m/>
    <n v="306975"/>
    <n v="1.2160505808461886E-4"/>
    <n v="-7.458443562523189E-3"/>
    <n v="3365.8139426666667"/>
    <m/>
    <n v="1432.55"/>
    <n v="6.2969003262553405E-2"/>
    <n v="1.1248112854703559E-4"/>
    <n v="82.850505404124135"/>
    <n v="0.92497080564498901"/>
    <n v="-1768.0691380083681"/>
    <m/>
    <s v="14/05/2026"/>
    <n v="-6.827219000000001E-2"/>
    <n v="-8.3022436305141376E-2"/>
    <s v="02/04/2026"/>
  </r>
  <r>
    <x v="23"/>
    <x v="6"/>
    <m/>
    <s v="USD"/>
    <s v="Long"/>
    <m/>
    <n v="30000"/>
    <n v="14.2"/>
    <n v="-4.0540540540540682E-2"/>
    <n v="14.8"/>
    <n v="1"/>
    <n v="1"/>
    <n v="426000"/>
    <n v="1.6875561444432813E-4"/>
    <n v="-7.1305189201828975E-2"/>
    <n v="0"/>
    <n v="0"/>
    <n v="0"/>
    <n v="426000"/>
    <n v="1.6875561444432813E-4"/>
    <n v="-7.1305189201828975E-2"/>
    <n v="17777.186316901407"/>
    <m/>
    <n v="10499.999999999998"/>
    <n v="0.15561219496798867"/>
    <n v="3.461504153398769E-4"/>
    <n v="147.53850576682254"/>
    <n v="2.0511934757232666"/>
    <n v="-16903.326190075917"/>
    <m/>
    <s v="24/02/2026"/>
    <n v="-1.3513820000000001E-3"/>
    <n v="-2.280532997590051E-3"/>
    <s v="12/10/2017"/>
  </r>
  <r>
    <x v="24"/>
    <x v="6"/>
    <m/>
    <s v="USD"/>
    <s v="Long"/>
    <m/>
    <n v="2100"/>
    <n v="413.65"/>
    <n v="-2.0946745562130276E-2"/>
    <n v="422.5"/>
    <n v="1"/>
    <n v="1"/>
    <n v="868665"/>
    <n v="3.441129009889256E-4"/>
    <n v="-7.3622607850888422E-2"/>
    <n v="0"/>
    <n v="0"/>
    <n v="0"/>
    <n v="868665"/>
    <n v="3.441129009889256E-4"/>
    <n v="-7.3622607850888422E-2"/>
    <n v="610.26482702768044"/>
    <m/>
    <n v="734.99999999999989"/>
    <n v="0.20562256145664559"/>
    <n v="4.343690434607221E-4"/>
    <n v="95.607022400250216"/>
    <n v="1.2622864246368408"/>
    <n v="-17452.684291253387"/>
    <m/>
    <s v="27/03/2026"/>
    <n v="-1.3533909999999998E-3"/>
    <n v="-4.6571930318230299E-3"/>
    <s v="22/01/2026"/>
  </r>
  <r>
    <x v="24"/>
    <x v="6"/>
    <m/>
    <s v="USD"/>
    <s v="Long"/>
    <m/>
    <n v="600"/>
    <n v="413.65"/>
    <n v="-1.5119047619047699E-2"/>
    <n v="420"/>
    <n v="1"/>
    <n v="1"/>
    <n v="248190"/>
    <n v="9.8317971711121602E-5"/>
    <n v="-1.5092931714387147E-2"/>
    <m/>
    <m/>
    <m/>
    <n v="248190"/>
    <n v="9.8317971711121602E-5"/>
    <n v="-1.5092931714387147E-2"/>
    <n v="610.26482702768044"/>
    <m/>
    <n v="210"/>
    <n v="5.8749303273327315E-2"/>
    <n v="1.2410544098877775E-4"/>
    <n v="95.607022400250216"/>
    <n v="1.2622864246368408"/>
    <n v="-3577.8707102327389"/>
    <m/>
    <s v="27/03/2026"/>
    <n v="-1.3533909999999998E-3"/>
    <n v="-1.3306265805208654E-3"/>
    <s v="22/01/2026"/>
  </r>
  <r>
    <x v="25"/>
    <x v="6"/>
    <m/>
    <s v="USD"/>
    <s v="Long"/>
    <m/>
    <n v="965"/>
    <n v="816.56"/>
    <n v="-8.6320978061602549E-3"/>
    <n v="823.67"/>
    <n v="1"/>
    <n v="1"/>
    <n v="787980.39999999991"/>
    <n v="3.121505083851818E-4"/>
    <n v="-2.7179755494007141E-2"/>
    <n v="0"/>
    <n v="0"/>
    <n v="0"/>
    <n v="787980.39999999991"/>
    <n v="3.121505083851818E-4"/>
    <n v="-2.7179755494007141E-2"/>
    <n v="309.14574030077398"/>
    <m/>
    <n v="337.74999999999994"/>
    <n v="0.10508488120647083"/>
    <n v="3.9525708785149359E-4"/>
    <n v="53.863698893253172"/>
    <n v="1.266238808631897"/>
    <n v="-6443.125360502183"/>
    <m/>
    <s v="23/04/2026"/>
    <n v="4.7713199999999999E-3"/>
    <n v="1.4893699636683857E-2"/>
    <s v="05/01/2026"/>
  </r>
  <r>
    <x v="26"/>
    <x v="6"/>
    <m/>
    <s v="EUR"/>
    <s v="Long"/>
    <m/>
    <n v="2000"/>
    <n v="161.4"/>
    <n v="-1.1332312404287892E-2"/>
    <n v="163.25"/>
    <n v="0.84238901524724119"/>
    <n v="1"/>
    <n v="383195.88"/>
    <n v="1.5179919291534046E-4"/>
    <n v="-1.7399535743084203E-2"/>
    <n v="0"/>
    <n v="0"/>
    <n v="0"/>
    <n v="383195.88"/>
    <n v="1.5179919291534046E-4"/>
    <n v="-1.7399535743084203E-2"/>
    <n v="1317.5300616488882"/>
    <m/>
    <n v="830.96999999999991"/>
    <n v="6.7265599912829724E-2"/>
    <n v="2.0775525960860036E-4"/>
    <n v="70.899559999999994"/>
    <n v="1.368619"/>
    <n v="-4124.6651402713524"/>
    <m/>
    <s v="12/05/2026"/>
    <e v="#VALUE!"/>
    <e v="#VALUE!"/>
    <s v="27/02/2026"/>
  </r>
  <r>
    <x v="27"/>
    <x v="6"/>
    <m/>
    <s v="USD"/>
    <s v="Long"/>
    <m/>
    <n v="53300"/>
    <n v="71.13"/>
    <n v="1.4060742407195903E-4"/>
    <n v="71.12"/>
    <n v="1"/>
    <n v="1"/>
    <n v="3791228.9999999995"/>
    <n v="1.5018572286247785E-3"/>
    <n v="2.1114258802522323E-3"/>
    <n v="0"/>
    <n v="0"/>
    <n v="0"/>
    <n v="3791228.9999999995"/>
    <n v="1.5018572286247785E-3"/>
    <n v="2.1114258802522323E-3"/>
    <n v="3548.9392056797415"/>
    <m/>
    <n v="18654.999999999996"/>
    <n v="0.31683968296399251"/>
    <n v="1.0396510186594658E-3"/>
    <n v="33.754439708399332"/>
    <n v="0.69224357604980469"/>
    <n v="500.52626996123593"/>
    <m/>
    <s v="05/05/2026"/>
    <n v="7.4521760000000005E-3"/>
    <n v="0.1119210439458409"/>
    <s v="13/03/2026"/>
  </r>
  <r>
    <x v="28"/>
    <x v="7"/>
    <m/>
    <s v="USD"/>
    <m/>
    <m/>
    <n v="30500"/>
    <n v="98.28"/>
    <n v="-7.2567707841841966E-2"/>
    <n v="105.97"/>
    <n v="1"/>
    <n v="1"/>
    <n v="2997540"/>
    <n v="1.1874453157780548E-3"/>
    <n v="-0.92912642229682951"/>
    <n v="0"/>
    <n v="0"/>
    <n v="0"/>
    <n v="2997540"/>
    <n v="1.1874453157780548E-3"/>
    <n v="-0.92912642229682951"/>
    <n v="2568.5393335368335"/>
    <m/>
    <n v="10675"/>
    <n v="0.74751870737565396"/>
    <n v="1.1833804363978427E-3"/>
    <n v="100.72294832519226"/>
    <n v="0.99657678604125977"/>
    <n v="-220255.03562507473"/>
    <m/>
    <s v="#N/A N/A"/>
    <n v="-9.7197199999999994E-3"/>
    <n v="-0.11541635984674274"/>
    <s v="22/12/2025"/>
  </r>
  <r>
    <x v="28"/>
    <x v="7"/>
    <m/>
    <s v="USD"/>
    <m/>
    <m/>
    <n v="3238"/>
    <n v="98.28"/>
    <n v="-2.6930693069306955E-2"/>
    <n v="101"/>
    <n v="1"/>
    <n v="1"/>
    <n v="318230.64"/>
    <n v="1.2606386663899482E-4"/>
    <n v="-3.4889470620478813E-2"/>
    <m/>
    <m/>
    <m/>
    <n v="318230.64"/>
    <n v="1.2606386663899482E-4"/>
    <n v="-3.4889470620478813E-2"/>
    <n v="2568.5393335368335"/>
    <m/>
    <n v="1133.3"/>
    <n v="7.9359527032208776E-2"/>
    <n v="1.2563232305102344E-4"/>
    <n v="100.72294832519226"/>
    <n v="0.99657678604125977"/>
    <n v="-8270.7599418570317"/>
    <m/>
    <s v="#N/A N/A"/>
    <n v="-9.7197199999999994E-3"/>
    <n v="-1.2253054858483707E-2"/>
    <s v="22/12/2025"/>
  </r>
  <r>
    <x v="29"/>
    <x v="8"/>
    <m/>
    <s v="USD"/>
    <s v="Long"/>
    <m/>
    <n v="23500"/>
    <n v="51.69"/>
    <n v="-1.9908987485779406E-2"/>
    <n v="52.74"/>
    <n v="1"/>
    <n v="1"/>
    <n v="1214715"/>
    <n v="4.8119712722944144E-4"/>
    <n v="-9.7747530197507385E-2"/>
    <n v="0"/>
    <n v="0"/>
    <n v="0"/>
    <n v="1214715"/>
    <n v="4.8119712722944144E-4"/>
    <n v="-9.7747530197507385E-2"/>
    <n v="4883.6534281292315"/>
    <m/>
    <n v="8225"/>
    <n v="5.5580258833632379E-2"/>
    <n v="4.811578621411707E-4"/>
    <n v="18.48066189543345"/>
    <n v="0.99991840124130249"/>
    <n v="-23171.642985562441"/>
    <m/>
    <s v="#N/A N/A"/>
    <n v="3.6025520000000002E-3"/>
    <n v="1.7335376730946789E-2"/>
    <s v="22/12/2025"/>
  </r>
  <r>
    <x v="30"/>
    <x v="8"/>
    <m/>
    <s v="USD"/>
    <s v="Long"/>
    <m/>
    <n v="15000"/>
    <n v="85.34"/>
    <n v="-3.2097085176363782E-2"/>
    <n v="88.17"/>
    <n v="1"/>
    <n v="1"/>
    <n v="1280100"/>
    <n v="5.0709873720700582E-4"/>
    <n v="-0.16816140453431278"/>
    <n v="0"/>
    <n v="0"/>
    <n v="0"/>
    <n v="1280100"/>
    <n v="5.0709873720700582E-4"/>
    <n v="-0.16816140453431278"/>
    <n v="2958.0038164987109"/>
    <m/>
    <n v="5250"/>
    <n v="7.3919843111879852E-2"/>
    <n v="5.0513502058932612E-4"/>
    <n v="23.323218990925497"/>
    <n v="0.99612754583358765"/>
    <n v="-39863.677598262242"/>
    <m/>
    <s v="#N/A N/A"/>
    <n v="2.0046809999999999E-3"/>
    <n v="1.0165712036028776E-2"/>
    <s v="22/12/2025"/>
  </r>
  <r>
    <x v="31"/>
    <x v="8"/>
    <m/>
    <s v="USD"/>
    <s v="Short"/>
    <m/>
    <n v="-10300"/>
    <n v="24.32"/>
    <n v="-2.6810724289715759E-2"/>
    <n v="24.99"/>
    <n v="1"/>
    <n v="1"/>
    <n v="-250496"/>
    <n v="-9.9231470412785032E-5"/>
    <n v="2.7337617260101064E-2"/>
    <n v="0"/>
    <n v="0"/>
    <n v="0"/>
    <n v="-250496"/>
    <n v="-9.9231470412785032E-5"/>
    <n v="2.7337617260101064E-2"/>
    <n v="10379.771615953947"/>
    <m/>
    <n v="-3604.9999999999995"/>
    <n v="-1.5449400156983531E-2"/>
    <n v="-3.6266432276005228E-5"/>
    <n v="24.910484696384017"/>
    <n v="0.36547309160232544"/>
    <n v="6480.5474465396264"/>
    <m/>
    <s v="29/04/2026"/>
    <e v="#VALUE!"/>
    <e v="#VALUE!"/>
    <s v="06/03/2026"/>
  </r>
  <r>
    <x v="32"/>
    <x v="8"/>
    <m/>
    <s v="USD"/>
    <s v="Short"/>
    <m/>
    <n v="-27500"/>
    <n v="89.21"/>
    <n v="9.1628959276017774E-3"/>
    <n v="88.4"/>
    <n v="1"/>
    <n v="1"/>
    <n v="-2453275"/>
    <n v="-9.7184021132842521E-4"/>
    <n v="-8.8240171637261833E-2"/>
    <n v="0"/>
    <n v="0"/>
    <n v="0"/>
    <n v="-2453275"/>
    <n v="-9.7184021132842521E-4"/>
    <n v="-8.8240171637261833E-2"/>
    <n v="2829.6832832642081"/>
    <m/>
    <n v="-9625"/>
    <n v="-8.6599148170728821E-2"/>
    <n v="-9.7436254937080871E-4"/>
    <n v="14.257347602829473"/>
    <n v="1.0025954246520996"/>
    <n v="-20917.866160218586"/>
    <m/>
    <s v="#N/A N/A"/>
    <n v="1.0180580000000001E-3"/>
    <n v="-9.8938970186459411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5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8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x="29"/>
        <item x="32"/>
        <item m="1" x="194"/>
        <item m="1" x="193"/>
        <item m="1" x="68"/>
        <item x="30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3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m="1" x="34"/>
        <item m="1" x="67"/>
        <item m="1" x="65"/>
        <item x="23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x="31"/>
        <item m="1" x="51"/>
        <item x="17"/>
        <item x="22"/>
        <item x="21"/>
        <item m="1" x="50"/>
        <item m="1" x="49"/>
        <item x="12"/>
        <item m="1" x="47"/>
        <item m="1" x="48"/>
        <item m="1" x="39"/>
        <item x="27"/>
        <item m="1" x="44"/>
        <item m="1" x="35"/>
        <item x="24"/>
        <item x="25"/>
        <item m="1" x="37"/>
        <item x="13"/>
        <item x="2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3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7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5"/>
    </i>
    <i r="1">
      <x v="198"/>
    </i>
    <i>
      <x v="25"/>
    </i>
    <i r="1">
      <x v="19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3603">
      <pivotArea outline="0" collapsedLevelsAreSubtotals="1" fieldPosition="0"/>
    </format>
    <format dxfId="360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60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600">
      <pivotArea outline="0" collapsedLevelsAreSubtotals="1" fieldPosition="0"/>
    </format>
    <format dxfId="3599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98">
      <pivotArea outline="0" collapsedLevelsAreSubtotals="1" fieldPosition="0"/>
    </format>
    <format dxfId="359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96">
      <pivotArea outline="0" collapsedLevelsAreSubtotals="1" fieldPosition="0"/>
    </format>
    <format dxfId="3595">
      <pivotArea type="all" dataOnly="0" outline="0" fieldPosition="0"/>
    </format>
    <format dxfId="3594">
      <pivotArea dataOnly="0" labelOnly="1" grandRow="1" outline="0" fieldPosition="0"/>
    </format>
    <format dxfId="359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92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359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9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8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88">
      <pivotArea dataOnly="0" labelOnly="1" grandRow="1" outline="0" fieldPosition="0"/>
    </format>
    <format dxfId="3587">
      <pivotArea type="all" dataOnly="0" outline="0" fieldPosition="0"/>
    </format>
    <format dxfId="358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85">
      <pivotArea type="all" dataOnly="0" outline="0" fieldPosition="0"/>
    </format>
    <format dxfId="3584">
      <pivotArea outline="0" collapsedLevelsAreSubtotals="1" fieldPosition="0"/>
    </format>
    <format dxfId="3583">
      <pivotArea dataOnly="0" labelOnly="1" grandRow="1" outline="0" fieldPosition="0"/>
    </format>
    <format dxfId="358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8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579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7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76">
      <pivotArea type="all" dataOnly="0" outline="0" fieldPosition="0"/>
    </format>
    <format dxfId="3575">
      <pivotArea outline="0" collapsedLevelsAreSubtotals="1" fieldPosition="0"/>
    </format>
    <format dxfId="3574">
      <pivotArea dataOnly="0" labelOnly="1" grandRow="1" outline="0" fieldPosition="0"/>
    </format>
    <format dxfId="357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72">
      <pivotArea type="all" dataOnly="0" outline="0" fieldPosition="0"/>
    </format>
    <format dxfId="3571">
      <pivotArea outline="0" collapsedLevelsAreSubtotals="1" fieldPosition="0"/>
    </format>
    <format dxfId="3570">
      <pivotArea dataOnly="0" labelOnly="1" grandRow="1" outline="0" fieldPosition="0"/>
    </format>
    <format dxfId="356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67">
      <pivotArea field="1" type="button" dataOnly="0" labelOnly="1" outline="0" axis="axisRow" fieldPosition="0"/>
    </format>
    <format dxfId="356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65">
      <pivotArea field="1" type="button" dataOnly="0" labelOnly="1" outline="0" axis="axisRow" fieldPosition="0"/>
    </format>
    <format dxfId="356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63">
      <pivotArea field="1" type="button" dataOnly="0" labelOnly="1" outline="0" axis="axisRow" fieldPosition="0"/>
    </format>
    <format dxfId="356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652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4" totalsRowShown="0" headerRowDxfId="3561" dataDxfId="3559" headerRowBorderDxfId="3560" tableBorderDxfId="3558">
  <autoFilter ref="B11:AI44" xr:uid="{488A667B-27C2-4003-A53C-C52DE885F6F5}"/>
  <sortState xmlns:xlrd2="http://schemas.microsoft.com/office/spreadsheetml/2017/richdata2" ref="B12:AI44">
    <sortCondition ref="C11:C44"/>
  </sortState>
  <tableColumns count="34">
    <tableColumn id="1" xr3:uid="{C4869650-AB2A-4E52-A8FD-8FC4A1E9B450}" name="Ticker" dataDxfId="3557" totalsRowDxfId="3556"/>
    <tableColumn id="2" xr3:uid="{3392DCC0-4423-44FF-B70A-0E06289D8EEE}" name="Sector" dataDxfId="3555"/>
    <tableColumn id="29" xr3:uid="{7A835F51-8D98-481A-BCE1-CD91D7445A8F}" name="Diretoria" dataDxfId="3554"/>
    <tableColumn id="3" xr3:uid="{B1589ED3-B8E2-4F6B-B66F-D68F68C1ABA6}" name="Crncy" dataDxfId="3553"/>
    <tableColumn id="4" xr3:uid="{616D46BC-AC49-4393-8BDA-875BFB778D29}" name="Long / Short" dataDxfId="3552" totalsRowDxfId="3551">
      <calculatedColumnFormula>IF(T12&gt;0,"Long","Short")</calculatedColumnFormula>
    </tableColumn>
    <tableColumn id="33" xr3:uid="{F6985B5B-9203-43DA-8157-CAE6E92D0561}" name="Qtdd " dataDxfId="3550"/>
    <tableColumn id="5" xr3:uid="{9A4DCF38-5D0D-4646-8CF9-69904711743E}" name="Qtt Shs" dataDxfId="3549"/>
    <tableColumn id="6" xr3:uid="{BC11B5F3-DE4D-477B-AAED-C5AB103E9DA0}" name="Price Today" dataDxfId="3548" totalsRowDxfId="3547">
      <calculatedColumnFormula array="1">_xll.BDP(B12&amp;" Equity","LAST_PRICE")</calculatedColumnFormula>
    </tableColumn>
    <tableColumn id="7" xr3:uid="{704FFD7D-1208-4AA6-81A9-0E257F085F19}" name="% Chg" dataDxfId="3546" totalsRowDxfId="3545">
      <calculatedColumnFormula>I12/K12-1</calculatedColumnFormula>
    </tableColumn>
    <tableColumn id="8" xr3:uid="{E069BEAC-4A43-4F60-BD21-C3F1FDA777D4}" name="Price Yest" dataDxfId="3544" dataCellStyle="Comma">
      <calculatedColumnFormula>_xll.BDP(B12&amp;" equity","PX_YEST_CLOSE")</calculatedColumnFormula>
    </tableColumn>
    <tableColumn id="9" xr3:uid="{A2F51CF4-C965-4A1F-975F-FCDA401F7124}" name="FX" dataDxfId="3543">
      <calculatedColumnFormula>_xll.BDP(E12&amp;" Curncy","PX_LAST")</calculatedColumnFormula>
    </tableColumn>
    <tableColumn id="10" xr3:uid="{0525E66F-8EF5-4CCF-835F-559F3DAE7E58}" name="Mult" dataDxfId="3542" totalsRowDxfId="3541" dataCellStyle="Comma"/>
    <tableColumn id="11" xr3:uid="{8FC681CE-75F1-4027-AD99-551C42A97619}" name="D1 Exp USD" dataDxfId="3540">
      <calculatedColumnFormula>IFERROR(IF(((I12/L12)*H12*M12)&lt;&gt;0,((I12/L12)*H12*M12),0),"-")</calculatedColumnFormula>
    </tableColumn>
    <tableColumn id="12" xr3:uid="{BE55CED1-1EEB-46EA-A2E5-D244B7925B83}" name="D1 Exp %" dataDxfId="3539">
      <calculatedColumnFormula>IFERROR(IF(Tabelad[[#This Row],[D1 Exp USD]]&lt;&gt;0,N12/$AE$7,0),"-")</calculatedColumnFormula>
    </tableColumn>
    <tableColumn id="13" xr3:uid="{622A85AF-E726-48C1-A6C0-2A26A6E13A5C}" name="D1 P&amp;L bps" dataDxfId="3538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3537" totalsRowDxfId="3536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3535" totalsRowDxfId="3534" dataCellStyle="Percent">
      <calculatedColumnFormula>Q12/$AE$7</calculatedColumnFormula>
    </tableColumn>
    <tableColumn id="16" xr3:uid="{48C8F341-ED13-4859-B6ED-AB346A494BEF}" name="Options P&amp;L bps" dataDxfId="3533" totalsRowDxfId="3532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3531" totalsRowDxfId="3530">
      <calculatedColumnFormula>N12+Q12</calculatedColumnFormula>
    </tableColumn>
    <tableColumn id="18" xr3:uid="{56683745-C1CE-4341-A873-C851B97E4432}" name="Exp %" dataDxfId="3529" totalsRowDxfId="3528">
      <calculatedColumnFormula>T12/$AE$7</calculatedColumnFormula>
    </tableColumn>
    <tableColumn id="19" xr3:uid="{AD790890-4299-4C9E-A460-9342E2B4BE92}" name="P&amp;L bps" dataDxfId="3527" totalsRowDxfId="3526">
      <calculatedColumnFormula>P12+S12</calculatedColumnFormula>
    </tableColumn>
    <tableColumn id="20" xr3:uid="{A3132FF2-B491-42D2-B6D5-98FB024D0411}" name="xx" dataDxfId="3525" totalsRowDxfId="3524">
      <calculatedColumnFormula>$W$10/(I12/L12*M12)</calculatedColumnFormula>
    </tableColumn>
    <tableColumn id="21" xr3:uid="{68119C5E-24ED-4841-8DFC-985A70CC957B}" name="Ticker2" dataDxfId="3523" totalsRowDxfId="3522"/>
    <tableColumn id="22" xr3:uid="{EAB0ADAA-AF64-4574-AD5E-BAD2211681D1}" name="xx2" dataDxfId="3521" totalsRowDxfId="3520">
      <calculatedColumnFormula>Tabelad[[#This Row],[Exp %]]*$Y$10*$AD$7/Tabelad[[#This Row],[Price Today]]</calculatedColumnFormula>
    </tableColumn>
    <tableColumn id="23" xr3:uid="{160D9866-3FEF-4C23-ADDC-0615A4FD8D8A}" name="Column1" dataDxfId="3519">
      <calculatedColumnFormula>Tabelad[[#This Row],[Vol 10d]]/16*Tabelad[[#This Row],[Exp %]]*100</calculatedColumnFormula>
    </tableColumn>
    <tableColumn id="27" xr3:uid="{5FC9F15D-E683-4C75-83A6-A027ED24C573}" name="Expo Beta Adj" dataDxfId="3518" totalsRowDxfId="3517">
      <calculatedColumnFormula>Tabelad[[#This Row],[Exp %]]*Tabelad[[#This Row],[Beta]]</calculatedColumnFormula>
    </tableColumn>
    <tableColumn id="24" xr3:uid="{02F0D998-EE72-4509-80A1-181D260811AE}" name="Vol 10d" dataDxfId="3516">
      <calculatedColumnFormula>_xll.BDP($B12&amp;" Equity","volatility_10d")</calculatedColumnFormula>
    </tableColumn>
    <tableColumn id="25" xr3:uid="{06753197-209B-42CE-8324-F5BF4E6BBC8C}" name="Beta" dataDxfId="3515" totalsRowDxfId="3514">
      <calculatedColumnFormula>_xll.BDP(B12&amp;" EQUITY","eqy_beta")</calculatedColumnFormula>
    </tableColumn>
    <tableColumn id="26" xr3:uid="{E0099784-2515-472D-A708-E950C7C1F961}" name="Daily P&amp;L" dataDxfId="3513" totalsRowDxfId="3512">
      <calculatedColumnFormula>Tabelad[[#This Row],[D1 P&amp;L bps]]*$AD$5/10000</calculatedColumnFormula>
    </tableColumn>
    <tableColumn id="28" xr3:uid="{E8C15306-AE60-46ED-BE32-1873B2B613BE}" name="VALUE" dataDxfId="3511" totalsRowDxfId="3510"/>
    <tableColumn id="30" xr3:uid="{3553EED7-0690-4464-BFF1-737C1D716FE2}" name="Report Date2" dataDxfId="3509" totalsRowDxfId="3508">
      <calculatedColumnFormula>_xll.BDP(B12&amp;" Equity","EXPECTED_REPORT_DT")</calculatedColumnFormula>
    </tableColumn>
    <tableColumn id="31" xr3:uid="{5102101F-2C4E-4C70-B272-6AB453BA1BFE}" name="Column3" dataDxfId="3507" totalsRowDxfId="3506">
      <calculatedColumnFormula>_xll.BDP(B12&amp;" Index","CHG_PCT_1D_PRE_FROM_REGULAR")/100</calculatedColumnFormula>
    </tableColumn>
    <tableColumn id="32" xr3:uid="{78144925-541C-4BB9-B1CE-5128912D0AEA}" name="Column4" dataDxfId="3505">
      <calculatedColumnFormula>(T12*AG12)/$AD$7*10000</calculatedColumnFormula>
    </tableColumn>
    <tableColumn id="34" xr3:uid="{F48AA587-E15F-424C-9278-DC54512DF635}" name="Column5" dataDxfId="3504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3503" dataDxfId="3502" totalsRowBorderDxfId="3501">
  <autoFilter ref="F3:G136" xr:uid="{50594F44-C7EB-4454-89DA-F08A9C91DB54}"/>
  <tableColumns count="2">
    <tableColumn id="1" xr3:uid="{C2C1762E-B58F-491C-8249-F5F204F351C6}" name="De (Lote)" totalsRowFunction="count" dataDxfId="3500"/>
    <tableColumn id="2" xr3:uid="{2A11C67E-26BC-4BE0-826C-B31A77595F54}" name="Para (Ticker Daniel)" totalsRowFunction="count" dataDxfId="349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680</v>
      </c>
    </row>
    <row r="3" spans="2:12">
      <c r="B3" t="s">
        <v>679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668</v>
      </c>
      <c r="D5" t="s">
        <v>667</v>
      </c>
    </row>
    <row r="6" spans="2:12">
      <c r="B6" t="s">
        <v>661</v>
      </c>
      <c r="C6" s="323">
        <v>0.41</v>
      </c>
      <c r="D6" s="320">
        <f>C6^2</f>
        <v>0.16809999999999997</v>
      </c>
    </row>
    <row r="7" spans="2:12">
      <c r="B7" t="s">
        <v>659</v>
      </c>
      <c r="C7" s="323">
        <v>0.25</v>
      </c>
      <c r="D7" s="320">
        <f>C7^2</f>
        <v>6.25E-2</v>
      </c>
    </row>
    <row r="8" spans="2:12">
      <c r="B8" t="s">
        <v>657</v>
      </c>
      <c r="C8" s="318">
        <f>SQRT(D6+D7+2*C10)</f>
        <v>0.35791060336346558</v>
      </c>
    </row>
    <row r="9" spans="2:12">
      <c r="B9" t="s">
        <v>655</v>
      </c>
      <c r="C9" s="322">
        <v>-0.5</v>
      </c>
    </row>
    <row r="10" spans="2:12">
      <c r="B10" t="s">
        <v>653</v>
      </c>
      <c r="C10">
        <f>C9*C6*C7</f>
        <v>-5.1249999999999997E-2</v>
      </c>
    </row>
    <row r="12" spans="2:12">
      <c r="F12" s="329">
        <f>59/300</f>
        <v>0.19666666666666666</v>
      </c>
    </row>
    <row r="13" spans="2:12">
      <c r="C13" s="324"/>
    </row>
    <row r="14" spans="2:12">
      <c r="G14">
        <f>3500000/14.4</f>
        <v>243055.55555555556</v>
      </c>
      <c r="J14" s="328">
        <f>3%*9200000000</f>
        <v>276000000</v>
      </c>
    </row>
    <row r="15" spans="2:12">
      <c r="C15" t="s">
        <v>668</v>
      </c>
      <c r="D15" t="s">
        <v>667</v>
      </c>
      <c r="J15" s="327">
        <f>J14/5.19</f>
        <v>53179190.751445085</v>
      </c>
    </row>
    <row r="16" spans="2:12">
      <c r="B16" t="s">
        <v>678</v>
      </c>
      <c r="C16" s="323">
        <v>0.2</v>
      </c>
      <c r="D16" s="320">
        <f>C16^2</f>
        <v>4.0000000000000008E-2</v>
      </c>
      <c r="F16" s="324"/>
      <c r="J16" s="327">
        <f>J15/31.22</f>
        <v>1703369.3386113096</v>
      </c>
      <c r="K16" s="327">
        <f>J16/100</f>
        <v>17033.693386113096</v>
      </c>
      <c r="L16" s="327">
        <f>J16*1.65</f>
        <v>2810559.4087086609</v>
      </c>
    </row>
    <row r="17" spans="1:21">
      <c r="B17" t="s">
        <v>677</v>
      </c>
      <c r="C17" s="323">
        <v>0.11700000000000001</v>
      </c>
      <c r="D17" s="320">
        <f>C17^2</f>
        <v>1.3689000000000002E-2</v>
      </c>
      <c r="F17" s="192"/>
    </row>
    <row r="18" spans="1:21">
      <c r="B18" t="s">
        <v>657</v>
      </c>
      <c r="C18" s="318">
        <f>SQRT(D16+D17+2*C20)</f>
        <v>0.27932955446926844</v>
      </c>
      <c r="J18">
        <v>17000</v>
      </c>
      <c r="K18">
        <v>1.65</v>
      </c>
      <c r="L18" s="328">
        <f>J18*K18*100</f>
        <v>2805000</v>
      </c>
    </row>
    <row r="19" spans="1:21">
      <c r="B19" t="s">
        <v>655</v>
      </c>
      <c r="C19" s="322">
        <v>0.52</v>
      </c>
      <c r="J19">
        <f>J18*1.6</f>
        <v>27200</v>
      </c>
      <c r="K19">
        <v>0.59599999999999997</v>
      </c>
      <c r="L19" s="328">
        <f>J19*K19*100</f>
        <v>1621120</v>
      </c>
    </row>
    <row r="20" spans="1:21">
      <c r="B20" t="s">
        <v>653</v>
      </c>
      <c r="C20">
        <f>C19*C16*C17</f>
        <v>1.2168000000000002E-2</v>
      </c>
      <c r="L20" s="327">
        <f>L18-L19</f>
        <v>1183880</v>
      </c>
      <c r="M20" s="327">
        <f>L20*5.2</f>
        <v>6156176</v>
      </c>
      <c r="N20" s="326"/>
    </row>
    <row r="21" spans="1:21">
      <c r="C21" s="324"/>
    </row>
    <row r="23" spans="1:21">
      <c r="B23" t="s">
        <v>676</v>
      </c>
      <c r="U23">
        <f>0.89-0.24</f>
        <v>0.65</v>
      </c>
    </row>
    <row r="24" spans="1:21">
      <c r="C24" t="s">
        <v>668</v>
      </c>
      <c r="D24" t="s">
        <v>667</v>
      </c>
      <c r="U24">
        <f>U23/2</f>
        <v>0.32500000000000001</v>
      </c>
    </row>
    <row r="25" spans="1:21">
      <c r="A25" s="325">
        <v>0.82</v>
      </c>
      <c r="B25" t="s">
        <v>675</v>
      </c>
      <c r="C25" s="323">
        <v>0.3</v>
      </c>
      <c r="D25" s="320">
        <f>C25^2</f>
        <v>0.09</v>
      </c>
      <c r="I25" t="s">
        <v>674</v>
      </c>
      <c r="J25">
        <v>21</v>
      </c>
    </row>
    <row r="26" spans="1:21">
      <c r="A26">
        <f>1-A25</f>
        <v>0.18000000000000005</v>
      </c>
      <c r="B26" t="s">
        <v>673</v>
      </c>
      <c r="C26" s="323">
        <v>0.4</v>
      </c>
      <c r="D26" s="320">
        <f>C26^2</f>
        <v>0.16000000000000003</v>
      </c>
      <c r="I26" t="s">
        <v>672</v>
      </c>
      <c r="J26">
        <v>1</v>
      </c>
      <c r="R26" s="324"/>
    </row>
    <row r="27" spans="1:21">
      <c r="B27" t="s">
        <v>671</v>
      </c>
      <c r="C27" s="318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670</v>
      </c>
      <c r="C28" s="322">
        <v>0.3</v>
      </c>
    </row>
    <row r="29" spans="1:21">
      <c r="B29" t="s">
        <v>669</v>
      </c>
      <c r="C29">
        <f>C28*C25*C26</f>
        <v>3.5999999999999997E-2</v>
      </c>
    </row>
    <row r="31" spans="1:21">
      <c r="C31" t="s">
        <v>668</v>
      </c>
      <c r="D31" t="s">
        <v>667</v>
      </c>
      <c r="F31" t="s">
        <v>666</v>
      </c>
      <c r="G31" t="s">
        <v>665</v>
      </c>
      <c r="H31" t="s">
        <v>664</v>
      </c>
      <c r="I31" t="s">
        <v>663</v>
      </c>
      <c r="J31" t="s">
        <v>662</v>
      </c>
    </row>
    <row r="32" spans="1:21">
      <c r="B32" t="s">
        <v>661</v>
      </c>
      <c r="C32" s="323">
        <v>0.25</v>
      </c>
      <c r="D32" s="320">
        <f>C32^2</f>
        <v>6.25E-2</v>
      </c>
      <c r="F32" s="321">
        <v>0.41370000000000001</v>
      </c>
      <c r="G32" s="321">
        <v>0.43680000000000002</v>
      </c>
      <c r="H32" s="321">
        <v>0.4698</v>
      </c>
      <c r="I32" s="321">
        <v>0.36620000000000003</v>
      </c>
      <c r="J32" s="321">
        <v>0.41830000000000001</v>
      </c>
      <c r="K32" t="s">
        <v>660</v>
      </c>
      <c r="Q32" s="42">
        <v>0.36620000000000003</v>
      </c>
    </row>
    <row r="33" spans="2:17">
      <c r="B33" t="s">
        <v>659</v>
      </c>
      <c r="C33" s="323">
        <v>0.122</v>
      </c>
      <c r="D33" s="320">
        <f>C33^2</f>
        <v>1.4884E-2</v>
      </c>
      <c r="E33">
        <f>200*1400</f>
        <v>280000</v>
      </c>
      <c r="F33" s="320">
        <f>F32*SQRT(22/252)</f>
        <v>0.12223528541300993</v>
      </c>
      <c r="G33" s="320">
        <f>G32*SQRT(22/252)</f>
        <v>0.1290606059183049</v>
      </c>
      <c r="H33" s="320">
        <f>H32*SQRT(22/252)</f>
        <v>0.138811063783012</v>
      </c>
      <c r="I33" s="320">
        <f>I32*SQRT(22/252)</f>
        <v>0.10820053545623456</v>
      </c>
      <c r="J33" s="320">
        <f>J32*SQRT(22/252)</f>
        <v>0.12359444014566606</v>
      </c>
      <c r="K33" t="s">
        <v>658</v>
      </c>
    </row>
    <row r="34" spans="2:17">
      <c r="B34" t="s">
        <v>657</v>
      </c>
      <c r="C34" s="318">
        <f>SQRT(D32+D33+2*C36)</f>
        <v>0.32780634527110669</v>
      </c>
      <c r="F34" s="320">
        <f>F33^2</f>
        <v>1.4941464999999998E-2</v>
      </c>
      <c r="G34" s="320">
        <f>G33^2</f>
        <v>1.6656639999999997E-2</v>
      </c>
      <c r="H34" s="320">
        <f>H33^2</f>
        <v>1.9268511428571427E-2</v>
      </c>
      <c r="I34" s="320">
        <f>I33^2</f>
        <v>1.1707355873015872E-2</v>
      </c>
      <c r="J34" s="320">
        <f>J33^2</f>
        <v>1.5275585634920631E-2</v>
      </c>
      <c r="K34" t="s">
        <v>656</v>
      </c>
    </row>
    <row r="35" spans="2:17">
      <c r="B35" t="s">
        <v>655</v>
      </c>
      <c r="C35" s="322">
        <v>0.49299999999999999</v>
      </c>
      <c r="F35" s="321">
        <v>0.32600000000000001</v>
      </c>
      <c r="G35" s="321">
        <v>0.30270000000000002</v>
      </c>
      <c r="H35" s="321">
        <v>0.35310000000000002</v>
      </c>
      <c r="I35" s="321">
        <v>0.27179999999999999</v>
      </c>
      <c r="J35" s="321">
        <v>0.36080000000000001</v>
      </c>
      <c r="K35" t="s">
        <v>654</v>
      </c>
      <c r="Q35" s="42">
        <v>0.27179999999999999</v>
      </c>
    </row>
    <row r="36" spans="2:17">
      <c r="B36" t="s">
        <v>653</v>
      </c>
      <c r="C36">
        <f>C35*C32*C33</f>
        <v>1.50365E-2</v>
      </c>
      <c r="F36" s="320">
        <f>F35*SQRT(1/252)</f>
        <v>2.0536069700168014E-2</v>
      </c>
      <c r="G36" s="320">
        <f>G35*SQRT(1/252)</f>
        <v>1.9068307663315517E-2</v>
      </c>
      <c r="H36" s="320">
        <f>H35*SQRT(1/252)</f>
        <v>2.2243209236593026E-2</v>
      </c>
      <c r="I36" s="320">
        <f>I35*SQRT(1/252)</f>
        <v>1.7121790627317994E-2</v>
      </c>
      <c r="J36" s="320">
        <f>J35*SQRT(1/252)</f>
        <v>2.2728263643621533E-2</v>
      </c>
      <c r="K36" t="s">
        <v>652</v>
      </c>
    </row>
    <row r="37" spans="2:17">
      <c r="F37" s="320">
        <f>F36*SQRT(21/1)</f>
        <v>9.4108093877908999E-2</v>
      </c>
      <c r="G37" s="320">
        <f>G36*SQRT(21/1)</f>
        <v>8.7381963241849867E-2</v>
      </c>
      <c r="H37" s="320">
        <f>H36*SQRT(21/1)</f>
        <v>0.10193119002542844</v>
      </c>
      <c r="I37" s="320">
        <f>I36*SQRT(21/1)</f>
        <v>7.8461901582870142E-2</v>
      </c>
      <c r="J37" s="320">
        <f>J36*SQRT(21/1)</f>
        <v>0.10415398856180849</v>
      </c>
      <c r="K37" t="s">
        <v>651</v>
      </c>
    </row>
    <row r="38" spans="2:17">
      <c r="F38" s="320">
        <f>F37^2</f>
        <v>8.8563333333333341E-3</v>
      </c>
      <c r="G38" s="320">
        <f>G37^2</f>
        <v>7.6356075000000015E-3</v>
      </c>
      <c r="H38" s="320">
        <f>H37^2</f>
        <v>1.0389967500000003E-2</v>
      </c>
      <c r="I38" s="320">
        <f>I37^2</f>
        <v>6.1562700000000001E-3</v>
      </c>
      <c r="J38" s="320">
        <f>J37^2</f>
        <v>1.0848053333333335E-2</v>
      </c>
      <c r="K38" t="s">
        <v>650</v>
      </c>
    </row>
    <row r="39" spans="2:17">
      <c r="F39" s="320">
        <f>F34-F38</f>
        <v>6.0851316666666634E-3</v>
      </c>
      <c r="G39" s="320">
        <f>G34-G38</f>
        <v>9.0210324999999945E-3</v>
      </c>
      <c r="H39" s="320">
        <f>H34-H38</f>
        <v>8.8785439285714238E-3</v>
      </c>
      <c r="I39" s="320">
        <f>I34-I38</f>
        <v>5.5510858730158721E-3</v>
      </c>
      <c r="J39" s="320">
        <f>J34-J38</f>
        <v>4.4275323015872965E-3</v>
      </c>
      <c r="K39" t="s">
        <v>649</v>
      </c>
    </row>
    <row r="40" spans="2:17">
      <c r="F40" s="319">
        <f>F39^0.5</f>
        <v>7.8007253936199186E-2</v>
      </c>
      <c r="G40" s="319">
        <f>G39^0.5</f>
        <v>9.4979116125598867E-2</v>
      </c>
      <c r="H40" s="319">
        <f>H39^0.5</f>
        <v>9.4226025749637898E-2</v>
      </c>
      <c r="I40" s="319">
        <f>I39^0.5</f>
        <v>7.4505609674814899E-2</v>
      </c>
      <c r="J40" s="319">
        <f>J39^0.5</f>
        <v>6.6539704700181057E-2</v>
      </c>
      <c r="K40" t="s">
        <v>648</v>
      </c>
    </row>
    <row r="41" spans="2:17">
      <c r="F41" s="318">
        <f>F40*SQRT(252)</f>
        <v>1.2383267662454847</v>
      </c>
      <c r="G41" s="318">
        <f>G40*SQRT(252)</f>
        <v>1.5077467260783552</v>
      </c>
      <c r="H41" s="318">
        <f>H40*SQRT(252)</f>
        <v>1.4957917869810622</v>
      </c>
      <c r="I41" s="318">
        <f>I40*SQRT(252)</f>
        <v>1.1827398868728491</v>
      </c>
      <c r="J41" s="318">
        <f>J40*SQRT(252)</f>
        <v>1.0562850656901284</v>
      </c>
      <c r="K41" t="s">
        <v>647</v>
      </c>
    </row>
    <row r="42" spans="2:17">
      <c r="F42" s="317">
        <f>F40/F36</f>
        <v>3.7985483627162102</v>
      </c>
      <c r="G42" s="317">
        <f>G40/G36</f>
        <v>4.9809934789506274</v>
      </c>
      <c r="H42" s="317">
        <f>H40/H36</f>
        <v>4.2361704530757907</v>
      </c>
      <c r="I42" s="317">
        <f>I40/I36</f>
        <v>4.3515080458898048</v>
      </c>
      <c r="J42" s="317">
        <f>J40/J36</f>
        <v>2.9276193616688699</v>
      </c>
      <c r="K42" s="58" t="s">
        <v>646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45889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46065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46035</v>
      </c>
      <c r="AN3" s="142">
        <f ca="1">WORKDAY($Q$3,-66)</f>
        <v>45973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20250820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20260212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 t="shared" ref="A8:A12" si="0">"."&amp;B8&amp;C8</f>
        <v>.CRMIGV</v>
      </c>
      <c r="B8" s="148" t="s">
        <v>81</v>
      </c>
      <c r="C8" s="148" t="s">
        <v>37</v>
      </c>
      <c r="D8" s="148"/>
      <c r="E8" s="148"/>
      <c r="F8" s="148"/>
      <c r="G8" s="149" t="e" cm="1">
        <f t="array" aca="1" ref="G8" ca="1">_xll.BDP(B8&amp;" Equity","LAST PRICE")</f>
        <v>#NAME?</v>
      </c>
      <c r="H8" s="150" t="e" cm="1">
        <f t="array" aca="1" ref="H8" ca="1">G8/_xll.BDP(B8&amp;" Equity", "PREV_CLOSE_VAL")-1</f>
        <v>#NAME?</v>
      </c>
      <c r="I8" s="149" t="e" cm="1">
        <f t="array" aca="1" ref="I8" ca="1">_xll.BDP(C8&amp;" Equity","LAST PRICE")</f>
        <v>#NAME?</v>
      </c>
      <c r="J8" s="150" t="e" cm="1">
        <f t="array" aca="1" ref="J8" ca="1">I8/_xll.BDP(C8&amp;" Equity", "PREV_CLOSE_VAL")-1</f>
        <v>#NAME?</v>
      </c>
      <c r="K8" s="151" t="e">
        <f t="shared" ref="K8:K12" ca="1" si="1">G8/I8</f>
        <v>#NAME?</v>
      </c>
      <c r="L8" s="150" t="e" cm="1">
        <f t="array" aca="1" ref="L8" ca="1">K8/(_xll.BDP(B8&amp;" Equity", "PREV_CLOSE_VAL")/_xll.BDP(C8&amp;" Equity", "PREV_CLOSE_VAL"))-1</f>
        <v>#NAME?</v>
      </c>
      <c r="M8" s="150"/>
      <c r="N8" s="152" t="e">
        <f t="shared" ref="N8:N12" ca="1" si="2">ABS(L8/O8)</f>
        <v>#NAME?</v>
      </c>
      <c r="O8" s="153" t="e">
        <f t="shared" ref="O8:O12" ca="1" si="3">P8/15.87/100</f>
        <v>#NAME?</v>
      </c>
      <c r="P8" s="154" t="e" cm="1">
        <f t="array" aca="1" ref="P8" ca="1">_xll.BDP($A8&amp;" Index","VOLATILITY_30D")</f>
        <v>#NAME?</v>
      </c>
      <c r="Q8" s="154" t="e" cm="1">
        <f t="array" aca="1" ref="Q8" ca="1">(_xll.BDP(($B8&amp; " Equity"),"CORR_COEF", "BETA_OVERRIDE_REL_INDEX",($C8&amp; " Equity"),"BETA_OVERRIDE_END_DT",$Q$5,"BETA_OVERRIDE_START_DT",$Q$4))*100</f>
        <v>#NAME?</v>
      </c>
      <c r="R8" s="150"/>
      <c r="S8" s="150" t="e" cm="1">
        <f t="array" aca="1" ref="S8" ca="1">_xll.BDP($A8&amp;" Index","CHG_PCT_2D")/100</f>
        <v>#NAME?</v>
      </c>
      <c r="T8" s="150" t="e" cm="1">
        <f t="array" aca="1" ref="T8" ca="1">_xll.BDP($A8&amp;" Index","CHG_PCT_5D")/100</f>
        <v>#NAME?</v>
      </c>
      <c r="U8" s="150" t="e" cm="1">
        <f t="array" aca="1" ref="U8" ca="1">K8/_xll.BDP($A8&amp;" Index","HIGH_52WEEK")-1</f>
        <v>#NAME?</v>
      </c>
      <c r="V8" s="150" t="e" cm="1">
        <f t="array" aca="1" ref="V8" ca="1">K8/_xll.BDP($A8&amp;" Index","LOW_52WEEK")-1</f>
        <v>#NAME?</v>
      </c>
      <c r="W8" s="150"/>
      <c r="X8" s="154" t="e" cm="1">
        <f t="array" aca="1" ref="X8" ca="1">_xll.BDP($A8&amp;" Index","RSI_14D")</f>
        <v>#NAME?</v>
      </c>
      <c r="Y8" s="155"/>
      <c r="Z8" s="156" t="e">
        <f t="shared" ref="Z8:Z12" ca="1" si="4">Y8/K8-1</f>
        <v>#NAME?</v>
      </c>
      <c r="AA8" s="155"/>
      <c r="AB8" s="156" t="e">
        <f t="shared" ref="AB8:AB12" ca="1" si="5">AA8/K8-1</f>
        <v>#NAME?</v>
      </c>
      <c r="AC8" s="155"/>
      <c r="AD8" s="150" t="e">
        <f t="shared" ref="AD8:AD12" ca="1" si="6">K8/AC8-1</f>
        <v>#NAME?</v>
      </c>
      <c r="AE8" s="150"/>
      <c r="AF8" s="157" t="e">
        <f ca="1">IF(ISTEXT(B8),_xll.BDP(B8 &amp; " Equity","EXPECTED_REPORT_DT")*1,"")</f>
        <v>#NAME?</v>
      </c>
      <c r="AG8" s="157" t="e">
        <f ca="1">IF(ISTEXT(C8),_xll.BDP(C8 &amp; " Equity","EXPECTED_REPORT_DT")*1,"")</f>
        <v>#NAME?</v>
      </c>
      <c r="AH8" s="158" t="e" cm="1">
        <f t="array" aca="1" ref="AH8" ca="1">(_xll.BDP(B8&amp;" Equity","SHORT_INT")/_xll.BDP(B8&amp;" Equity","VOLUME_AVG_90D"))</f>
        <v>#NAME?</v>
      </c>
      <c r="AI8" s="158" t="e" cm="1">
        <f t="array" aca="1" ref="AI8" ca="1">(_xll.BDP(C8&amp;" Equity","SHORT_INT")/_xll.BDP(C8&amp;" Equity","VOLUME_AVG_90D"))</f>
        <v>#NAME?</v>
      </c>
      <c r="AJ8" s="158" t="e" cm="1">
        <f t="array" aca="1" ref="AJ8" ca="1">(_xll.BDP(B8&amp;" Equity","SHORT_INT"))/((_xll.BDP(B8&amp;" Equity","EQY_FREE_FLOAT_PCT"))*(_xll.BDP(B8&amp;" Equity","EQY_SH_OUT_TOT_MULT_SH")))/100</f>
        <v>#NAME?</v>
      </c>
      <c r="AK8" s="158" t="e" cm="1">
        <f t="array" aca="1" ref="AK8" ca="1">(_xll.BDP(C8&amp;" Equity","SHORT_INT"))/((_xll.BDP(C8&amp;" Equity","EQY_FREE_FLOAT_PCT"))*(_xll.BDP(C8&amp;" Equity","EQY_SH_OUT_TOT_MULT_SH")))/100</f>
        <v>#NAME?</v>
      </c>
      <c r="AM8" s="156" t="e">
        <f ca="1">IF(ISTEXT(B8),AP8/_xll.BDH(B8 &amp;  " Equity","BEST_EPS",$AM$3,$AM$3,"BEST_FPERIOD_OVERRIDE=1BF","CDR=US","Fill=p")-1,"")</f>
        <v>#NAME?</v>
      </c>
      <c r="AN8" s="156" t="e">
        <f ca="1">IF(ISTEXT(B8),AP8/_xll.BDH(B8 &amp;  " Equity","BEST_EPS",$AN$3,$AN$3,"BEST_FPERIOD_OVERRIDE=1BF","CDR=US","Fill=p")-1,"")</f>
        <v>#NAME?</v>
      </c>
      <c r="AO8" s="158" t="e">
        <f t="shared" ref="AO8:AO12" ca="1" si="7">G8/AP8</f>
        <v>#NAME?</v>
      </c>
      <c r="AP8" s="158" t="e" cm="1">
        <f t="array" aca="1" ref="AP8" ca="1">IF(ISTEXT(B8),_xll.BDH(B8 &amp;  " Equity","BEST_EPS",$Q$3,$Q$3,"BEST_FPERIOD_OVERRIDE=1BF","CDR=US","Fill=p"),"")</f>
        <v>#NAME?</v>
      </c>
      <c r="AR8" s="156" t="e">
        <f ca="1">IF(ISTEXT(C8),AU8/_xll.BDH(C8 &amp;  " Equity","BEST_EPS",$AM$3,$AM$3,"BEST_FPERIOD_OVERRIDE=1BF","CDR=US","Fill=p")-1,"")</f>
        <v>#NAME?</v>
      </c>
      <c r="AS8" s="156" t="e">
        <f ca="1">IF(ISTEXT(C8),AU8/_xll.BDH(C8 &amp;  " Equity","BEST_EPS",$AN$3,$AN$3,"BEST_FPERIOD_OVERRIDE=1BF","CDR=US","Fill=p")-1,"")</f>
        <v>#NAME?</v>
      </c>
      <c r="AT8" s="158" t="e">
        <f t="shared" ref="AT8:AT12" ca="1" si="8">I8/AU8</f>
        <v>#NAME?</v>
      </c>
      <c r="AU8" s="158" t="e" cm="1">
        <f t="array" aca="1" ref="AU8" ca="1">IF(ISTEXT(C8),_xll.BDH(C8 &amp;  " Equity","BEST_EPS",$Q$3,$Q$3,"BEST_FPERIOD_OVERRIDE=1BF","CDR=US","Fill=p"),"")</f>
        <v>#NAME?</v>
      </c>
    </row>
    <row r="9" spans="1:47">
      <c r="A9" t="str">
        <f t="shared" si="0"/>
        <v>.METAQQQ</v>
      </c>
      <c r="B9" s="148" t="s">
        <v>29</v>
      </c>
      <c r="C9" s="148" t="s">
        <v>82</v>
      </c>
      <c r="D9" s="148"/>
      <c r="E9" s="148"/>
      <c r="F9" s="148"/>
      <c r="G9" s="149" t="e" cm="1">
        <f t="array" aca="1" ref="G9" ca="1">_xll.BDP(B9&amp;" Equity","LAST PRICE")</f>
        <v>#NAME?</v>
      </c>
      <c r="H9" s="150" t="e" cm="1">
        <f t="array" aca="1" ref="H9" ca="1">G9/_xll.BDP(B9&amp;" Equity", "PREV_CLOSE_VAL")-1</f>
        <v>#NAME?</v>
      </c>
      <c r="I9" s="149" t="e" cm="1">
        <f t="array" aca="1" ref="I9" ca="1">_xll.BDP(C9&amp;" Equity","LAST PRICE")</f>
        <v>#NAME?</v>
      </c>
      <c r="J9" s="150" t="e" cm="1">
        <f t="array" aca="1" ref="J9" ca="1">I9/_xll.BDP(C9&amp;" Equity", "PREV_CLOSE_VAL")-1</f>
        <v>#NAME?</v>
      </c>
      <c r="K9" s="151" t="e">
        <f t="shared" ca="1" si="1"/>
        <v>#NAME?</v>
      </c>
      <c r="L9" s="150" t="e" cm="1">
        <f t="array" aca="1" ref="L9" ca="1">K9/(_xll.BDP(B9&amp;" Equity", "PREV_CLOSE_VAL")/_xll.BDP(C9&amp;" Equity", "PREV_CLOSE_VAL"))-1</f>
        <v>#NAME?</v>
      </c>
      <c r="M9" s="150"/>
      <c r="N9" s="152" t="e">
        <f t="shared" ca="1" si="2"/>
        <v>#NAME?</v>
      </c>
      <c r="O9" s="153" t="e">
        <f t="shared" ca="1" si="3"/>
        <v>#NAME?</v>
      </c>
      <c r="P9" s="154" t="e" cm="1">
        <f t="array" aca="1" ref="P9" ca="1">_xll.BDP($A9&amp;" Index","VOLATILITY_30D")</f>
        <v>#NAME?</v>
      </c>
      <c r="Q9" s="154" t="e" cm="1">
        <f t="array" aca="1" ref="Q9" ca="1">(_xll.BDP(($B9&amp; " Equity"),"CORR_COEF", "BETA_OVERRIDE_REL_INDEX",($C9&amp; " Equity"),"BETA_OVERRIDE_END_DT",$Q$5,"BETA_OVERRIDE_START_DT",$Q$4))*100</f>
        <v>#NAME?</v>
      </c>
      <c r="R9" s="150"/>
      <c r="S9" s="150" t="e" cm="1">
        <f t="array" aca="1" ref="S9" ca="1">_xll.BDP($A9&amp;" Index","CHG_PCT_2D")/100</f>
        <v>#NAME?</v>
      </c>
      <c r="T9" s="150" t="e" cm="1">
        <f t="array" aca="1" ref="T9" ca="1">_xll.BDP($A9&amp;" Index","CHG_PCT_5D")/100</f>
        <v>#NAME?</v>
      </c>
      <c r="U9" s="150" t="e" cm="1">
        <f t="array" aca="1" ref="U9" ca="1">K9/_xll.BDP($A9&amp;" Index","HIGH_52WEEK")-1</f>
        <v>#NAME?</v>
      </c>
      <c r="V9" s="150" t="e" cm="1">
        <f t="array" aca="1" ref="V9" ca="1">K9/_xll.BDP($A9&amp;" Index","LOW_52WEEK")-1</f>
        <v>#NAME?</v>
      </c>
      <c r="W9" s="150"/>
      <c r="X9" s="154" t="e" cm="1">
        <f t="array" aca="1" ref="X9" ca="1">_xll.BDP($A9&amp;" Index","RSI_14D")</f>
        <v>#NAME?</v>
      </c>
      <c r="Y9" s="155"/>
      <c r="Z9" s="156" t="e">
        <f t="shared" ca="1" si="4"/>
        <v>#NAME?</v>
      </c>
      <c r="AA9" s="155"/>
      <c r="AB9" s="156" t="e">
        <f t="shared" ca="1" si="5"/>
        <v>#NAME?</v>
      </c>
      <c r="AC9" s="155"/>
      <c r="AD9" s="150" t="e">
        <f t="shared" ca="1" si="6"/>
        <v>#NAME?</v>
      </c>
      <c r="AE9" s="150"/>
      <c r="AF9" s="157" t="e">
        <f ca="1">IF(ISTEXT(B9),_xll.BDP(B9 &amp; " Equity","EXPECTED_REPORT_DT")*1,"")</f>
        <v>#NAME?</v>
      </c>
      <c r="AG9" s="157" t="e">
        <f ca="1">IF(ISTEXT(C9),_xll.BDP(C9 &amp; " Equity","EXPECTED_REPORT_DT")*1,"")</f>
        <v>#NAME?</v>
      </c>
      <c r="AH9" s="158" t="e" cm="1">
        <f t="array" aca="1" ref="AH9" ca="1">(_xll.BDP(B9&amp;" Equity","SHORT_INT")/_xll.BDP(B9&amp;" Equity","VOLUME_AVG_90D"))</f>
        <v>#NAME?</v>
      </c>
      <c r="AI9" s="158" t="e" cm="1">
        <f t="array" aca="1" ref="AI9" ca="1">(_xll.BDP(C9&amp;" Equity","SHORT_INT")/_xll.BDP(C9&amp;" Equity","VOLUME_AVG_90D"))</f>
        <v>#NAME?</v>
      </c>
      <c r="AJ9" s="158" t="e" cm="1">
        <f t="array" aca="1" ref="AJ9" ca="1">(_xll.BDP(B9&amp;" Equity","SHORT_INT"))/((_xll.BDP(B9&amp;" Equity","EQY_FREE_FLOAT_PCT"))*(_xll.BDP(B9&amp;" Equity","EQY_SH_OUT_TOT_MULT_SH")))/100</f>
        <v>#NAME?</v>
      </c>
      <c r="AK9" s="158" t="e" cm="1">
        <f t="array" aca="1" ref="AK9" ca="1">(_xll.BDP(C9&amp;" Equity","SHORT_INT"))/((_xll.BDP(C9&amp;" Equity","EQY_FREE_FLOAT_PCT"))*(_xll.BDP(C9&amp;" Equity","EQY_SH_OUT_TOT_MULT_SH")))/100</f>
        <v>#NAME?</v>
      </c>
      <c r="AM9" s="156" t="e">
        <f ca="1">IF(ISTEXT(B9),AP9/_xll.BDH(B9 &amp;  " Equity","BEST_EPS",$AM$3,$AM$3,"BEST_FPERIOD_OVERRIDE=1BF","CDR=US","Fill=p")-1,"")</f>
        <v>#NAME?</v>
      </c>
      <c r="AN9" s="156" t="e">
        <f ca="1">IF(ISTEXT(B9),AP9/_xll.BDH(B9 &amp;  " Equity","BEST_EPS",$AN$3,$AN$3,"BEST_FPERIOD_OVERRIDE=1BF","CDR=US","Fill=p")-1,"")</f>
        <v>#NAME?</v>
      </c>
      <c r="AO9" s="158" t="e">
        <f t="shared" ca="1" si="7"/>
        <v>#NAME?</v>
      </c>
      <c r="AP9" s="158" t="e" cm="1">
        <f t="array" aca="1" ref="AP9" ca="1">IF(ISTEXT(B9),_xll.BDH(B9 &amp;  " Equity","BEST_EPS",$Q$3,$Q$3,"BEST_FPERIOD_OVERRIDE=1BF","CDR=US","Fill=p"),"")</f>
        <v>#NAME?</v>
      </c>
      <c r="AR9" s="156" t="e">
        <f ca="1">IF(ISTEXT(C9),AU9/_xll.BDH(C9 &amp;  " Equity","BEST_EPS",$AM$3,$AM$3,"BEST_FPERIOD_OVERRIDE=1BF","CDR=US","Fill=p")-1,"")</f>
        <v>#NAME?</v>
      </c>
      <c r="AS9" s="156" t="e">
        <f ca="1">IF(ISTEXT(C9),AU9/_xll.BDH(C9 &amp;  " Equity","BEST_EPS",$AN$3,$AN$3,"BEST_FPERIOD_OVERRIDE=1BF","CDR=US","Fill=p")-1,"")</f>
        <v>#NAME?</v>
      </c>
      <c r="AT9" s="158" t="e">
        <f t="shared" ca="1" si="8"/>
        <v>#NAME?</v>
      </c>
      <c r="AU9" s="158" t="e" cm="1">
        <f t="array" aca="1" ref="AU9" ca="1">IF(ISTEXT(C9),_xll.BDH(C9 &amp;  " Equity","BEST_EPS",$Q$3,$Q$3,"BEST_FPERIOD_OVERRIDE=1BF","CDR=US","Fill=p"),"")</f>
        <v>#NAME?</v>
      </c>
    </row>
    <row r="10" spans="1:47">
      <c r="A10" t="str">
        <f t="shared" si="0"/>
        <v>.TSMSMH</v>
      </c>
      <c r="B10" s="148" t="s">
        <v>44</v>
      </c>
      <c r="C10" s="148" t="s">
        <v>83</v>
      </c>
      <c r="D10" s="148"/>
      <c r="E10" s="148"/>
      <c r="F10" s="148"/>
      <c r="G10" s="149" t="e" cm="1">
        <f t="array" aca="1" ref="G10" ca="1">_xll.BDP(B10&amp;" Equity","LAST PRICE")</f>
        <v>#NAME?</v>
      </c>
      <c r="H10" s="150" t="e" cm="1">
        <f t="array" aca="1" ref="H10" ca="1">G10/_xll.BDP(B10&amp;" Equity", "PREV_CLOSE_VAL")-1</f>
        <v>#NAME?</v>
      </c>
      <c r="I10" s="149" t="e" cm="1">
        <f t="array" aca="1" ref="I10" ca="1">_xll.BDP(C10&amp;" Equity","LAST PRICE")</f>
        <v>#NAME?</v>
      </c>
      <c r="J10" s="150" t="e" cm="1">
        <f t="array" aca="1" ref="J10" ca="1">I10/_xll.BDP(C10&amp;" Equity", "PREV_CLOSE_VAL")-1</f>
        <v>#NAME?</v>
      </c>
      <c r="K10" s="151" t="e">
        <f t="shared" ca="1" si="1"/>
        <v>#NAME?</v>
      </c>
      <c r="L10" s="150" t="e" cm="1">
        <f t="array" aca="1" ref="L10" ca="1">K10/(_xll.BDP(B10&amp;" Equity", "PREV_CLOSE_VAL")/_xll.BDP(C10&amp;" Equity", "PREV_CLOSE_VAL"))-1</f>
        <v>#NAME?</v>
      </c>
      <c r="M10" s="150"/>
      <c r="N10" s="152" t="e">
        <f t="shared" ca="1" si="2"/>
        <v>#NAME?</v>
      </c>
      <c r="O10" s="153" t="e">
        <f t="shared" ca="1" si="3"/>
        <v>#NAME?</v>
      </c>
      <c r="P10" s="154" t="e" cm="1">
        <f t="array" aca="1" ref="P10" ca="1">_xll.BDP($A10&amp;" Index","VOLATILITY_30D")</f>
        <v>#NAME?</v>
      </c>
      <c r="Q10" s="154" t="e" cm="1">
        <f t="array" aca="1" ref="Q10" ca="1">(_xll.BDP(($B10&amp; " Equity"),"CORR_COEF", "BETA_OVERRIDE_REL_INDEX",($C10&amp; " Equity"),"BETA_OVERRIDE_END_DT",$Q$5,"BETA_OVERRIDE_START_DT",$Q$4))*100</f>
        <v>#NAME?</v>
      </c>
      <c r="R10" s="150"/>
      <c r="S10" s="150" t="e" cm="1">
        <f t="array" aca="1" ref="S10" ca="1">_xll.BDP($A10&amp;" Index","CHG_PCT_2D")/100</f>
        <v>#NAME?</v>
      </c>
      <c r="T10" s="150" t="e" cm="1">
        <f t="array" aca="1" ref="T10" ca="1">_xll.BDP($A10&amp;" Index","CHG_PCT_5D")/100</f>
        <v>#NAME?</v>
      </c>
      <c r="U10" s="150" t="e" cm="1">
        <f t="array" aca="1" ref="U10" ca="1">K10/_xll.BDP($A10&amp;" Index","HIGH_52WEEK")-1</f>
        <v>#NAME?</v>
      </c>
      <c r="V10" s="150" t="e" cm="1">
        <f t="array" aca="1" ref="V10" ca="1">K10/_xll.BDP($A10&amp;" Index","LOW_52WEEK")-1</f>
        <v>#NAME?</v>
      </c>
      <c r="W10" s="150"/>
      <c r="X10" s="154" t="e" cm="1">
        <f t="array" aca="1" ref="X10" ca="1">_xll.BDP($A10&amp;" Index","RSI_14D")</f>
        <v>#NAME?</v>
      </c>
      <c r="Y10" s="155"/>
      <c r="Z10" s="156" t="e">
        <f t="shared" ca="1" si="4"/>
        <v>#NAME?</v>
      </c>
      <c r="AA10" s="155"/>
      <c r="AB10" s="156" t="e">
        <f t="shared" ca="1" si="5"/>
        <v>#NAME?</v>
      </c>
      <c r="AC10" s="155"/>
      <c r="AD10" s="150" t="e">
        <f t="shared" ca="1" si="6"/>
        <v>#NAME?</v>
      </c>
      <c r="AE10" s="150"/>
      <c r="AF10" s="157" t="e">
        <f ca="1">IF(ISTEXT(B10),_xll.BDP(B10 &amp; " Equity","EXPECTED_REPORT_DT")*1,"")</f>
        <v>#NAME?</v>
      </c>
      <c r="AG10" s="157" t="e">
        <f ca="1">IF(ISTEXT(C10),_xll.BDP(C10 &amp; " Equity","EXPECTED_REPORT_DT")*1,"")</f>
        <v>#NAME?</v>
      </c>
      <c r="AH10" s="158" t="e" cm="1">
        <f t="array" aca="1" ref="AH10" ca="1">(_xll.BDP(B10&amp;" Equity","SHORT_INT")/_xll.BDP(B10&amp;" Equity","VOLUME_AVG_90D"))</f>
        <v>#NAME?</v>
      </c>
      <c r="AI10" s="158" t="e" cm="1">
        <f t="array" aca="1" ref="AI10" ca="1">(_xll.BDP(C10&amp;" Equity","SHORT_INT")/_xll.BDP(C10&amp;" Equity","VOLUME_AVG_90D"))</f>
        <v>#NAME?</v>
      </c>
      <c r="AJ10" s="158" t="e" cm="1">
        <f t="array" aca="1" ref="AJ10" ca="1">(_xll.BDP(B10&amp;" Equity","SHORT_INT"))/((_xll.BDP(B10&amp;" Equity","EQY_FREE_FLOAT_PCT"))*(_xll.BDP(B10&amp;" Equity","EQY_SH_OUT_TOT_MULT_SH")))/100</f>
        <v>#NAME?</v>
      </c>
      <c r="AK10" s="158" t="e" cm="1">
        <f t="array" aca="1" ref="AK10" ca="1">(_xll.BDP(C10&amp;" Equity","SHORT_INT"))/((_xll.BDP(C10&amp;" Equity","EQY_FREE_FLOAT_PCT"))*(_xll.BDP(C10&amp;" Equity","EQY_SH_OUT_TOT_MULT_SH")))/100</f>
        <v>#NAME?</v>
      </c>
      <c r="AM10" s="156" t="e">
        <f ca="1">IF(ISTEXT(B10),AP10/_xll.BDH(B10 &amp;  " Equity","BEST_EPS",$AM$3,$AM$3,"BEST_FPERIOD_OVERRIDE=1BF","CDR=US","Fill=p")-1,"")</f>
        <v>#NAME?</v>
      </c>
      <c r="AN10" s="156" t="e">
        <f ca="1">IF(ISTEXT(B10),AP10/_xll.BDH(B10 &amp;  " Equity","BEST_EPS",$AN$3,$AN$3,"BEST_FPERIOD_OVERRIDE=1BF","CDR=US","Fill=p")-1,"")</f>
        <v>#NAME?</v>
      </c>
      <c r="AO10" s="158" t="e">
        <f t="shared" ca="1" si="7"/>
        <v>#NAME?</v>
      </c>
      <c r="AP10" s="158" t="e" cm="1">
        <f t="array" aca="1" ref="AP10" ca="1">IF(ISTEXT(B10),_xll.BDH(B10 &amp;  " Equity","BEST_EPS",$Q$3,$Q$3,"BEST_FPERIOD_OVERRIDE=1BF","CDR=US","Fill=p"),"")</f>
        <v>#NAME?</v>
      </c>
      <c r="AR10" s="156" t="e">
        <f ca="1">IF(ISTEXT(C10),AU10/_xll.BDH(C10 &amp;  " Equity","BEST_EPS",$AM$3,$AM$3,"BEST_FPERIOD_OVERRIDE=1BF","CDR=US","Fill=p")-1,"")</f>
        <v>#NAME?</v>
      </c>
      <c r="AS10" s="156" t="e">
        <f ca="1">IF(ISTEXT(C10),AU10/_xll.BDH(C10 &amp;  " Equity","BEST_EPS",$AN$3,$AN$3,"BEST_FPERIOD_OVERRIDE=1BF","CDR=US","Fill=p")-1,"")</f>
        <v>#NAME?</v>
      </c>
      <c r="AT10" s="158" t="e">
        <f t="shared" ca="1" si="8"/>
        <v>#NAME?</v>
      </c>
      <c r="AU10" s="158" t="e" cm="1">
        <f t="array" aca="1" ref="AU10" ca="1">IF(ISTEXT(C10),_xll.BDH(C10 &amp;  " Equity","BEST_EPS",$Q$3,$Q$3,"BEST_FPERIOD_OVERRIDE=1BF","CDR=US","Fill=p"),"")</f>
        <v>#NAME?</v>
      </c>
    </row>
    <row r="11" spans="1:47">
      <c r="A11" t="str">
        <f t="shared" si="0"/>
        <v>.NVDASMH</v>
      </c>
      <c r="B11" s="148" t="s">
        <v>42</v>
      </c>
      <c r="C11" s="148" t="s">
        <v>83</v>
      </c>
      <c r="D11" s="148"/>
      <c r="E11" s="148"/>
      <c r="F11" s="148"/>
      <c r="G11" s="149" t="e" cm="1">
        <f t="array" aca="1" ref="G11" ca="1">_xll.BDP(B11&amp;" Equity","LAST PRICE")</f>
        <v>#NAME?</v>
      </c>
      <c r="H11" s="150" t="e" cm="1">
        <f t="array" aca="1" ref="H11" ca="1">G11/_xll.BDP(B11&amp;" Equity", "PREV_CLOSE_VAL")-1</f>
        <v>#NAME?</v>
      </c>
      <c r="I11" s="149" t="e" cm="1">
        <f t="array" aca="1" ref="I11" ca="1">_xll.BDP(C11&amp;" Equity","LAST PRICE")</f>
        <v>#NAME?</v>
      </c>
      <c r="J11" s="150" t="e" cm="1">
        <f t="array" aca="1" ref="J11" ca="1">I11/_xll.BDP(C11&amp;" Equity", "PREV_CLOSE_VAL")-1</f>
        <v>#NAME?</v>
      </c>
      <c r="K11" s="151" t="e">
        <f t="shared" ca="1" si="1"/>
        <v>#NAME?</v>
      </c>
      <c r="L11" s="150" t="e" cm="1">
        <f t="array" aca="1" ref="L11" ca="1">K11/(_xll.BDP(B11&amp;" Equity", "PREV_CLOSE_VAL")/_xll.BDP(C11&amp;" Equity", "PREV_CLOSE_VAL"))-1</f>
        <v>#NAME?</v>
      </c>
      <c r="M11" s="150"/>
      <c r="N11" s="152" t="e">
        <f t="shared" ca="1" si="2"/>
        <v>#NAME?</v>
      </c>
      <c r="O11" s="153" t="e">
        <f t="shared" ca="1" si="3"/>
        <v>#NAME?</v>
      </c>
      <c r="P11" s="154" t="e" cm="1">
        <f t="array" aca="1" ref="P11" ca="1">_xll.BDP($A11&amp;" Index","VOLATILITY_30D")</f>
        <v>#NAME?</v>
      </c>
      <c r="Q11" s="154" t="e" cm="1">
        <f t="array" aca="1" ref="Q11" ca="1">(_xll.BDP(($B11&amp; " Equity"),"CORR_COEF", "BETA_OVERRIDE_REL_INDEX",($C11&amp; " Equity"),"BETA_OVERRIDE_END_DT",$Q$5,"BETA_OVERRIDE_START_DT",$Q$4))*100</f>
        <v>#NAME?</v>
      </c>
      <c r="R11" s="150"/>
      <c r="S11" s="150" t="e" cm="1">
        <f t="array" aca="1" ref="S11" ca="1">_xll.BDP($A11&amp;" Index","CHG_PCT_2D")/100</f>
        <v>#NAME?</v>
      </c>
      <c r="T11" s="150" t="e" cm="1">
        <f t="array" aca="1" ref="T11" ca="1">_xll.BDP($A11&amp;" Index","CHG_PCT_5D")/100</f>
        <v>#NAME?</v>
      </c>
      <c r="U11" s="150" t="e" cm="1">
        <f t="array" aca="1" ref="U11" ca="1">K11/_xll.BDP($A11&amp;" Index","HIGH_52WEEK")-1</f>
        <v>#NAME?</v>
      </c>
      <c r="V11" s="150" t="e" cm="1">
        <f t="array" aca="1" ref="V11" ca="1">K11/_xll.BDP($A11&amp;" Index","LOW_52WEEK")-1</f>
        <v>#NAME?</v>
      </c>
      <c r="W11" s="150"/>
      <c r="X11" s="154" t="e" cm="1">
        <f t="array" aca="1" ref="X11" ca="1">_xll.BDP($A11&amp;" Index","RSI_14D")</f>
        <v>#NAME?</v>
      </c>
      <c r="Y11" s="155"/>
      <c r="Z11" s="156" t="e">
        <f t="shared" ca="1" si="4"/>
        <v>#NAME?</v>
      </c>
      <c r="AA11" s="155"/>
      <c r="AB11" s="156" t="e">
        <f t="shared" ca="1" si="5"/>
        <v>#NAME?</v>
      </c>
      <c r="AC11" s="155"/>
      <c r="AD11" s="150" t="e">
        <f t="shared" ca="1" si="6"/>
        <v>#NAME?</v>
      </c>
      <c r="AE11" s="150"/>
      <c r="AF11" s="157" t="e">
        <f ca="1">IF(ISTEXT(B11),_xll.BDP(B11 &amp; " Equity","EXPECTED_REPORT_DT")*1,"")</f>
        <v>#NAME?</v>
      </c>
      <c r="AG11" s="157" t="e">
        <f ca="1">IF(ISTEXT(C11),_xll.BDP(C11 &amp; " Equity","EXPECTED_REPORT_DT")*1,"")</f>
        <v>#NAME?</v>
      </c>
      <c r="AH11" s="158" t="e" cm="1">
        <f t="array" aca="1" ref="AH11" ca="1">(_xll.BDP(B11&amp;" Equity","SHORT_INT")/_xll.BDP(B11&amp;" Equity","VOLUME_AVG_90D"))</f>
        <v>#NAME?</v>
      </c>
      <c r="AI11" s="158" t="e" cm="1">
        <f t="array" aca="1" ref="AI11" ca="1">(_xll.BDP(C11&amp;" Equity","SHORT_INT")/_xll.BDP(C11&amp;" Equity","VOLUME_AVG_90D"))</f>
        <v>#NAME?</v>
      </c>
      <c r="AJ11" s="158" t="e" cm="1">
        <f t="array" aca="1" ref="AJ11" ca="1">(_xll.BDP(B11&amp;" Equity","SHORT_INT"))/((_xll.BDP(B11&amp;" Equity","EQY_FREE_FLOAT_PCT"))*(_xll.BDP(B11&amp;" Equity","EQY_SH_OUT_TOT_MULT_SH")))/100</f>
        <v>#NAME?</v>
      </c>
      <c r="AK11" s="158" t="e" cm="1">
        <f t="array" aca="1" ref="AK11" ca="1">(_xll.BDP(C11&amp;" Equity","SHORT_INT"))/((_xll.BDP(C11&amp;" Equity","EQY_FREE_FLOAT_PCT"))*(_xll.BDP(C11&amp;" Equity","EQY_SH_OUT_TOT_MULT_SH")))/100</f>
        <v>#NAME?</v>
      </c>
      <c r="AM11" s="156" t="e">
        <f ca="1">IF(ISTEXT(B11),AP11/_xll.BDH(B11 &amp;  " Equity","BEST_EPS",$AM$3,$AM$3,"BEST_FPERIOD_OVERRIDE=1BF","CDR=US","Fill=p")-1,"")</f>
        <v>#NAME?</v>
      </c>
      <c r="AN11" s="156" t="e">
        <f ca="1">IF(ISTEXT(B11),AP11/_xll.BDH(B11 &amp;  " Equity","BEST_EPS",$AN$3,$AN$3,"BEST_FPERIOD_OVERRIDE=1BF","CDR=US","Fill=p")-1,"")</f>
        <v>#NAME?</v>
      </c>
      <c r="AO11" s="158" t="e">
        <f t="shared" ca="1" si="7"/>
        <v>#NAME?</v>
      </c>
      <c r="AP11" s="158" t="e" cm="1">
        <f t="array" aca="1" ref="AP11" ca="1">IF(ISTEXT(B11),_xll.BDH(B11 &amp;  " Equity","BEST_EPS",$Q$3,$Q$3,"BEST_FPERIOD_OVERRIDE=1BF","CDR=US","Fill=p"),"")</f>
        <v>#NAME?</v>
      </c>
      <c r="AR11" s="156" t="e">
        <f ca="1">IF(ISTEXT(C11),AU11/_xll.BDH(C11 &amp;  " Equity","BEST_EPS",$AM$3,$AM$3,"BEST_FPERIOD_OVERRIDE=1BF","CDR=US","Fill=p")-1,"")</f>
        <v>#NAME?</v>
      </c>
      <c r="AS11" s="156" t="e">
        <f ca="1">IF(ISTEXT(C11),AU11/_xll.BDH(C11 &amp;  " Equity","BEST_EPS",$AN$3,$AN$3,"BEST_FPERIOD_OVERRIDE=1BF","CDR=US","Fill=p")-1,"")</f>
        <v>#NAME?</v>
      </c>
      <c r="AT11" s="158" t="e">
        <f t="shared" ca="1" si="8"/>
        <v>#NAME?</v>
      </c>
      <c r="AU11" s="158" t="e" cm="1">
        <f t="array" aca="1" ref="AU11" ca="1">IF(ISTEXT(C11),_xll.BDH(C11 &amp;  " Equity","BEST_EPS",$Q$3,$Q$3,"BEST_FPERIOD_OVERRIDE=1BF","CDR=US","Fill=p"),"")</f>
        <v>#NAME?</v>
      </c>
    </row>
    <row r="12" spans="1:47">
      <c r="A12" t="str">
        <f t="shared" si="0"/>
        <v>.AVGOSMH</v>
      </c>
      <c r="B12" s="148" t="s">
        <v>84</v>
      </c>
      <c r="C12" s="148" t="s">
        <v>83</v>
      </c>
      <c r="D12" s="148"/>
      <c r="E12" s="148"/>
      <c r="F12" s="148"/>
      <c r="G12" s="149" t="e" cm="1">
        <f t="array" aca="1" ref="G12" ca="1">_xll.BDP(B12&amp;" Equity","LAST PRICE")</f>
        <v>#NAME?</v>
      </c>
      <c r="H12" s="150" t="e" cm="1">
        <f t="array" aca="1" ref="H12" ca="1">G12/_xll.BDP(B12&amp;" Equity", "PREV_CLOSE_VAL")-1</f>
        <v>#NAME?</v>
      </c>
      <c r="I12" s="149" t="e" cm="1">
        <f t="array" aca="1" ref="I12" ca="1">_xll.BDP(C12&amp;" Equity","LAST PRICE")</f>
        <v>#NAME?</v>
      </c>
      <c r="J12" s="150" t="e" cm="1">
        <f t="array" aca="1" ref="J12" ca="1">I12/_xll.BDP(C12&amp;" Equity", "PREV_CLOSE_VAL")-1</f>
        <v>#NAME?</v>
      </c>
      <c r="K12" s="151" t="e">
        <f t="shared" ca="1" si="1"/>
        <v>#NAME?</v>
      </c>
      <c r="L12" s="150" t="e" cm="1">
        <f t="array" aca="1" ref="L12" ca="1">K12/(_xll.BDP(B12&amp;" Equity", "PREV_CLOSE_VAL")/_xll.BDP(C12&amp;" Equity", "PREV_CLOSE_VAL"))-1</f>
        <v>#NAME?</v>
      </c>
      <c r="M12" s="150"/>
      <c r="N12" s="152" t="e">
        <f t="shared" ca="1" si="2"/>
        <v>#NAME?</v>
      </c>
      <c r="O12" s="153" t="e">
        <f t="shared" ca="1" si="3"/>
        <v>#NAME?</v>
      </c>
      <c r="P12" s="154" t="e" cm="1">
        <f t="array" aca="1" ref="P12" ca="1">_xll.BDP($A12&amp;" Index","VOLATILITY_30D")</f>
        <v>#NAME?</v>
      </c>
      <c r="Q12" s="154" t="e" cm="1">
        <f t="array" aca="1" ref="Q12" ca="1">(_xll.BDP(($B12&amp; " Equity"),"CORR_COEF", "BETA_OVERRIDE_REL_INDEX",($C12&amp; " Equity"),"BETA_OVERRIDE_END_DT",$Q$5,"BETA_OVERRIDE_START_DT",$Q$4))*100</f>
        <v>#NAME?</v>
      </c>
      <c r="R12" s="150"/>
      <c r="S12" s="150" t="e" cm="1">
        <f t="array" aca="1" ref="S12" ca="1">_xll.BDP($A12&amp;" Index","CHG_PCT_2D")/100</f>
        <v>#NAME?</v>
      </c>
      <c r="T12" s="150" t="e" cm="1">
        <f t="array" aca="1" ref="T12" ca="1">_xll.BDP($A12&amp;" Index","CHG_PCT_5D")/100</f>
        <v>#NAME?</v>
      </c>
      <c r="U12" s="150" t="e" cm="1">
        <f t="array" aca="1" ref="U12" ca="1">K12/_xll.BDP($A12&amp;" Index","HIGH_52WEEK")-1</f>
        <v>#NAME?</v>
      </c>
      <c r="V12" s="150" t="e" cm="1">
        <f t="array" aca="1" ref="V12" ca="1">K12/_xll.BDP($A12&amp;" Index","LOW_52WEEK")-1</f>
        <v>#NAME?</v>
      </c>
      <c r="W12" s="150"/>
      <c r="X12" s="154" t="e" cm="1">
        <f t="array" aca="1" ref="X12" ca="1">_xll.BDP($A12&amp;" Index","RSI_14D")</f>
        <v>#NAME?</v>
      </c>
      <c r="Y12" s="155"/>
      <c r="Z12" s="156" t="e">
        <f t="shared" ca="1" si="4"/>
        <v>#NAME?</v>
      </c>
      <c r="AA12" s="155"/>
      <c r="AB12" s="156" t="e">
        <f t="shared" ca="1" si="5"/>
        <v>#NAME?</v>
      </c>
      <c r="AC12" s="155"/>
      <c r="AD12" s="150" t="e">
        <f t="shared" ca="1" si="6"/>
        <v>#NAME?</v>
      </c>
      <c r="AE12" s="150"/>
      <c r="AF12" s="157" t="e">
        <f ca="1">IF(ISTEXT(B12),_xll.BDP(B12 &amp; " Equity","EXPECTED_REPORT_DT")*1,"")</f>
        <v>#NAME?</v>
      </c>
      <c r="AG12" s="157" t="e">
        <f ca="1">IF(ISTEXT(C12),_xll.BDP(C12 &amp; " Equity","EXPECTED_REPORT_DT")*1,"")</f>
        <v>#NAME?</v>
      </c>
      <c r="AH12" s="158" t="e" cm="1">
        <f t="array" aca="1" ref="AH12" ca="1">(_xll.BDP(B12&amp;" Equity","SHORT_INT")/_xll.BDP(B12&amp;" Equity","VOLUME_AVG_90D"))</f>
        <v>#NAME?</v>
      </c>
      <c r="AI12" s="158" t="e" cm="1">
        <f t="array" aca="1" ref="AI12" ca="1">(_xll.BDP(C12&amp;" Equity","SHORT_INT")/_xll.BDP(C12&amp;" Equity","VOLUME_AVG_90D"))</f>
        <v>#NAME?</v>
      </c>
      <c r="AJ12" s="158" t="e" cm="1">
        <f t="array" aca="1" ref="AJ12" ca="1">(_xll.BDP(B12&amp;" Equity","SHORT_INT"))/((_xll.BDP(B12&amp;" Equity","EQY_FREE_FLOAT_PCT"))*(_xll.BDP(B12&amp;" Equity","EQY_SH_OUT_TOT_MULT_SH")))/100</f>
        <v>#NAME?</v>
      </c>
      <c r="AK12" s="158" t="e" cm="1">
        <f t="array" aca="1" ref="AK12" ca="1">(_xll.BDP(C12&amp;" Equity","SHORT_INT"))/((_xll.BDP(C12&amp;" Equity","EQY_FREE_FLOAT_PCT"))*(_xll.BDP(C12&amp;" Equity","EQY_SH_OUT_TOT_MULT_SH")))/100</f>
        <v>#NAME?</v>
      </c>
      <c r="AM12" s="156" t="e">
        <f ca="1">IF(ISTEXT(B12),AP12/_xll.BDH(B12 &amp;  " Equity","BEST_EPS",$AM$3,$AM$3,"BEST_FPERIOD_OVERRIDE=1BF","CDR=US","Fill=p")-1,"")</f>
        <v>#NAME?</v>
      </c>
      <c r="AN12" s="156" t="e">
        <f ca="1">IF(ISTEXT(B12),AP12/_xll.BDH(B12 &amp;  " Equity","BEST_EPS",$AN$3,$AN$3,"BEST_FPERIOD_OVERRIDE=1BF","CDR=US","Fill=p")-1,"")</f>
        <v>#NAME?</v>
      </c>
      <c r="AO12" s="158" t="e">
        <f t="shared" ca="1" si="7"/>
        <v>#NAME?</v>
      </c>
      <c r="AP12" s="158" t="e" cm="1">
        <f t="array" aca="1" ref="AP12" ca="1">IF(ISTEXT(B12),_xll.BDH(B12 &amp;  " Equity","BEST_EPS",$Q$3,$Q$3,"BEST_FPERIOD_OVERRIDE=1BF","CDR=US","Fill=p"),"")</f>
        <v>#NAME?</v>
      </c>
      <c r="AR12" s="156" t="e">
        <f ca="1">IF(ISTEXT(C12),AU12/_xll.BDH(C12 &amp;  " Equity","BEST_EPS",$AM$3,$AM$3,"BEST_FPERIOD_OVERRIDE=1BF","CDR=US","Fill=p")-1,"")</f>
        <v>#NAME?</v>
      </c>
      <c r="AS12" s="156" t="e">
        <f ca="1">IF(ISTEXT(C12),AU12/_xll.BDH(C12 &amp;  " Equity","BEST_EPS",$AN$3,$AN$3,"BEST_FPERIOD_OVERRIDE=1BF","CDR=US","Fill=p")-1,"")</f>
        <v>#NAME?</v>
      </c>
      <c r="AT12" s="158" t="e">
        <f t="shared" ca="1" si="8"/>
        <v>#NAME?</v>
      </c>
      <c r="AU12" s="158" t="e" cm="1">
        <f t="array" aca="1" ref="AU12" ca="1">IF(ISTEXT(C12),_xll.BDH(C12 &amp;  " Equity","BEST_EPS",$Q$3,$Q$3,"BEST_FPERIOD_OVERRIDE=1BF","CDR=US","Fill=p"),"")</f>
        <v>#NAME?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557</v>
      </c>
      <c r="AI2" t="s">
        <v>558</v>
      </c>
    </row>
    <row r="3" spans="3:37">
      <c r="T3" s="39"/>
      <c r="U3" s="39"/>
      <c r="V3" t="s">
        <v>554</v>
      </c>
      <c r="W3" t="s">
        <v>555</v>
      </c>
      <c r="X3" t="s">
        <v>113</v>
      </c>
      <c r="Z3" t="s">
        <v>554</v>
      </c>
      <c r="AA3" t="s">
        <v>555</v>
      </c>
      <c r="AB3" t="s">
        <v>113</v>
      </c>
      <c r="AD3" t="s">
        <v>556</v>
      </c>
      <c r="AE3" t="s">
        <v>571</v>
      </c>
    </row>
    <row r="4" spans="3:37">
      <c r="D4" t="s">
        <v>372</v>
      </c>
      <c r="F4" s="140" t="s">
        <v>94</v>
      </c>
      <c r="G4" s="140" t="s">
        <v>92</v>
      </c>
      <c r="K4" t="s">
        <v>91</v>
      </c>
      <c r="S4" s="35" t="s">
        <v>442</v>
      </c>
      <c r="T4" t="s">
        <v>38</v>
      </c>
      <c r="U4" t="s">
        <v>559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442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t="e" cm="1">
        <f t="array" aca="1" ref="F5" ca="1">_xll.BDP($C5&amp;" Equity","volatility_10d")/100</f>
        <v>#NAME?</v>
      </c>
      <c r="G5" s="130" t="e" cm="1">
        <f t="array" aca="1" ref="G5" ca="1">_xll.BDP($C5&amp;" Equity","volatility_30d")/100</f>
        <v>#NAME?</v>
      </c>
      <c r="J5" t="s">
        <v>412</v>
      </c>
      <c r="K5" s="205">
        <v>70</v>
      </c>
      <c r="L5" t="e" cm="1">
        <f t="array" aca="1" ref="L5" ca="1">_xll.BDP(J5&amp;" Equity","LAST PRICE")</f>
        <v>#NAME?</v>
      </c>
      <c r="M5" s="207" t="e">
        <f ca="1">L5/K5-1</f>
        <v>#NAME?</v>
      </c>
      <c r="S5" s="35" t="s">
        <v>442</v>
      </c>
      <c r="T5" t="s">
        <v>553</v>
      </c>
      <c r="U5" t="s">
        <v>559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442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t="e" cm="1">
        <f t="array" aca="1" ref="F6" ca="1">_xll.BDP($C6&amp;" Equity","volatility_10d")/100</f>
        <v>#NAME?</v>
      </c>
      <c r="G6" s="130" t="e" cm="1">
        <f t="array" aca="1" ref="G6" ca="1">_xll.BDP($C6&amp;" Equity","volatility_30d")/100</f>
        <v>#NAME?</v>
      </c>
      <c r="J6" t="s">
        <v>412</v>
      </c>
      <c r="K6" s="205">
        <v>70</v>
      </c>
      <c r="L6" t="e" cm="1">
        <f t="array" aca="1" ref="L6" ca="1">_xll.BDP(J6&amp;" Equity","LAST PRICE")</f>
        <v>#NAME?</v>
      </c>
      <c r="M6" s="207" t="e">
        <f ca="1">L6/K6-1</f>
        <v>#NAME?</v>
      </c>
      <c r="S6" s="35" t="s">
        <v>442</v>
      </c>
      <c r="T6" t="s">
        <v>569</v>
      </c>
      <c r="U6" t="s">
        <v>566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371</v>
      </c>
      <c r="D7" s="205">
        <v>1.2</v>
      </c>
      <c r="F7" s="130" t="e" cm="1">
        <f t="array" aca="1" ref="F7" ca="1">_xll.BDP($C7&amp;" Equity","volatility_10d")/100</f>
        <v>#NAME?</v>
      </c>
      <c r="G7" s="130" t="e" cm="1">
        <f t="array" aca="1" ref="G7" ca="1">_xll.BDP($C7&amp;" Equity","volatility_30d")/100</f>
        <v>#NAME?</v>
      </c>
      <c r="J7" t="s">
        <v>415</v>
      </c>
      <c r="K7" s="205">
        <v>28.5</v>
      </c>
      <c r="L7" t="e" cm="1">
        <f t="array" aca="1" ref="L7" ca="1">_xll.BDP(J7&amp;" Equity","LAST PRICE")</f>
        <v>#NAME?</v>
      </c>
      <c r="M7" s="207" t="e">
        <f t="shared" ref="M7:M13" ca="1" si="6">L7/K7-1</f>
        <v>#NAME?</v>
      </c>
      <c r="S7" s="35" t="s">
        <v>442</v>
      </c>
      <c r="T7" t="s">
        <v>29</v>
      </c>
      <c r="U7" t="s">
        <v>545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t="e" cm="1">
        <f t="array" aca="1" ref="F8" ca="1">_xll.BDP($C8&amp;" Equity","volatility_10d")/100</f>
        <v>#NAME?</v>
      </c>
      <c r="G8" s="130" t="e" cm="1">
        <f t="array" aca="1" ref="G8" ca="1">_xll.BDP($C8&amp;" Equity","volatility_30d")/100</f>
        <v>#NAME?</v>
      </c>
      <c r="J8" t="s">
        <v>317</v>
      </c>
      <c r="K8" s="205">
        <v>318.75</v>
      </c>
      <c r="L8" t="e" cm="1">
        <f t="array" aca="1" ref="L8" ca="1">_xll.BDP(J8&amp;" Equity","LAST PRICE")</f>
        <v>#NAME?</v>
      </c>
      <c r="M8" s="207" t="e">
        <f t="shared" ca="1" si="6"/>
        <v>#NAME?</v>
      </c>
      <c r="S8" s="35" t="s">
        <v>442</v>
      </c>
      <c r="T8" t="s">
        <v>31</v>
      </c>
      <c r="U8" t="s">
        <v>545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t="e" cm="1">
        <f t="array" aca="1" ref="F9" ca="1">_xll.BDP($C9&amp;" Equity","volatility_10d")/100</f>
        <v>#NAME?</v>
      </c>
      <c r="G9" s="130" t="e" cm="1">
        <f t="array" aca="1" ref="G9" ca="1">_xll.BDP($C9&amp;" Equity","volatility_30d")/100</f>
        <v>#NAME?</v>
      </c>
      <c r="J9" t="s">
        <v>81</v>
      </c>
      <c r="K9" s="205">
        <v>265.95999999999998</v>
      </c>
      <c r="L9" t="e" cm="1">
        <f t="array" aca="1" ref="L9" ca="1">_xll.BDP(J9&amp;" Equity","LAST PRICE")</f>
        <v>#NAME?</v>
      </c>
      <c r="M9" s="207" t="e">
        <f t="shared" ca="1" si="6"/>
        <v>#NAME?</v>
      </c>
      <c r="S9" s="35" t="s">
        <v>442</v>
      </c>
      <c r="T9" t="s">
        <v>316</v>
      </c>
      <c r="U9" t="s">
        <v>545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442</v>
      </c>
      <c r="AK9" s="20"/>
    </row>
    <row r="10" spans="3:37">
      <c r="C10" t="s">
        <v>274</v>
      </c>
      <c r="D10" s="205">
        <v>1.2</v>
      </c>
      <c r="E10" s="205">
        <v>1.35</v>
      </c>
      <c r="F10" s="130" t="e" cm="1">
        <f t="array" aca="1" ref="F10" ca="1">_xll.BDP($C10&amp;" Equity","volatility_10d")/100</f>
        <v>#NAME?</v>
      </c>
      <c r="G10" s="130" t="e" cm="1">
        <f t="array" aca="1" ref="G10" ca="1">_xll.BDP($C10&amp;" Equity","volatility_30d")/100</f>
        <v>#NAME?</v>
      </c>
      <c r="J10" t="s">
        <v>425</v>
      </c>
      <c r="K10" s="205">
        <v>251.52</v>
      </c>
      <c r="L10" t="e" cm="1">
        <f t="array" aca="1" ref="L10" ca="1">_xll.BDP(J10&amp;" Equity","LAST PRICE")</f>
        <v>#NAME?</v>
      </c>
      <c r="M10" s="207" t="e">
        <f t="shared" ca="1" si="6"/>
        <v>#NAME?</v>
      </c>
      <c r="S10" s="35" t="s">
        <v>442</v>
      </c>
      <c r="T10" t="s">
        <v>570</v>
      </c>
      <c r="U10" t="s">
        <v>560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t="e" cm="1">
        <f t="array" aca="1" ref="F11" ca="1">_xll.BDP($C11&amp;" Equity","volatility_10d")/100</f>
        <v>#NAME?</v>
      </c>
      <c r="G11" s="130" t="e" cm="1">
        <f t="array" aca="1" ref="G11" ca="1">_xll.BDP($C11&amp;" Equity","volatility_30d")/100</f>
        <v>#NAME?</v>
      </c>
      <c r="J11" t="s">
        <v>277</v>
      </c>
      <c r="K11" s="205">
        <v>117.4</v>
      </c>
      <c r="L11" t="e" cm="1">
        <f t="array" aca="1" ref="L11" ca="1">_xll.BDP(J11&amp;" Equity","LAST PRICE")</f>
        <v>#NAME?</v>
      </c>
      <c r="M11" s="207" t="e">
        <f t="shared" ca="1" si="6"/>
        <v>#NAME?</v>
      </c>
      <c r="S11" s="35" t="s">
        <v>442</v>
      </c>
      <c r="T11" t="s">
        <v>42</v>
      </c>
      <c r="U11" t="s">
        <v>546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363</v>
      </c>
      <c r="D12" s="205">
        <v>1.5</v>
      </c>
      <c r="E12" s="205">
        <v>1.07</v>
      </c>
      <c r="F12" s="130" t="e" cm="1">
        <f t="array" aca="1" ref="F12" ca="1">_xll.BDP($C12&amp;" Equity","volatility_10d")/100</f>
        <v>#NAME?</v>
      </c>
      <c r="G12" s="130" t="e" cm="1">
        <f t="array" aca="1" ref="G12" ca="1">_xll.BDP($C12&amp;" Equity","volatility_30d")/100</f>
        <v>#NAME?</v>
      </c>
      <c r="J12" t="s">
        <v>414</v>
      </c>
      <c r="K12" s="205">
        <v>5420</v>
      </c>
      <c r="L12" t="e" cm="1">
        <f t="array" aca="1" ref="L12" ca="1">_xll.BDP(J12&amp;" Index","LAST PRICE")</f>
        <v>#NAME?</v>
      </c>
      <c r="M12" s="207" t="e">
        <f t="shared" ca="1" si="6"/>
        <v>#NAME?</v>
      </c>
      <c r="S12" s="35" t="s">
        <v>442</v>
      </c>
      <c r="T12" t="s">
        <v>84</v>
      </c>
      <c r="U12" t="s">
        <v>560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367</v>
      </c>
      <c r="D13" s="205">
        <v>1.5</v>
      </c>
      <c r="E13" s="205">
        <v>0.97</v>
      </c>
      <c r="F13" s="130" t="e" cm="1">
        <f t="array" aca="1" ref="F13" ca="1">_xll.BDP($C13&amp;" Equity","volatility_10d")/100</f>
        <v>#NAME?</v>
      </c>
      <c r="G13" s="130" t="e" cm="1">
        <f t="array" aca="1" ref="G13" ca="1">_xll.BDP($C13&amp;" Equity","volatility_30d")/100</f>
        <v>#NAME?</v>
      </c>
      <c r="J13" t="s">
        <v>416</v>
      </c>
      <c r="K13" s="205">
        <v>386.5</v>
      </c>
      <c r="L13" t="e" cm="1">
        <f t="array" aca="1" ref="L13" ca="1">_xll.BDP(J13&amp;" Index","LAST PRICE")</f>
        <v>#NAME?</v>
      </c>
      <c r="M13" s="207" t="e">
        <f t="shared" ca="1" si="6"/>
        <v>#NAME?</v>
      </c>
      <c r="S13" s="35" t="s">
        <v>442</v>
      </c>
      <c r="T13" t="s">
        <v>44</v>
      </c>
      <c r="U13" t="s">
        <v>546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442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t="e" cm="1">
        <f t="array" aca="1" ref="F14" ca="1">_xll.BDP($C14&amp;" Equity","volatility_10d")/100</f>
        <v>#NAME?</v>
      </c>
      <c r="G14" s="130" t="e" cm="1">
        <f t="array" aca="1" ref="G14" ca="1">_xll.BDP($C14&amp;" Equity","volatility_30d")/100</f>
        <v>#NAME?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t="e" cm="1">
        <f t="array" aca="1" ref="F15" ca="1">_xll.BDP($C15&amp;" Equity","volatility_10d")/100</f>
        <v>#NAME?</v>
      </c>
      <c r="G15" s="130" t="e" cm="1">
        <f t="array" aca="1" ref="G15" ca="1">_xll.BDP($C15&amp;" Equity","volatility_30d")/100</f>
        <v>#NAME?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t="e" cm="1">
        <f t="array" aca="1" ref="F16" ca="1">_xll.BDP($C16&amp;" Equity","volatility_10d")/100</f>
        <v>#NAME?</v>
      </c>
      <c r="G16" s="130" t="e" cm="1">
        <f t="array" aca="1" ref="G16" ca="1">_xll.BDP($C16&amp;" Equity","volatility_30d")/100</f>
        <v>#NAME?</v>
      </c>
    </row>
    <row r="17" spans="3:42">
      <c r="C17" t="s">
        <v>43</v>
      </c>
      <c r="D17" s="205">
        <v>1.9</v>
      </c>
      <c r="E17" s="205">
        <v>1.9</v>
      </c>
      <c r="F17" s="130" t="e" cm="1">
        <f t="array" aca="1" ref="F17" ca="1">_xll.BDP($C17&amp;" Equity","volatility_10d")/100</f>
        <v>#NAME?</v>
      </c>
      <c r="G17" s="130" t="e" cm="1">
        <f t="array" aca="1" ref="G17" ca="1">_xll.BDP($C17&amp;" Equity","volatility_30d")/100</f>
        <v>#NAME?</v>
      </c>
      <c r="AP17" t="s">
        <v>442</v>
      </c>
    </row>
    <row r="18" spans="3:42">
      <c r="C18" t="s">
        <v>83</v>
      </c>
      <c r="D18" s="205">
        <v>1.9</v>
      </c>
      <c r="E18" s="205">
        <v>1.9</v>
      </c>
      <c r="F18" s="130" t="e" cm="1">
        <f t="array" aca="1" ref="F18" ca="1">_xll.BDP($C18&amp;" Equity","volatility_10d")/100</f>
        <v>#NAME?</v>
      </c>
      <c r="G18" s="130" t="e" cm="1">
        <f t="array" aca="1" ref="G18" ca="1">_xll.BDP($C18&amp;" Equity","volatility_30d")/100</f>
        <v>#NAME?</v>
      </c>
      <c r="AP18" t="s">
        <v>442</v>
      </c>
    </row>
    <row r="19" spans="3:42">
      <c r="C19" t="s">
        <v>4</v>
      </c>
      <c r="D19" s="205">
        <v>0.75</v>
      </c>
      <c r="E19" s="205">
        <v>0.54</v>
      </c>
      <c r="F19" s="130" t="e" cm="1">
        <f t="array" aca="1" ref="F19" ca="1">_xll.BDP($C19&amp;" Equity","volatility_10d")/100</f>
        <v>#NAME?</v>
      </c>
      <c r="G19" s="130" t="e" cm="1">
        <f t="array" aca="1" ref="G19" ca="1">_xll.BDP($C19&amp;" Equity","volatility_30d")/100</f>
        <v>#NAME?</v>
      </c>
      <c r="AP19" t="s">
        <v>442</v>
      </c>
    </row>
    <row r="20" spans="3:42">
      <c r="C20" t="s">
        <v>518</v>
      </c>
      <c r="D20" s="205">
        <v>1</v>
      </c>
      <c r="F20" s="130" t="e" cm="1">
        <f t="array" aca="1" ref="F20" ca="1">_xll.BDP($C20&amp;" Equity","volatility_10d")/100</f>
        <v>#NAME?</v>
      </c>
      <c r="G20" s="130" t="e" cm="1">
        <f t="array" aca="1" ref="G20" ca="1">_xll.BDP($C20&amp;" Equity","volatility_30d")/100</f>
        <v>#NAME?</v>
      </c>
    </row>
    <row r="21" spans="3:42">
      <c r="C21" t="s">
        <v>3</v>
      </c>
      <c r="D21" s="205">
        <v>1</v>
      </c>
      <c r="E21" s="205">
        <v>0.9</v>
      </c>
      <c r="F21" s="130" t="e" cm="1">
        <f t="array" aca="1" ref="F21" ca="1">_xll.BDP($C21&amp;" Equity","volatility_10d")/100</f>
        <v>#NAME?</v>
      </c>
      <c r="G21" s="130" t="e" cm="1">
        <f t="array" aca="1" ref="G21" ca="1">_xll.BDP($C21&amp;" Equity","volatility_30d")/100</f>
        <v>#NAME?</v>
      </c>
    </row>
    <row r="22" spans="3:42">
      <c r="C22" t="s">
        <v>0</v>
      </c>
      <c r="D22" s="205">
        <v>1</v>
      </c>
      <c r="E22" s="205">
        <v>1</v>
      </c>
      <c r="F22" s="130" t="e" cm="1">
        <f t="array" aca="1" ref="F22" ca="1">_xll.BDP($C22&amp;" Equity","volatility_10d")/100</f>
        <v>#NAME?</v>
      </c>
      <c r="G22" s="130" t="e" cm="1">
        <f t="array" aca="1" ref="G22" ca="1">_xll.BDP($C22&amp;" Equity","volatility_30d")/100</f>
        <v>#NAME?</v>
      </c>
    </row>
    <row r="23" spans="3:42" ht="15.75">
      <c r="C23" t="s">
        <v>82</v>
      </c>
      <c r="D23" s="205">
        <v>1.2</v>
      </c>
      <c r="E23" s="205">
        <v>1.2</v>
      </c>
      <c r="F23" s="130" t="e" cm="1">
        <f t="array" aca="1" ref="F23" ca="1">_xll.BDP($C23&amp;" Equity","volatility_10d")/100</f>
        <v>#NAME?</v>
      </c>
      <c r="G23" s="130" t="e" cm="1">
        <f t="array" aca="1" ref="G23" ca="1">_xll.BDP($C23&amp;" Equity","volatility_30d")/100</f>
        <v>#NAME?</v>
      </c>
      <c r="K23" s="302" t="s">
        <v>573</v>
      </c>
      <c r="L23" s="303">
        <v>-1.0963377653370632E-2</v>
      </c>
      <c r="M23" s="304">
        <v>-0.37836540865925272</v>
      </c>
      <c r="N23" s="305">
        <v>3.4133390057770963E-3</v>
      </c>
      <c r="O23" s="305">
        <v>0</v>
      </c>
      <c r="P23" s="305">
        <v>3.4133390057770963E-3</v>
      </c>
      <c r="R23" s="305"/>
    </row>
    <row r="24" spans="3:42" ht="15.75">
      <c r="C24" t="s">
        <v>89</v>
      </c>
      <c r="D24" s="205">
        <v>1.3</v>
      </c>
      <c r="E24" s="205">
        <v>1.1000000000000001</v>
      </c>
      <c r="F24" s="130" t="e" cm="1">
        <f t="array" aca="1" ref="F24" ca="1">_xll.BDP($C24&amp;" Equity","volatility_10d")/100</f>
        <v>#NAME?</v>
      </c>
      <c r="G24" s="130" t="e" cm="1">
        <f t="array" aca="1" ref="G24" ca="1">_xll.BDP($C24&amp;" Equity","volatility_30d")/100</f>
        <v>#NAME?</v>
      </c>
      <c r="K24" s="299" t="s">
        <v>9</v>
      </c>
      <c r="L24" s="297">
        <v>-1.0963377653370632E-2</v>
      </c>
      <c r="M24" s="300">
        <v>-0.37836540865925272</v>
      </c>
      <c r="N24" s="298">
        <v>3.4133390057770963E-3</v>
      </c>
      <c r="O24" s="298">
        <v>0</v>
      </c>
      <c r="P24" s="298">
        <v>3.4133390057770963E-3</v>
      </c>
      <c r="R24" s="298"/>
    </row>
    <row r="25" spans="3:42" ht="15.75">
      <c r="C25" t="s">
        <v>339</v>
      </c>
      <c r="D25" s="205">
        <v>0.9</v>
      </c>
      <c r="F25" s="130" t="e" cm="1">
        <f t="array" aca="1" ref="F25" ca="1">_xll.BDP($C25&amp;" Equity","volatility_10d")/100</f>
        <v>#NAME?</v>
      </c>
      <c r="G25" s="130" t="e" cm="1">
        <f t="array" aca="1" ref="G25" ca="1">_xll.BDP($C25&amp;" Equity","volatility_30d")/100</f>
        <v>#NAME?</v>
      </c>
      <c r="K25" s="302" t="s">
        <v>32</v>
      </c>
      <c r="L25" s="303">
        <v>-5.9553798585880949E-3</v>
      </c>
      <c r="M25" s="304">
        <v>-0.63972487206523787</v>
      </c>
      <c r="N25" s="305">
        <v>1.1232261185275198E-2</v>
      </c>
      <c r="O25" s="305">
        <v>0</v>
      </c>
      <c r="P25" s="305">
        <v>1.1232261185275198E-2</v>
      </c>
      <c r="R25" s="305"/>
    </row>
    <row r="26" spans="3:42" ht="15.75">
      <c r="C26" t="s">
        <v>29</v>
      </c>
      <c r="D26" s="205" t="e" cm="1">
        <f t="array" aca="1" ref="D26" ca="1">_xll.BDP(C26&amp;" EQUITY","eqy_beta")</f>
        <v>#NAME?</v>
      </c>
      <c r="F26" s="130" t="e" cm="1">
        <f t="array" aca="1" ref="F26" ca="1">_xll.BDP($C26&amp;" Equity","volatility_10d")/100</f>
        <v>#NAME?</v>
      </c>
      <c r="G26" s="130" t="e" cm="1">
        <f t="array" aca="1" ref="G26" ca="1">_xll.BDP($C26&amp;" Equity","volatility_30d")/100</f>
        <v>#NAME?</v>
      </c>
      <c r="K26" s="299" t="s">
        <v>33</v>
      </c>
      <c r="L26" s="297">
        <v>4.7598096076157947E-3</v>
      </c>
      <c r="M26" s="300">
        <v>-4.6604870922836092E-2</v>
      </c>
      <c r="N26" s="298">
        <v>-9.837935777997017E-4</v>
      </c>
      <c r="O26" s="298">
        <v>0</v>
      </c>
      <c r="P26" s="298">
        <v>-9.837935777997017E-4</v>
      </c>
      <c r="R26" s="298"/>
    </row>
    <row r="27" spans="3:42" ht="15.75">
      <c r="C27" t="s">
        <v>27</v>
      </c>
      <c r="D27" s="205" t="e" cm="1">
        <f t="array" aca="1" ref="D27" ca="1">_xll.BDP(C27&amp;" EQUITY","eqy_beta")</f>
        <v>#NAME?</v>
      </c>
      <c r="F27" s="130" t="e" cm="1">
        <f t="array" aca="1" ref="F27" ca="1">_xll.BDP($C27&amp;" Equity","volatility_10d")/100</f>
        <v>#NAME?</v>
      </c>
      <c r="G27" s="130" t="e" cm="1">
        <f t="array" aca="1" ref="G27" ca="1">_xll.BDP($C27&amp;" Equity","volatility_30d")/100</f>
        <v>#NAME?</v>
      </c>
      <c r="K27" s="299" t="s">
        <v>6</v>
      </c>
      <c r="L27" s="297">
        <v>-2.9742661321608965E-3</v>
      </c>
      <c r="M27" s="300">
        <v>-0.27022992383829852</v>
      </c>
      <c r="N27" s="298">
        <v>9.0585770121445457E-3</v>
      </c>
      <c r="O27" s="298">
        <v>0</v>
      </c>
      <c r="P27" s="298">
        <v>9.0585770121445457E-3</v>
      </c>
      <c r="R27" s="298"/>
    </row>
    <row r="28" spans="3:42" ht="15.75">
      <c r="C28" t="s">
        <v>31</v>
      </c>
      <c r="D28" s="205" t="e" cm="1">
        <f t="array" aca="1" ref="D28" ca="1">_xll.BDP(C28&amp;" EQUITY","eqy_beta")</f>
        <v>#NAME?</v>
      </c>
      <c r="F28" s="130" t="e" cm="1">
        <f t="array" aca="1" ref="F28" ca="1">_xll.BDP($C28&amp;" Equity","volatility_10d")/100</f>
        <v>#NAME?</v>
      </c>
      <c r="G28" s="130" t="e" cm="1">
        <f t="array" aca="1" ref="G28" ca="1">_xll.BDP($C28&amp;" Equity","volatility_30d")/100</f>
        <v>#NAME?</v>
      </c>
      <c r="K28" s="299" t="s">
        <v>359</v>
      </c>
      <c r="L28" s="297">
        <v>-3.3200841711480411E-3</v>
      </c>
      <c r="M28" s="300">
        <v>-3.8619816007486069E-2</v>
      </c>
      <c r="N28" s="298">
        <v>1.1593559977233082E-3</v>
      </c>
      <c r="O28" s="298">
        <v>0</v>
      </c>
      <c r="P28" s="298">
        <v>1.1593559977233082E-3</v>
      </c>
      <c r="R28" s="298"/>
    </row>
    <row r="29" spans="3:42" ht="15.75">
      <c r="C29" t="s">
        <v>30</v>
      </c>
      <c r="D29" s="205" t="e" cm="1">
        <f t="array" aca="1" ref="D29" ca="1">_xll.BDP(C29&amp;" EQUITY","eqy_beta")</f>
        <v>#NAME?</v>
      </c>
      <c r="F29" s="130" t="e" cm="1">
        <f t="array" aca="1" ref="F29" ca="1">_xll.BDP($C29&amp;" Equity","volatility_10d")/100</f>
        <v>#NAME?</v>
      </c>
      <c r="G29" s="130" t="e" cm="1">
        <f t="array" aca="1" ref="G29" ca="1">_xll.BDP($C29&amp;" Equity","volatility_30d")/100</f>
        <v>#NAME?</v>
      </c>
      <c r="K29" s="299" t="s">
        <v>472</v>
      </c>
      <c r="L29" s="297">
        <v>-1.9074643335697972E-2</v>
      </c>
      <c r="M29" s="300">
        <v>-0.18961576845233849</v>
      </c>
      <c r="N29" s="298">
        <v>9.7511084230964917E-4</v>
      </c>
      <c r="O29" s="298">
        <v>0</v>
      </c>
      <c r="P29" s="298">
        <v>9.7511084230964917E-4</v>
      </c>
      <c r="R29" s="298"/>
    </row>
    <row r="30" spans="3:42" ht="15.75">
      <c r="C30" t="s">
        <v>38</v>
      </c>
      <c r="D30" s="205" t="e" cm="1">
        <f t="array" aca="1" ref="D30" ca="1">_xll.BDP(C30&amp;" EQUITY","eqy_beta")</f>
        <v>#NAME?</v>
      </c>
      <c r="F30" s="130" t="e" cm="1">
        <f t="array" aca="1" ref="F30" ca="1">_xll.BDP($C30&amp;" Equity","volatility_10d")/100</f>
        <v>#NAME?</v>
      </c>
      <c r="G30" s="130" t="e" cm="1">
        <f t="array" aca="1" ref="G30" ca="1">_xll.BDP($C30&amp;" Equity","volatility_30d")/100</f>
        <v>#NAME?</v>
      </c>
      <c r="K30" s="299" t="s">
        <v>567</v>
      </c>
      <c r="L30" s="297">
        <v>-9.1677152615493585E-3</v>
      </c>
      <c r="M30" s="300">
        <v>-9.4654492844278598E-2</v>
      </c>
      <c r="N30" s="298">
        <v>1.0230109108973979E-3</v>
      </c>
      <c r="O30" s="298">
        <v>0</v>
      </c>
      <c r="P30" s="298">
        <v>1.0230109108973979E-3</v>
      </c>
      <c r="R30" s="298"/>
    </row>
    <row r="31" spans="3:42" ht="15.75">
      <c r="C31" t="s">
        <v>359</v>
      </c>
      <c r="D31" s="205" t="e" cm="1">
        <f t="array" aca="1" ref="D31" ca="1">_xll.BDP(C31&amp;" EQUITY","eqy_beta")</f>
        <v>#NAME?</v>
      </c>
      <c r="F31" s="130" t="e" cm="1">
        <f t="array" aca="1" ref="F31" ca="1">_xll.BDP($C31&amp;" Equity","volatility_10d")/100</f>
        <v>#NAME?</v>
      </c>
      <c r="G31" s="130" t="e" cm="1">
        <f t="array" aca="1" ref="G31" ca="1">_xll.BDP($C31&amp;" Equity","volatility_30d")/100</f>
        <v>#NAME?</v>
      </c>
      <c r="K31" s="302" t="s">
        <v>26</v>
      </c>
      <c r="L31" s="303">
        <v>-4.2479506412567702E-3</v>
      </c>
      <c r="M31" s="304">
        <v>1.0338056955883257</v>
      </c>
      <c r="N31" s="305">
        <v>-2.396608490698357E-2</v>
      </c>
      <c r="O31" s="305">
        <v>0</v>
      </c>
      <c r="P31" s="305">
        <v>-2.396608490698357E-2</v>
      </c>
      <c r="R31" s="305"/>
    </row>
    <row r="32" spans="3:42" ht="15.75">
      <c r="C32" t="s">
        <v>34</v>
      </c>
      <c r="D32" s="205" t="e" cm="1">
        <f t="array" aca="1" ref="D32" ca="1">_xll.BDP(C32&amp;" EQUITY","eqy_beta")</f>
        <v>#NAME?</v>
      </c>
      <c r="F32" s="130" t="e" cm="1">
        <f t="array" aca="1" ref="F32" ca="1">_xll.BDP($C32&amp;" Equity","volatility_10d")/100</f>
        <v>#NAME?</v>
      </c>
      <c r="G32" s="130" t="e" cm="1">
        <f t="array" aca="1" ref="G32" ca="1">_xll.BDP($C32&amp;" Equity","volatility_30d")/100</f>
        <v>#NAME?</v>
      </c>
      <c r="K32" s="299" t="s">
        <v>3</v>
      </c>
      <c r="L32" s="297">
        <v>-3.7397353418066048E-3</v>
      </c>
      <c r="M32" s="300">
        <v>0.16241210060252317</v>
      </c>
      <c r="N32" s="298">
        <v>-4.3266356450720909E-3</v>
      </c>
      <c r="O32" s="298">
        <v>0</v>
      </c>
      <c r="P32" s="298">
        <v>-4.3266356450720909E-3</v>
      </c>
      <c r="R32" s="298"/>
    </row>
    <row r="33" spans="3:18" ht="15.75">
      <c r="C33" t="s">
        <v>35</v>
      </c>
      <c r="D33" s="205" t="e" cm="1">
        <f t="array" aca="1" ref="D33" ca="1">_xll.BDP(C33&amp;" EQUITY","eqy_beta")</f>
        <v>#NAME?</v>
      </c>
      <c r="F33" s="130" t="e" cm="1">
        <f t="array" aca="1" ref="F33" ca="1">_xll.BDP($C33&amp;" Equity","volatility_10d")/100</f>
        <v>#NAME?</v>
      </c>
      <c r="G33" s="130" t="e" cm="1">
        <f t="array" aca="1" ref="G33" ca="1">_xll.BDP($C33&amp;" Equity","volatility_30d")/100</f>
        <v>#NAME?</v>
      </c>
      <c r="K33" s="299" t="s">
        <v>574</v>
      </c>
      <c r="L33" s="297">
        <v>-4.417355741073492E-3</v>
      </c>
      <c r="M33" s="300">
        <v>0.8713935949858026</v>
      </c>
      <c r="N33" s="298">
        <v>-1.9639449261911478E-2</v>
      </c>
      <c r="O33" s="298"/>
      <c r="P33" s="298">
        <v>-1.9639449261911478E-2</v>
      </c>
      <c r="R33" s="298"/>
    </row>
    <row r="34" spans="3:18" ht="15.75">
      <c r="C34" t="s">
        <v>33</v>
      </c>
      <c r="D34" s="205" t="e" cm="1">
        <f t="array" aca="1" ref="D34" ca="1">_xll.BDP(C34&amp;" EQUITY","eqy_beta")</f>
        <v>#NAME?</v>
      </c>
      <c r="F34" s="130" t="e" cm="1">
        <f t="array" aca="1" ref="F34" ca="1">_xll.BDP($C34&amp;" Equity","volatility_10d")/100</f>
        <v>#NAME?</v>
      </c>
      <c r="G34" s="130" t="e" cm="1">
        <f t="array" aca="1" ref="G34" ca="1">_xll.BDP($C34&amp;" Equity","volatility_30d")/100</f>
        <v>#NAME?</v>
      </c>
      <c r="K34" s="302" t="s">
        <v>545</v>
      </c>
      <c r="L34" s="303">
        <v>-1.068463658385139E-2</v>
      </c>
      <c r="M34" s="304">
        <v>-0.90024740598245501</v>
      </c>
      <c r="N34" s="305">
        <v>4.8096776346909318E-3</v>
      </c>
      <c r="O34" s="305">
        <v>5.1572351618506054E-3</v>
      </c>
      <c r="P34" s="305">
        <v>9.9669127965415355E-3</v>
      </c>
      <c r="R34" s="305"/>
    </row>
    <row r="35" spans="3:18" ht="15.75">
      <c r="C35" t="s">
        <v>44</v>
      </c>
      <c r="D35" s="205" t="e" cm="1">
        <f t="array" aca="1" ref="D35" ca="1">_xll.BDP(C35&amp;" EQUITY","eqy_beta")</f>
        <v>#NAME?</v>
      </c>
      <c r="F35" s="130" t="e" cm="1">
        <f t="array" aca="1" ref="F35" ca="1">_xll.BDP($C35&amp;" Equity","volatility_10d")/100</f>
        <v>#NAME?</v>
      </c>
      <c r="G35" s="130" t="e" cm="1">
        <f t="array" aca="1" ref="G35" ca="1">_xll.BDP($C35&amp;" Equity","volatility_30d")/100</f>
        <v>#NAME?</v>
      </c>
      <c r="K35" s="299" t="s">
        <v>29</v>
      </c>
      <c r="L35" s="297">
        <v>-6.4136601179329844E-3</v>
      </c>
      <c r="M35" s="300">
        <v>-0.19767788893855778</v>
      </c>
      <c r="N35" s="298">
        <v>3.0623707295760953E-3</v>
      </c>
      <c r="O35" s="298">
        <v>0</v>
      </c>
      <c r="P35" s="298">
        <v>3.0623707295760953E-3</v>
      </c>
      <c r="R35" s="298"/>
    </row>
    <row r="36" spans="3:18" ht="15.75">
      <c r="C36" t="s">
        <v>42</v>
      </c>
      <c r="D36" s="205" t="e" cm="1">
        <f t="array" aca="1" ref="D36" ca="1">_xll.BDP(C36&amp;" EQUITY","eqy_beta")</f>
        <v>#NAME?</v>
      </c>
      <c r="F36" s="130" t="e" cm="1">
        <f t="array" aca="1" ref="F36" ca="1">_xll.BDP($C36&amp;" Equity","volatility_10d")/100</f>
        <v>#NAME?</v>
      </c>
      <c r="G36" s="130" t="e" cm="1">
        <f t="array" aca="1" ref="G36" ca="1">_xll.BDP($C36&amp;" Equity","volatility_30d")/100</f>
        <v>#NAME?</v>
      </c>
      <c r="K36" s="299" t="s">
        <v>30</v>
      </c>
      <c r="L36" s="297">
        <v>4.6735154486730046E-3</v>
      </c>
      <c r="M36" s="300">
        <v>1.3065464514081379E-2</v>
      </c>
      <c r="N36" s="298">
        <v>2.8087049905996193E-4</v>
      </c>
      <c r="O36" s="298">
        <v>0</v>
      </c>
      <c r="P36" s="298">
        <v>2.8087049905996193E-4</v>
      </c>
      <c r="R36" s="298"/>
    </row>
    <row r="37" spans="3:18" ht="15.75">
      <c r="C37" t="s">
        <v>280</v>
      </c>
      <c r="D37" s="205" t="e" cm="1">
        <f t="array" aca="1" ref="D37" ca="1">_xll.BDP(C37&amp;" EQUITY","eqy_beta")</f>
        <v>#NAME?</v>
      </c>
      <c r="F37" s="130" t="e" cm="1">
        <f t="array" aca="1" ref="F37" ca="1">_xll.BDP($C37&amp;" Equity","volatility_10d")/100</f>
        <v>#NAME?</v>
      </c>
      <c r="G37" s="130" t="e" cm="1">
        <f t="array" aca="1" ref="G37" ca="1">_xll.BDP($C37&amp;" Equity","volatility_30d")/100</f>
        <v>#NAME?</v>
      </c>
      <c r="K37" s="299" t="s">
        <v>31</v>
      </c>
      <c r="L37" s="297">
        <v>-1.9930069930069849E-2</v>
      </c>
      <c r="M37" s="300">
        <v>-0.4000142632662666</v>
      </c>
      <c r="N37" s="298">
        <v>0</v>
      </c>
      <c r="O37" s="298">
        <v>1.6318254484903006E-3</v>
      </c>
      <c r="P37" s="298">
        <v>1.6318254484903006E-3</v>
      </c>
      <c r="R37" s="298"/>
    </row>
    <row r="38" spans="3:18" ht="15.75">
      <c r="C38" t="s">
        <v>77</v>
      </c>
      <c r="D38" s="205" t="e" cm="1">
        <f t="array" aca="1" ref="D38" ca="1">_xll.BDP(C38&amp;" EQUITY","eqy_beta")</f>
        <v>#NAME?</v>
      </c>
      <c r="F38" s="130" t="e" cm="1">
        <f t="array" aca="1" ref="F38" ca="1">_xll.BDP($C38&amp;" Equity","volatility_10d")/100</f>
        <v>#NAME?</v>
      </c>
      <c r="G38" s="130" t="e" cm="1">
        <f t="array" aca="1" ref="G38" ca="1">_xll.BDP($C38&amp;" Equity","volatility_30d")/100</f>
        <v>#NAME?</v>
      </c>
      <c r="K38" s="299" t="s">
        <v>316</v>
      </c>
      <c r="L38" s="297">
        <v>1.3128112267994929E-3</v>
      </c>
      <c r="M38" s="300">
        <v>7.9154304583226778E-3</v>
      </c>
      <c r="N38" s="298">
        <v>8.2776255868375693E-4</v>
      </c>
      <c r="O38" s="298">
        <v>5.6416207697500146E-4</v>
      </c>
      <c r="P38" s="298">
        <v>1.3919246356587584E-3</v>
      </c>
      <c r="R38" s="298"/>
    </row>
    <row r="39" spans="3:18" ht="15.75">
      <c r="C39" t="s">
        <v>76</v>
      </c>
      <c r="D39" s="205" t="e" cm="1">
        <f t="array" aca="1" ref="D39" ca="1">_xll.BDP(C39&amp;" EQUITY","eqy_beta")</f>
        <v>#NAME?</v>
      </c>
      <c r="F39" s="130" t="e" cm="1">
        <f t="array" aca="1" ref="F39" ca="1">_xll.BDP($C39&amp;" Equity","volatility_10d")/100</f>
        <v>#NAME?</v>
      </c>
      <c r="G39" s="130" t="e" cm="1">
        <f t="array" aca="1" ref="G39" ca="1">_xll.BDP($C39&amp;" Equity","volatility_30d")/100</f>
        <v>#NAME?</v>
      </c>
      <c r="K39" s="299" t="s">
        <v>338</v>
      </c>
      <c r="L39" s="297">
        <v>-2.3083787755390939E-2</v>
      </c>
      <c r="M39" s="300">
        <v>-0.25663139707509386</v>
      </c>
      <c r="N39" s="298">
        <v>6.3867384737111737E-4</v>
      </c>
      <c r="O39" s="298">
        <v>2.1555720957797475E-3</v>
      </c>
      <c r="P39" s="298">
        <v>2.794245943150865E-3</v>
      </c>
      <c r="Q39" s="298">
        <f>R39-P39</f>
        <v>-7.9424594315086498E-4</v>
      </c>
      <c r="R39" s="298">
        <v>2E-3</v>
      </c>
    </row>
    <row r="40" spans="3:18" ht="15.75">
      <c r="C40" t="s">
        <v>356</v>
      </c>
      <c r="D40" s="205" t="e" cm="1">
        <f t="array" aca="1" ref="D40" ca="1">_xll.BDP(C40&amp;" EQUITY","eqy_beta")</f>
        <v>#NAME?</v>
      </c>
      <c r="F40" s="130" t="e" cm="1">
        <f t="array" aca="1" ref="F40" ca="1">_xll.BDP($C40&amp;" Equity","volatility_10d")/100</f>
        <v>#NAME?</v>
      </c>
      <c r="G40" s="130" t="e" cm="1">
        <f t="array" aca="1" ref="G40" ca="1">_xll.BDP($C40&amp;" Equity","volatility_30d")/100</f>
        <v>#NAME?</v>
      </c>
      <c r="K40" s="299" t="s">
        <v>577</v>
      </c>
      <c r="L40" s="297">
        <v>-8.2674772036475108E-3</v>
      </c>
      <c r="M40" s="300">
        <v>-6.6904751674940866E-2</v>
      </c>
      <c r="N40" s="298">
        <v>0</v>
      </c>
      <c r="O40" s="298">
        <v>8.0567554060555571E-4</v>
      </c>
      <c r="P40" s="298">
        <v>8.0567554060555571E-4</v>
      </c>
      <c r="R40" s="298"/>
    </row>
    <row r="41" spans="3:18" ht="15.75">
      <c r="C41" t="s">
        <v>357</v>
      </c>
      <c r="D41" s="205" t="e" cm="1">
        <f t="array" aca="1" ref="D41" ca="1">_xll.BDP(C41&amp;" EQUITY","eqy_beta")</f>
        <v>#NAME?</v>
      </c>
      <c r="F41" s="130" t="e" cm="1">
        <f t="array" aca="1" ref="F41" ca="1">_xll.BDP($C41&amp;" Equity","volatility_10d")/100</f>
        <v>#NAME?</v>
      </c>
      <c r="G41" s="130" t="e" cm="1">
        <f t="array" aca="1" ref="G41" ca="1">_xll.BDP($C41&amp;" Equity","volatility_30d")/100</f>
        <v>#NAME?</v>
      </c>
      <c r="K41" s="302" t="s">
        <v>544</v>
      </c>
      <c r="L41" s="303">
        <v>-2.171898868541829E-2</v>
      </c>
      <c r="M41" s="304">
        <v>-2.1659089402196168</v>
      </c>
      <c r="N41" s="305">
        <v>7.426914807117521E-3</v>
      </c>
      <c r="O41" s="305">
        <v>1.0473448302227259E-2</v>
      </c>
      <c r="P41" s="305">
        <v>1.790069034429281E-2</v>
      </c>
      <c r="R41" s="305"/>
    </row>
    <row r="42" spans="3:18" ht="15.75">
      <c r="C42" t="s">
        <v>358</v>
      </c>
      <c r="D42" s="205" t="e" cm="1">
        <f t="array" aca="1" ref="D42" ca="1">_xll.BDP(C42&amp;" EQUITY","eqy_beta")</f>
        <v>#NAME?</v>
      </c>
      <c r="F42" s="130" t="e" cm="1">
        <f t="array" aca="1" ref="F42" ca="1">_xll.BDP($C42&amp;" Equity","volatility_10d")/100</f>
        <v>#NAME?</v>
      </c>
      <c r="G42" s="130" t="e" cm="1">
        <f t="array" aca="1" ref="G42" ca="1">_xll.BDP($C42&amp;" Equity","volatility_30d")/100</f>
        <v>#NAME?</v>
      </c>
      <c r="K42" s="299" t="s">
        <v>38</v>
      </c>
      <c r="L42" s="297">
        <v>-6.2572785972485057E-3</v>
      </c>
      <c r="M42" s="300">
        <v>-1.1994344461055253</v>
      </c>
      <c r="N42" s="298">
        <v>7.426914807117521E-3</v>
      </c>
      <c r="O42" s="298">
        <v>8.792129380292845E-3</v>
      </c>
      <c r="P42" s="298">
        <v>1.6219371422358395E-2</v>
      </c>
      <c r="Q42" s="298">
        <f>R42-P42</f>
        <v>-3.7193714223583939E-3</v>
      </c>
      <c r="R42" s="298">
        <v>1.2500000000000001E-2</v>
      </c>
    </row>
    <row r="43" spans="3:18" ht="15.75">
      <c r="C43" t="s">
        <v>364</v>
      </c>
      <c r="D43" s="205" t="e" cm="1">
        <f t="array" aca="1" ref="D43" ca="1">_xll.BDP(C43&amp;" EQUITY","eqy_beta")</f>
        <v>#NAME?</v>
      </c>
      <c r="F43" s="130" t="e" cm="1">
        <f t="array" aca="1" ref="F43" ca="1">_xll.BDP($C43&amp;" Equity","volatility_10d")/100</f>
        <v>#NAME?</v>
      </c>
      <c r="G43" s="130" t="e" cm="1">
        <f t="array" aca="1" ref="G43" ca="1">_xll.BDP($C43&amp;" Equity","volatility_30d")/100</f>
        <v>#NAME?</v>
      </c>
      <c r="K43" s="299" t="s">
        <v>553</v>
      </c>
      <c r="L43" s="297">
        <v>-5.2642408861757861E-2</v>
      </c>
      <c r="M43" s="300">
        <v>-0.96647449411409159</v>
      </c>
      <c r="N43" s="298">
        <v>0</v>
      </c>
      <c r="O43" s="298">
        <v>1.6813189219344138E-3</v>
      </c>
      <c r="P43" s="298">
        <v>1.6813189219344138E-3</v>
      </c>
      <c r="Q43" s="298">
        <f>R43-P43</f>
        <v>-6.8131892193441378E-4</v>
      </c>
      <c r="R43" s="298">
        <v>1E-3</v>
      </c>
    </row>
    <row r="44" spans="3:18" ht="15.75">
      <c r="C44" t="s">
        <v>41</v>
      </c>
      <c r="D44" s="205" t="e" cm="1">
        <f t="array" aca="1" ref="D44" ca="1">_xll.BDP(C44&amp;" EQUITY","eqy_beta")</f>
        <v>#NAME?</v>
      </c>
      <c r="F44" s="130" t="e" cm="1">
        <f t="array" aca="1" ref="F44" ca="1">_xll.BDP($C44&amp;" Equity","volatility_10d")/100</f>
        <v>#NAME?</v>
      </c>
      <c r="G44" s="130" t="e" cm="1">
        <f t="array" aca="1" ref="G44" ca="1">_xll.BDP($C44&amp;" Equity","volatility_30d")/100</f>
        <v>#NAME?</v>
      </c>
      <c r="K44" s="302" t="s">
        <v>546</v>
      </c>
      <c r="L44" s="303">
        <v>-1.5317902816898016E-2</v>
      </c>
      <c r="M44" s="304">
        <v>-1.4805052895405777</v>
      </c>
      <c r="N44" s="305">
        <v>2.2698465837621799E-3</v>
      </c>
      <c r="O44" s="305">
        <v>9.6786193156367471E-3</v>
      </c>
      <c r="P44" s="305">
        <v>1.1948465899398925E-2</v>
      </c>
      <c r="R44" s="305"/>
    </row>
    <row r="45" spans="3:18" ht="15.75">
      <c r="C45" t="s">
        <v>40</v>
      </c>
      <c r="D45" s="205" t="e" cm="1">
        <f t="array" aca="1" ref="D45" ca="1">_xll.BDP(C45&amp;" EQUITY","eqy_beta")</f>
        <v>#NAME?</v>
      </c>
      <c r="F45" s="130" t="e" cm="1">
        <f t="array" aca="1" ref="F45" ca="1">_xll.BDP($C45&amp;" Equity","volatility_10d")/100</f>
        <v>#NAME?</v>
      </c>
      <c r="G45" s="130" t="e" cm="1">
        <f t="array" aca="1" ref="G45" ca="1">_xll.BDP($C45&amp;" Equity","volatility_30d")/100</f>
        <v>#NAME?</v>
      </c>
      <c r="K45" s="299" t="s">
        <v>42</v>
      </c>
      <c r="L45" s="297">
        <v>-1.4552118141639703E-3</v>
      </c>
      <c r="M45" s="300">
        <v>-0.12432534684415254</v>
      </c>
      <c r="N45" s="298">
        <v>1.543887739934495E-3</v>
      </c>
      <c r="O45" s="298">
        <v>2.9553410385488818E-3</v>
      </c>
      <c r="P45" s="298">
        <v>4.4992287784833768E-3</v>
      </c>
      <c r="Q45" s="298">
        <f>R45-P45</f>
        <v>-9.9922877848337673E-4</v>
      </c>
      <c r="R45" s="298">
        <v>3.5000000000000001E-3</v>
      </c>
    </row>
    <row r="46" spans="3:18" ht="15.75">
      <c r="K46" s="299" t="s">
        <v>44</v>
      </c>
      <c r="L46" s="297">
        <v>-1.6534391534391513E-2</v>
      </c>
      <c r="M46" s="300">
        <v>-0.9982406526329215</v>
      </c>
      <c r="N46" s="298">
        <v>0</v>
      </c>
      <c r="O46" s="298">
        <v>5.1455045378578784E-3</v>
      </c>
      <c r="P46" s="298">
        <v>5.1455045378578784E-3</v>
      </c>
      <c r="Q46" s="298">
        <f>R46-P46</f>
        <v>-1.1455045378578783E-3</v>
      </c>
      <c r="R46" s="298">
        <v>4.0000000000000001E-3</v>
      </c>
    </row>
    <row r="47" spans="3:18" ht="15.75">
      <c r="K47" s="299" t="s">
        <v>519</v>
      </c>
      <c r="L47" s="297">
        <v>-2.6798655211057065E-2</v>
      </c>
      <c r="M47" s="300">
        <v>1.5852618559466514E-2</v>
      </c>
      <c r="N47" s="298">
        <v>-7.9358043150606667E-4</v>
      </c>
      <c r="O47" s="298">
        <v>9.8607657949751791E-4</v>
      </c>
      <c r="P47" s="298">
        <v>1.9249614799145119E-4</v>
      </c>
      <c r="Q47" s="298">
        <f>R47-P47</f>
        <v>-1.9249614799145119E-4</v>
      </c>
      <c r="R47" s="298">
        <v>0</v>
      </c>
    </row>
    <row r="48" spans="3:18" ht="15.75">
      <c r="K48" s="299" t="s">
        <v>84</v>
      </c>
      <c r="L48" s="297">
        <v>-1.6483352707979515E-2</v>
      </c>
      <c r="M48" s="300">
        <v>-0.37379190862297018</v>
      </c>
      <c r="N48" s="298">
        <v>1.5195392753337515E-3</v>
      </c>
      <c r="O48" s="298">
        <v>5.9169715973246908E-4</v>
      </c>
      <c r="P48" s="298">
        <v>2.1112364350662207E-3</v>
      </c>
      <c r="Q48" s="298">
        <f>R48-P48</f>
        <v>-6.1123643506622071E-4</v>
      </c>
      <c r="R48" s="298">
        <v>1.5E-3</v>
      </c>
    </row>
    <row r="49" spans="11:18" ht="15.75">
      <c r="K49" s="302" t="s">
        <v>355</v>
      </c>
      <c r="L49" s="303">
        <v>-8.4026174193907455E-4</v>
      </c>
      <c r="M49" s="304">
        <v>-1.7578782910323221E-2</v>
      </c>
      <c r="N49" s="305">
        <v>-1.5669404759838411E-3</v>
      </c>
      <c r="O49" s="305">
        <v>2.4004823085147778E-3</v>
      </c>
      <c r="P49" s="305">
        <v>8.3354183253093669E-4</v>
      </c>
      <c r="R49" s="305"/>
    </row>
    <row r="50" spans="11:18" ht="15.75">
      <c r="K50" s="299" t="s">
        <v>356</v>
      </c>
      <c r="L50" s="297">
        <v>-1.2919896640827266E-3</v>
      </c>
      <c r="M50" s="300">
        <v>-7.1821978952513466E-2</v>
      </c>
      <c r="N50" s="298">
        <v>1.3471744978480506E-3</v>
      </c>
      <c r="O50" s="298">
        <v>2.4004823085147778E-3</v>
      </c>
      <c r="P50" s="298">
        <v>3.7476568063628283E-3</v>
      </c>
      <c r="R50" s="298"/>
    </row>
    <row r="51" spans="11:18" ht="15.75">
      <c r="K51" s="299" t="s">
        <v>357</v>
      </c>
      <c r="L51" s="297">
        <v>7.8093442843678584E-3</v>
      </c>
      <c r="M51" s="300">
        <v>-9.7169632839115672E-2</v>
      </c>
      <c r="N51" s="298">
        <v>-1.2539908651737638E-3</v>
      </c>
      <c r="O51" s="298">
        <v>0</v>
      </c>
      <c r="P51" s="298">
        <v>-1.2539908651737638E-3</v>
      </c>
      <c r="R51" s="298"/>
    </row>
    <row r="52" spans="11:18" ht="15.75">
      <c r="K52" s="299" t="s">
        <v>358</v>
      </c>
      <c r="L52" s="297">
        <v>-9.0381398461023554E-3</v>
      </c>
      <c r="M52" s="300">
        <v>0.15141282888130592</v>
      </c>
      <c r="N52" s="298">
        <v>-1.6601241086581279E-3</v>
      </c>
      <c r="O52" s="298">
        <v>0</v>
      </c>
      <c r="P52" s="298">
        <v>-1.6601241086581279E-3</v>
      </c>
      <c r="R52" s="298"/>
    </row>
    <row r="53" spans="11:18" ht="15.75">
      <c r="K53" s="302" t="s">
        <v>561</v>
      </c>
      <c r="L53" s="303">
        <v>8.5655571165981219E-4</v>
      </c>
      <c r="M53" s="304">
        <v>0.30047010447379285</v>
      </c>
      <c r="N53" s="305">
        <v>2.4558330120338706E-3</v>
      </c>
      <c r="O53" s="305">
        <v>4.083701484987501E-3</v>
      </c>
      <c r="P53" s="305">
        <v>6.5395344970213716E-3</v>
      </c>
      <c r="R53" s="305"/>
    </row>
    <row r="54" spans="11:18" ht="15.75">
      <c r="K54" s="299" t="s">
        <v>40</v>
      </c>
      <c r="L54" s="297">
        <v>-2.0689655172413945E-2</v>
      </c>
      <c r="M54" s="300">
        <v>-0.14686408904255172</v>
      </c>
      <c r="N54" s="298">
        <v>6.9515668813474141E-4</v>
      </c>
      <c r="O54" s="298">
        <v>0</v>
      </c>
      <c r="P54" s="298">
        <v>6.9515668813474141E-4</v>
      </c>
      <c r="R54" s="298"/>
    </row>
    <row r="55" spans="11:18" ht="15.75">
      <c r="K55" s="299" t="s">
        <v>41</v>
      </c>
      <c r="L55" s="297">
        <v>-2.6907036189963707E-3</v>
      </c>
      <c r="M55" s="300">
        <v>-1.8493996397951615E-2</v>
      </c>
      <c r="N55" s="298">
        <v>4.83868218698858E-4</v>
      </c>
      <c r="O55" s="298">
        <v>2.5123589968408243E-4</v>
      </c>
      <c r="P55" s="298">
        <v>7.3510411838294048E-4</v>
      </c>
      <c r="R55" s="298"/>
    </row>
    <row r="56" spans="11:18" ht="15.75">
      <c r="K56" s="299" t="s">
        <v>371</v>
      </c>
      <c r="L56" s="297">
        <v>6.5590866677642801E-3</v>
      </c>
      <c r="M56" s="300">
        <v>0.11670799609248043</v>
      </c>
      <c r="N56" s="298">
        <v>1.276808105200271E-3</v>
      </c>
      <c r="O56" s="298">
        <v>6.7729666444606672E-4</v>
      </c>
      <c r="P56" s="298">
        <v>1.9541047696463375E-3</v>
      </c>
      <c r="R56" s="298"/>
    </row>
    <row r="57" spans="11:18" ht="15.75">
      <c r="K57" s="299" t="s">
        <v>337</v>
      </c>
      <c r="L57" s="297">
        <v>8.594130047024473E-3</v>
      </c>
      <c r="M57" s="300">
        <v>0.16635599412441882</v>
      </c>
      <c r="N57" s="298">
        <v>0</v>
      </c>
      <c r="O57" s="298">
        <v>1.544348871542936E-3</v>
      </c>
      <c r="P57" s="298">
        <v>1.544348871542936E-3</v>
      </c>
      <c r="R57" s="298"/>
    </row>
    <row r="58" spans="11:18" ht="15.75">
      <c r="K58" s="299" t="s">
        <v>576</v>
      </c>
      <c r="L58" s="297">
        <v>1.2509920634920624E-2</v>
      </c>
      <c r="M58" s="300">
        <v>0.18276419969739696</v>
      </c>
      <c r="N58" s="298">
        <v>0</v>
      </c>
      <c r="O58" s="298">
        <v>1.6108200493144163E-3</v>
      </c>
      <c r="P58" s="298">
        <v>1.6108200493144163E-3</v>
      </c>
      <c r="R58" s="298"/>
    </row>
    <row r="59" spans="11:18" ht="15.75">
      <c r="K59" s="306" t="s">
        <v>45</v>
      </c>
      <c r="L59" s="307">
        <v>-8.037222487176969E-3</v>
      </c>
      <c r="M59" s="308">
        <v>-4.2480548993153455</v>
      </c>
      <c r="N59" s="309">
        <v>6.0748468456893858E-3</v>
      </c>
      <c r="O59" s="309">
        <v>3.17934865732169E-2</v>
      </c>
      <c r="P59" s="309">
        <v>3.7868660653854309E-2</v>
      </c>
      <c r="R59" s="309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498" priority="6" operator="lessThan">
      <formula>0</formula>
    </cfRule>
  </conditionalFormatting>
  <conditionalFormatting sqref="L23:O59">
    <cfRule type="cellIs" dxfId="3497" priority="5" operator="lessThan">
      <formula>0</formula>
    </cfRule>
  </conditionalFormatting>
  <conditionalFormatting sqref="R23:R59">
    <cfRule type="cellIs" dxfId="3496" priority="4" operator="lessThan">
      <formula>0</formula>
    </cfRule>
  </conditionalFormatting>
  <conditionalFormatting sqref="Q45:Q48">
    <cfRule type="cellIs" dxfId="3495" priority="3" operator="lessThan">
      <formula>0</formula>
    </cfRule>
  </conditionalFormatting>
  <conditionalFormatting sqref="Q42:Q43">
    <cfRule type="cellIs" dxfId="3494" priority="2" operator="lessThan">
      <formula>0</formula>
    </cfRule>
  </conditionalFormatting>
  <conditionalFormatting sqref="Q39">
    <cfRule type="cellIs" dxfId="3493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1034</v>
      </c>
      <c r="J5" s="6" t="s">
        <v>1031</v>
      </c>
      <c r="K5" s="6" t="s">
        <v>1033</v>
      </c>
      <c r="L5" s="6" t="s">
        <v>1032</v>
      </c>
      <c r="O5" s="6" t="s">
        <v>5</v>
      </c>
      <c r="P5" s="6" t="s">
        <v>1038</v>
      </c>
      <c r="Q5" s="6" t="s">
        <v>1038</v>
      </c>
      <c r="R5" s="6" t="s">
        <v>1039</v>
      </c>
      <c r="S5" s="6" t="s">
        <v>1037</v>
      </c>
      <c r="T5" s="6" t="s">
        <v>1037</v>
      </c>
      <c r="V5" s="368" t="s">
        <v>624</v>
      </c>
      <c r="W5" s="368" t="s">
        <v>624</v>
      </c>
      <c r="X5" s="368" t="s">
        <v>621</v>
      </c>
      <c r="Y5" s="368" t="s">
        <v>621</v>
      </c>
      <c r="Z5" s="368" t="s">
        <v>622</v>
      </c>
      <c r="AA5" s="368" t="s">
        <v>622</v>
      </c>
      <c r="AB5" s="368" t="s">
        <v>623</v>
      </c>
      <c r="AC5" s="368" t="s">
        <v>623</v>
      </c>
      <c r="AD5" s="368" t="s">
        <v>624</v>
      </c>
    </row>
    <row r="6" spans="3:30" s="6" customFormat="1">
      <c r="V6" s="368" t="s">
        <v>1035</v>
      </c>
      <c r="W6" s="368" t="s">
        <v>1036</v>
      </c>
      <c r="X6" s="368" t="s">
        <v>1035</v>
      </c>
      <c r="Y6" s="368" t="s">
        <v>1036</v>
      </c>
      <c r="Z6" s="368" t="s">
        <v>1035</v>
      </c>
      <c r="AA6" s="368" t="s">
        <v>1036</v>
      </c>
      <c r="AB6" s="368" t="s">
        <v>1035</v>
      </c>
      <c r="AC6" s="368" t="s">
        <v>1036</v>
      </c>
      <c r="AD6" s="368" t="s">
        <v>1035</v>
      </c>
    </row>
    <row r="7" spans="3:30">
      <c r="P7" s="369"/>
      <c r="Q7" s="369"/>
      <c r="R7" s="369"/>
      <c r="T7" s="369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8"/>
      <c r="W10" s="368">
        <f>W9-V9</f>
        <v>-1.8999999999999986</v>
      </c>
      <c r="X10" s="368"/>
      <c r="Y10" s="368">
        <f>Y9-X9</f>
        <v>-1.3200000000000003</v>
      </c>
      <c r="Z10" s="368"/>
      <c r="AA10" s="368">
        <f>AA9-Z9</f>
        <v>-0.40000000000000213</v>
      </c>
      <c r="AB10" s="368"/>
      <c r="AC10" s="368">
        <f>AC9-AB9</f>
        <v>-1.5</v>
      </c>
      <c r="AD10" s="368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5" t="s">
        <v>29</v>
      </c>
      <c r="D13" s="376">
        <v>-2.0000000000000001E-4</v>
      </c>
      <c r="E13" s="367"/>
      <c r="F13" s="367"/>
      <c r="H13" s="375"/>
      <c r="I13" s="375"/>
      <c r="J13" s="375"/>
      <c r="K13" s="375"/>
      <c r="L13" s="375"/>
      <c r="M13" s="375"/>
      <c r="N13" s="375"/>
      <c r="O13" s="382">
        <v>672</v>
      </c>
      <c r="P13" s="382">
        <v>750</v>
      </c>
      <c r="Q13" s="382">
        <v>710</v>
      </c>
      <c r="R13" s="382">
        <v>672</v>
      </c>
      <c r="S13" s="382">
        <v>630</v>
      </c>
      <c r="T13" s="382">
        <v>600</v>
      </c>
      <c r="U13" s="375"/>
      <c r="V13" s="378"/>
      <c r="W13" s="378"/>
      <c r="X13" s="378"/>
      <c r="Y13" s="378"/>
      <c r="Z13" s="378"/>
      <c r="AA13" s="378"/>
      <c r="AB13" s="378"/>
      <c r="AC13" s="378"/>
      <c r="AD13" s="378"/>
    </row>
    <row r="14" spans="3:30" s="6" customFormat="1">
      <c r="C14" s="375"/>
      <c r="D14" s="376"/>
      <c r="E14" s="367"/>
      <c r="F14" s="367"/>
      <c r="H14" s="375"/>
      <c r="I14" s="375"/>
      <c r="J14" s="375"/>
      <c r="K14" s="375"/>
      <c r="L14" s="375"/>
      <c r="M14" s="375"/>
      <c r="N14" s="375"/>
      <c r="O14" s="375"/>
      <c r="P14" s="383">
        <f>P13/$O13-1</f>
        <v>0.1160714285714286</v>
      </c>
      <c r="Q14" s="383">
        <f>Q13/$O13-1</f>
        <v>5.6547619047619069E-2</v>
      </c>
      <c r="R14" s="383">
        <f>R13/$O13-1</f>
        <v>0</v>
      </c>
      <c r="S14" s="383">
        <f>S13/$O13-1</f>
        <v>-6.25E-2</v>
      </c>
      <c r="T14" s="383">
        <f>T13/$O13-1</f>
        <v>-0.1071428571428571</v>
      </c>
      <c r="U14" s="375"/>
      <c r="V14" s="378"/>
      <c r="W14" s="378"/>
      <c r="X14" s="378"/>
      <c r="Y14" s="378"/>
      <c r="Z14" s="378"/>
      <c r="AA14" s="378"/>
      <c r="AB14" s="378"/>
      <c r="AC14" s="378"/>
      <c r="AD14" s="378"/>
    </row>
    <row r="15" spans="3:30" s="6" customFormat="1">
      <c r="C15" s="375"/>
      <c r="D15" s="376"/>
      <c r="E15" s="42"/>
      <c r="F15" s="42"/>
      <c r="G1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3"/>
      <c r="W15" s="373"/>
      <c r="X15" s="373"/>
      <c r="Y15" s="373"/>
      <c r="Z15" s="373"/>
      <c r="AA15" s="373"/>
      <c r="AB15" s="373"/>
      <c r="AC15" s="373"/>
      <c r="AD15" s="373"/>
    </row>
    <row r="16" spans="3:30">
      <c r="C16" s="370"/>
      <c r="D16" s="371"/>
      <c r="E16" s="42"/>
      <c r="F16" s="42"/>
      <c r="H16" s="370"/>
      <c r="I16" s="372"/>
      <c r="J16" s="371"/>
      <c r="K16" s="371"/>
      <c r="L16" s="371" t="e">
        <f>L17*Q18/100</f>
        <v>#REF!</v>
      </c>
      <c r="M16" s="370"/>
      <c r="N16" s="370"/>
      <c r="O16" s="370"/>
      <c r="P16" s="370"/>
      <c r="Q16" s="370"/>
      <c r="R16" s="370"/>
      <c r="S16" s="370"/>
      <c r="T16" s="370"/>
      <c r="U16" s="370"/>
      <c r="V16" s="373"/>
      <c r="W16" s="373"/>
      <c r="X16" s="373"/>
      <c r="Y16" s="373"/>
      <c r="Z16" s="373"/>
      <c r="AA16" s="373"/>
      <c r="AB16" s="373"/>
      <c r="AC16" s="373"/>
      <c r="AD16" s="373"/>
    </row>
    <row r="17" spans="3:30">
      <c r="C17" s="370"/>
      <c r="D17" s="371"/>
      <c r="E17" s="42"/>
      <c r="F17" s="42"/>
      <c r="H17" s="375" t="str">
        <f>'Options Price'!B79</f>
        <v>META US 07/17/26 C700</v>
      </c>
      <c r="I17" s="377" t="e">
        <f>Options!#REF!</f>
        <v>#REF!</v>
      </c>
      <c r="J17" s="376" t="e">
        <f>Options!#REF!</f>
        <v>#REF!</v>
      </c>
      <c r="K17" s="376" t="e">
        <f>Options!#REF!</f>
        <v>#REF!</v>
      </c>
      <c r="L17" s="376" t="e">
        <f>Options!#REF!</f>
        <v>#REF!</v>
      </c>
      <c r="M17" s="370"/>
      <c r="N17" s="370" t="s">
        <v>1</v>
      </c>
      <c r="O17" s="370">
        <v>37</v>
      </c>
      <c r="P17" s="370">
        <v>34</v>
      </c>
      <c r="Q17" s="370">
        <v>34</v>
      </c>
      <c r="R17" s="370">
        <v>34</v>
      </c>
      <c r="S17" s="370">
        <v>34</v>
      </c>
      <c r="T17" s="370">
        <v>34</v>
      </c>
      <c r="U17" s="370"/>
      <c r="V17" s="373">
        <v>36.299999999999997</v>
      </c>
      <c r="W17" s="373">
        <v>34.119999999999997</v>
      </c>
      <c r="X17" s="373">
        <v>39.200000000000003</v>
      </c>
      <c r="Y17" s="373">
        <v>37.200000000000003</v>
      </c>
      <c r="Z17" s="373">
        <v>32</v>
      </c>
      <c r="AA17" s="373">
        <v>31.7</v>
      </c>
      <c r="AB17" s="373">
        <v>37</v>
      </c>
      <c r="AC17" s="373">
        <v>38.5</v>
      </c>
      <c r="AD17" s="373">
        <v>36.5</v>
      </c>
    </row>
    <row r="18" spans="3:30">
      <c r="C18" s="370"/>
      <c r="D18" s="371"/>
      <c r="E18" s="42"/>
      <c r="F18" s="42"/>
      <c r="H18" s="370"/>
      <c r="I18" s="372"/>
      <c r="J18" s="371"/>
      <c r="K18" s="371"/>
      <c r="L18" s="371"/>
      <c r="M18" s="370"/>
      <c r="N18" s="370" t="s">
        <v>163</v>
      </c>
      <c r="O18" s="370">
        <v>53</v>
      </c>
      <c r="P18" s="370">
        <v>71</v>
      </c>
      <c r="Q18" s="370">
        <v>62</v>
      </c>
      <c r="R18" s="370">
        <v>52</v>
      </c>
      <c r="S18" s="370">
        <v>52</v>
      </c>
      <c r="T18" s="370">
        <v>34</v>
      </c>
      <c r="U18" s="370"/>
      <c r="V18" s="378"/>
      <c r="W18" s="378">
        <f>W17-V17</f>
        <v>-2.1799999999999997</v>
      </c>
      <c r="X18" s="378"/>
      <c r="Y18" s="378">
        <f>Y17-X17</f>
        <v>-2</v>
      </c>
      <c r="Z18" s="378"/>
      <c r="AA18" s="378">
        <f>AA17-Z17</f>
        <v>-0.30000000000000071</v>
      </c>
      <c r="AB18" s="378"/>
      <c r="AC18" s="378">
        <f>AC17-AB17</f>
        <v>1.5</v>
      </c>
      <c r="AD18" s="378"/>
    </row>
    <row r="19" spans="3:30">
      <c r="C19" s="370"/>
      <c r="D19" s="371"/>
      <c r="E19" s="42"/>
      <c r="F19" s="42"/>
      <c r="H19" s="370"/>
      <c r="I19" s="372"/>
      <c r="J19" s="371"/>
      <c r="K19" s="371"/>
      <c r="L19" s="371"/>
      <c r="M19" s="370"/>
      <c r="N19" s="370" t="s">
        <v>5</v>
      </c>
      <c r="O19" s="370">
        <v>64</v>
      </c>
      <c r="P19" s="370">
        <v>106</v>
      </c>
      <c r="Q19" s="370">
        <v>80</v>
      </c>
      <c r="R19" s="370">
        <v>58</v>
      </c>
      <c r="S19" s="370">
        <v>38</v>
      </c>
      <c r="T19" s="370">
        <v>27</v>
      </c>
      <c r="U19" s="370"/>
      <c r="V19" s="373"/>
      <c r="W19" s="373"/>
      <c r="X19" s="373"/>
      <c r="Y19" s="373"/>
      <c r="Z19" s="373"/>
      <c r="AA19" s="373"/>
      <c r="AB19" s="373"/>
      <c r="AC19" s="373"/>
      <c r="AD19" s="373"/>
    </row>
    <row r="20" spans="3:30">
      <c r="C20" s="370"/>
      <c r="D20" s="371"/>
      <c r="E20" s="42"/>
      <c r="F20" s="42"/>
      <c r="H20" s="370"/>
      <c r="I20" s="372"/>
      <c r="J20" s="371"/>
      <c r="K20" s="371"/>
      <c r="L20" s="371"/>
      <c r="M20" s="370"/>
      <c r="N20" s="370" t="s">
        <v>51</v>
      </c>
      <c r="O20" s="370"/>
      <c r="P20" s="374">
        <f>P19/$O19-1</f>
        <v>0.65625</v>
      </c>
      <c r="Q20" s="374">
        <f>Q19/$O19-1</f>
        <v>0.25</v>
      </c>
      <c r="R20" s="374">
        <f>R19/$O19-1</f>
        <v>-9.375E-2</v>
      </c>
      <c r="S20" s="374">
        <f>S19/$O19-1</f>
        <v>-0.40625</v>
      </c>
      <c r="T20" s="374">
        <f>T19/$O19-1</f>
        <v>-0.578125</v>
      </c>
      <c r="U20" s="370"/>
      <c r="V20" s="373"/>
      <c r="W20" s="373"/>
      <c r="X20" s="373"/>
      <c r="Y20" s="373"/>
      <c r="Z20" s="373"/>
      <c r="AA20" s="373"/>
      <c r="AB20" s="373"/>
      <c r="AC20" s="373"/>
      <c r="AD20" s="373"/>
    </row>
    <row r="21" spans="3:30">
      <c r="C21" s="370"/>
      <c r="D21" s="371"/>
      <c r="E21" s="42"/>
      <c r="F21" s="42"/>
      <c r="H21" s="370"/>
      <c r="I21" s="372"/>
      <c r="J21" s="371"/>
      <c r="K21" s="371"/>
      <c r="L21" s="371"/>
      <c r="M21" s="370"/>
      <c r="N21" s="370" t="s">
        <v>967</v>
      </c>
      <c r="O21" s="370"/>
      <c r="P21" s="372" t="e">
        <f>$I$17*(1+P20)</f>
        <v>#REF!</v>
      </c>
      <c r="Q21" s="372" t="e">
        <f>$I$17*(1+Q20)</f>
        <v>#REF!</v>
      </c>
      <c r="R21" s="372" t="e">
        <f>$I$17*(1+R20)</f>
        <v>#REF!</v>
      </c>
      <c r="S21" s="372" t="e">
        <f>$I$17*(1+S20)</f>
        <v>#REF!</v>
      </c>
      <c r="T21" s="372" t="e">
        <f>$I$17*(1+T20)</f>
        <v>#REF!</v>
      </c>
      <c r="U21" s="370"/>
      <c r="V21" s="373"/>
      <c r="W21" s="373"/>
      <c r="X21" s="373"/>
      <c r="Y21" s="373"/>
      <c r="Z21" s="373"/>
      <c r="AA21" s="373"/>
      <c r="AB21" s="373"/>
      <c r="AC21" s="373"/>
      <c r="AD21" s="373"/>
    </row>
    <row r="22" spans="3:30">
      <c r="C22" s="370"/>
      <c r="D22" s="371"/>
      <c r="E22" s="42"/>
      <c r="F22" s="42"/>
      <c r="H22" s="370"/>
      <c r="I22" s="372"/>
      <c r="J22" s="371"/>
      <c r="K22" s="371"/>
      <c r="L22" s="371"/>
      <c r="M22" s="370"/>
      <c r="N22" s="370" t="s">
        <v>1040</v>
      </c>
      <c r="O22" s="370"/>
      <c r="P22" s="372" t="e">
        <f>P21-$I$17</f>
        <v>#REF!</v>
      </c>
      <c r="Q22" s="372" t="e">
        <f>Q21-$I$17</f>
        <v>#REF!</v>
      </c>
      <c r="R22" s="372" t="e">
        <f>R21-$I$17</f>
        <v>#REF!</v>
      </c>
      <c r="S22" s="372" t="e">
        <f>S21-$I$17</f>
        <v>#REF!</v>
      </c>
      <c r="T22" s="372" t="e">
        <f>T21-$I$17</f>
        <v>#REF!</v>
      </c>
      <c r="U22" s="370"/>
      <c r="V22" s="373"/>
      <c r="W22" s="373"/>
      <c r="X22" s="373"/>
      <c r="Y22" s="373"/>
      <c r="Z22" s="373"/>
      <c r="AA22" s="373"/>
      <c r="AB22" s="373"/>
      <c r="AC22" s="373"/>
      <c r="AD22" s="373"/>
    </row>
    <row r="23" spans="3:30" ht="15.75" thickBot="1">
      <c r="C23" s="370"/>
      <c r="D23" s="371"/>
      <c r="E23" s="42"/>
      <c r="F23" s="42"/>
      <c r="H23" s="370"/>
      <c r="I23" s="372"/>
      <c r="J23" s="371"/>
      <c r="K23" s="371"/>
      <c r="L23" s="371"/>
      <c r="M23" s="370"/>
      <c r="N23" s="370"/>
      <c r="O23" s="370"/>
      <c r="P23" s="370"/>
      <c r="Q23" s="370"/>
      <c r="R23" s="370"/>
      <c r="S23" s="370"/>
      <c r="T23" s="370"/>
      <c r="U23" s="370"/>
      <c r="V23" s="373"/>
      <c r="W23" s="373"/>
      <c r="X23" s="373"/>
      <c r="Y23" s="373"/>
      <c r="Z23" s="373"/>
      <c r="AA23" s="373"/>
      <c r="AB23" s="373"/>
      <c r="AC23" s="373"/>
      <c r="AD23" s="373"/>
    </row>
    <row r="24" spans="3:30" ht="15.75" thickBot="1">
      <c r="C24" s="370"/>
      <c r="D24" s="371"/>
      <c r="E24" s="42"/>
      <c r="F24" s="42"/>
      <c r="H24" s="380" t="s">
        <v>163</v>
      </c>
      <c r="I24" s="381" t="e">
        <f>K17*10000</f>
        <v>#REF!</v>
      </c>
      <c r="J24" s="371"/>
      <c r="K24" s="371"/>
      <c r="L24" s="371"/>
      <c r="M24" s="370"/>
      <c r="N24" s="370"/>
      <c r="O24" s="370"/>
      <c r="P24" s="379" t="e">
        <f>P22/$I$24</f>
        <v>#REF!</v>
      </c>
      <c r="Q24" s="379" t="e">
        <f>Q22/$I$24</f>
        <v>#REF!</v>
      </c>
      <c r="R24" s="379" t="e">
        <f>R22/$I$24</f>
        <v>#REF!</v>
      </c>
      <c r="S24" s="379" t="e">
        <f>S22/$I$24</f>
        <v>#REF!</v>
      </c>
      <c r="T24" s="379" t="e">
        <f>T22/$I$24</f>
        <v>#REF!</v>
      </c>
      <c r="U24" s="370"/>
      <c r="V24" s="373"/>
      <c r="W24" s="373"/>
      <c r="X24" s="373"/>
      <c r="Y24" s="373"/>
      <c r="Z24" s="373"/>
      <c r="AA24" s="373"/>
      <c r="AB24" s="373"/>
      <c r="AC24" s="373"/>
      <c r="AD24" s="373"/>
    </row>
    <row r="25" spans="3:30">
      <c r="D25" s="42"/>
      <c r="E25" s="42"/>
      <c r="F25" s="42"/>
      <c r="H25" s="370"/>
      <c r="I25" s="372"/>
      <c r="J25" s="371"/>
      <c r="K25" s="371"/>
      <c r="L25" s="371"/>
      <c r="M25" s="370"/>
      <c r="N25" s="370"/>
      <c r="O25" s="370"/>
      <c r="P25" s="370"/>
      <c r="Q25" s="370"/>
      <c r="R25" s="370"/>
      <c r="S25" s="370"/>
      <c r="T25" s="370"/>
      <c r="U25" s="370"/>
      <c r="V25" s="373"/>
      <c r="W25" s="373"/>
      <c r="X25" s="373"/>
      <c r="Y25" s="373"/>
      <c r="Z25" s="373"/>
      <c r="AA25" s="373"/>
      <c r="AB25" s="373"/>
      <c r="AC25" s="373"/>
      <c r="AD25" s="373"/>
    </row>
    <row r="26" spans="3:30">
      <c r="D26" s="42"/>
      <c r="E26" s="42"/>
      <c r="F26" s="42"/>
      <c r="H26" s="370"/>
      <c r="I26" s="372"/>
      <c r="J26" s="371"/>
      <c r="K26" s="371"/>
      <c r="L26" s="371" t="e">
        <f>L27*Q28/100</f>
        <v>#REF!</v>
      </c>
      <c r="M26" s="370"/>
      <c r="N26" s="370"/>
      <c r="O26" s="370"/>
      <c r="P26" s="370"/>
      <c r="Q26" s="370"/>
      <c r="R26" s="370"/>
      <c r="S26" s="370"/>
      <c r="T26" s="370"/>
      <c r="U26" s="370"/>
      <c r="V26" s="373"/>
      <c r="W26" s="373"/>
      <c r="X26" s="373"/>
      <c r="Y26" s="373"/>
      <c r="Z26" s="373"/>
      <c r="AA26" s="373"/>
      <c r="AB26" s="373"/>
      <c r="AC26" s="373"/>
      <c r="AD26" s="373"/>
    </row>
    <row r="27" spans="3:30">
      <c r="D27" s="42"/>
      <c r="E27" s="42"/>
      <c r="F27" s="42"/>
      <c r="H27" s="375" t="e">
        <f>Options!#REF!</f>
        <v>#REF!</v>
      </c>
      <c r="I27" s="377" t="e">
        <f>Options!#REF!</f>
        <v>#REF!</v>
      </c>
      <c r="J27" s="376" t="e">
        <f>Options!#REF!</f>
        <v>#REF!</v>
      </c>
      <c r="K27" s="376" t="e">
        <f>Options!#REF!</f>
        <v>#REF!</v>
      </c>
      <c r="L27" s="376" t="e">
        <f>Options!#REF!</f>
        <v>#REF!</v>
      </c>
      <c r="M27" s="370"/>
      <c r="N27" s="370" t="s">
        <v>1</v>
      </c>
      <c r="O27" s="370">
        <v>37</v>
      </c>
      <c r="P27" s="370">
        <v>32.5</v>
      </c>
      <c r="Q27" s="370">
        <v>32.5</v>
      </c>
      <c r="R27" s="370">
        <v>32.5</v>
      </c>
      <c r="S27" s="370">
        <v>32.5</v>
      </c>
      <c r="T27" s="370">
        <v>32.5</v>
      </c>
      <c r="U27" s="370"/>
      <c r="V27" s="373">
        <v>37.5</v>
      </c>
      <c r="W27" s="373">
        <v>33.200000000000003</v>
      </c>
      <c r="X27" s="373">
        <v>40.299999999999997</v>
      </c>
      <c r="Y27" s="373">
        <v>36.700000000000003</v>
      </c>
      <c r="Z27" s="373">
        <v>32</v>
      </c>
      <c r="AA27" s="373">
        <v>30</v>
      </c>
      <c r="AB27" s="373">
        <v>37.1</v>
      </c>
      <c r="AC27" s="373">
        <v>37.4</v>
      </c>
      <c r="AD27" s="373">
        <v>36.799999999999997</v>
      </c>
    </row>
    <row r="28" spans="3:30">
      <c r="D28" s="42"/>
      <c r="E28" s="42"/>
      <c r="F28" s="42"/>
      <c r="H28" s="370"/>
      <c r="I28" s="372"/>
      <c r="J28" s="371"/>
      <c r="K28" s="371"/>
      <c r="L28" s="371"/>
      <c r="M28" s="370"/>
      <c r="N28" s="370" t="s">
        <v>163</v>
      </c>
      <c r="O28" s="370">
        <v>48</v>
      </c>
      <c r="P28" s="370">
        <v>75</v>
      </c>
      <c r="Q28" s="370">
        <v>62</v>
      </c>
      <c r="R28" s="370">
        <v>48</v>
      </c>
      <c r="S28" s="370">
        <v>31</v>
      </c>
      <c r="T28" s="370">
        <v>21</v>
      </c>
      <c r="U28" s="370"/>
      <c r="V28" s="378"/>
      <c r="W28" s="378">
        <f>W27-V27</f>
        <v>-4.2999999999999972</v>
      </c>
      <c r="X28" s="378"/>
      <c r="Y28" s="378">
        <f>Y27-X27</f>
        <v>-3.5999999999999943</v>
      </c>
      <c r="Z28" s="378"/>
      <c r="AA28" s="378">
        <f>AA27-Z27</f>
        <v>-2</v>
      </c>
      <c r="AB28" s="378"/>
      <c r="AC28" s="378">
        <f>AC27-AB27</f>
        <v>0.29999999999999716</v>
      </c>
      <c r="AD28" s="378"/>
    </row>
    <row r="29" spans="3:30">
      <c r="D29" s="42"/>
      <c r="E29" s="42"/>
      <c r="F29" s="42"/>
      <c r="H29" s="370"/>
      <c r="I29" s="372"/>
      <c r="J29" s="371"/>
      <c r="K29" s="371"/>
      <c r="L29" s="371"/>
      <c r="M29" s="370"/>
      <c r="N29" s="370" t="s">
        <v>5</v>
      </c>
      <c r="O29" s="370">
        <v>40</v>
      </c>
      <c r="P29" s="370">
        <v>82.9</v>
      </c>
      <c r="Q29" s="370">
        <v>55</v>
      </c>
      <c r="R29" s="370">
        <v>34</v>
      </c>
      <c r="S29" s="370">
        <v>18</v>
      </c>
      <c r="T29" s="370">
        <v>10</v>
      </c>
      <c r="U29" s="370"/>
      <c r="V29" s="373"/>
      <c r="W29" s="373"/>
      <c r="X29" s="373"/>
      <c r="Y29" s="373"/>
      <c r="Z29" s="373"/>
      <c r="AA29" s="373"/>
      <c r="AB29" s="373"/>
      <c r="AC29" s="373"/>
      <c r="AD29" s="373"/>
    </row>
    <row r="30" spans="3:30">
      <c r="D30" s="42"/>
      <c r="E30" s="42"/>
      <c r="F30" s="42"/>
      <c r="H30" s="370"/>
      <c r="I30" s="372"/>
      <c r="J30" s="371"/>
      <c r="K30" s="371"/>
      <c r="L30" s="371"/>
      <c r="M30" s="370"/>
      <c r="N30" s="370" t="s">
        <v>51</v>
      </c>
      <c r="O30" s="370"/>
      <c r="P30" s="374">
        <f>P29/$O29-1</f>
        <v>1.0725000000000002</v>
      </c>
      <c r="Q30" s="374">
        <f>Q29/$O29-1</f>
        <v>0.375</v>
      </c>
      <c r="R30" s="374">
        <f>R29/$O29-1</f>
        <v>-0.15000000000000002</v>
      </c>
      <c r="S30" s="374">
        <f>S29/$O29-1</f>
        <v>-0.55000000000000004</v>
      </c>
      <c r="T30" s="374">
        <f>T29/$O29-1</f>
        <v>-0.75</v>
      </c>
      <c r="U30" s="370"/>
      <c r="V30" s="373"/>
      <c r="W30" s="373"/>
      <c r="X30" s="373"/>
      <c r="Y30" s="373"/>
      <c r="Z30" s="373"/>
      <c r="AA30" s="373"/>
      <c r="AB30" s="373"/>
      <c r="AC30" s="373"/>
      <c r="AD30" s="373"/>
    </row>
    <row r="31" spans="3:30">
      <c r="D31" s="42"/>
      <c r="E31" s="42"/>
      <c r="F31" s="42"/>
      <c r="H31" s="370"/>
      <c r="I31" s="372"/>
      <c r="J31" s="371"/>
      <c r="K31" s="371"/>
      <c r="L31" s="371"/>
      <c r="M31" s="370"/>
      <c r="N31" s="370" t="s">
        <v>967</v>
      </c>
      <c r="O31" s="370"/>
      <c r="P31" s="372" t="e">
        <f>$I$27*(1+P30)</f>
        <v>#REF!</v>
      </c>
      <c r="Q31" s="372" t="e">
        <f>$I$27*(1+Q30)</f>
        <v>#REF!</v>
      </c>
      <c r="R31" s="372" t="e">
        <f>$I$27*(1+R30)</f>
        <v>#REF!</v>
      </c>
      <c r="S31" s="372" t="e">
        <f>$I$27*(1+S30)</f>
        <v>#REF!</v>
      </c>
      <c r="T31" s="372" t="e">
        <f>$I$27*(1+T30)</f>
        <v>#REF!</v>
      </c>
      <c r="U31" s="370"/>
      <c r="V31" s="373"/>
      <c r="W31" s="373"/>
      <c r="X31" s="373"/>
      <c r="Y31" s="373"/>
      <c r="Z31" s="373"/>
      <c r="AA31" s="373"/>
      <c r="AB31" s="373"/>
      <c r="AC31" s="373"/>
      <c r="AD31" s="373"/>
    </row>
    <row r="32" spans="3:30">
      <c r="D32" s="42"/>
      <c r="E32" s="42"/>
      <c r="F32" s="42"/>
      <c r="H32" s="370"/>
      <c r="I32" s="372"/>
      <c r="J32" s="371"/>
      <c r="K32" s="371"/>
      <c r="L32" s="371"/>
      <c r="M32" s="370"/>
      <c r="N32" s="370" t="s">
        <v>1040</v>
      </c>
      <c r="O32" s="370"/>
      <c r="P32" s="372" t="e">
        <f>P31-$I$27</f>
        <v>#REF!</v>
      </c>
      <c r="Q32" s="372" t="e">
        <f>Q31-$I$27</f>
        <v>#REF!</v>
      </c>
      <c r="R32" s="372" t="e">
        <f>R31-$I$27</f>
        <v>#REF!</v>
      </c>
      <c r="S32" s="372" t="e">
        <f>S31-$I$27</f>
        <v>#REF!</v>
      </c>
      <c r="T32" s="372" t="e">
        <f>T31-$I$27</f>
        <v>#REF!</v>
      </c>
      <c r="U32" s="370"/>
      <c r="V32" s="373"/>
      <c r="W32" s="373"/>
      <c r="X32" s="373"/>
      <c r="Y32" s="373"/>
      <c r="Z32" s="373"/>
      <c r="AA32" s="373"/>
      <c r="AB32" s="373"/>
      <c r="AC32" s="373"/>
      <c r="AD32" s="373"/>
    </row>
    <row r="33" spans="3:30" ht="15.75" thickBot="1">
      <c r="D33" s="42"/>
      <c r="E33" s="42"/>
      <c r="F33" s="42"/>
      <c r="H33" s="370"/>
      <c r="I33" s="372"/>
      <c r="J33" s="371"/>
      <c r="K33" s="371"/>
      <c r="L33" s="371"/>
      <c r="M33" s="370"/>
      <c r="N33" s="370"/>
      <c r="O33" s="370"/>
      <c r="P33" s="370"/>
      <c r="Q33" s="370"/>
      <c r="R33" s="370"/>
      <c r="S33" s="370"/>
      <c r="T33" s="370"/>
      <c r="U33" s="370"/>
      <c r="V33" s="373"/>
      <c r="W33" s="373"/>
      <c r="X33" s="373"/>
      <c r="Y33" s="373"/>
      <c r="Z33" s="373"/>
      <c r="AA33" s="373"/>
      <c r="AB33" s="373"/>
      <c r="AC33" s="373"/>
      <c r="AD33" s="373"/>
    </row>
    <row r="34" spans="3:30" ht="15.75" thickBot="1">
      <c r="D34" s="42"/>
      <c r="E34" s="42"/>
      <c r="F34" s="42"/>
      <c r="H34" s="380" t="s">
        <v>163</v>
      </c>
      <c r="I34" s="381" t="e">
        <f>K27*10000</f>
        <v>#REF!</v>
      </c>
      <c r="J34" s="371"/>
      <c r="K34" s="371"/>
      <c r="L34" s="371"/>
      <c r="M34" s="370"/>
      <c r="N34" s="370"/>
      <c r="O34" s="370"/>
      <c r="P34" s="379" t="e">
        <f>P32/$I$34</f>
        <v>#REF!</v>
      </c>
      <c r="Q34" s="379" t="e">
        <f>Q32/$I$34</f>
        <v>#REF!</v>
      </c>
      <c r="R34" s="379" t="e">
        <f>R32/$I$34</f>
        <v>#REF!</v>
      </c>
      <c r="S34" s="379" t="e">
        <f>S32/$I$34</f>
        <v>#REF!</v>
      </c>
      <c r="T34" s="379" t="e">
        <f>T32/$I$34</f>
        <v>#REF!</v>
      </c>
      <c r="U34" s="370"/>
      <c r="V34" s="373"/>
      <c r="W34" s="373"/>
      <c r="X34" s="373"/>
      <c r="Y34" s="373"/>
      <c r="Z34" s="373"/>
      <c r="AA34" s="373"/>
      <c r="AB34" s="373"/>
      <c r="AC34" s="373"/>
      <c r="AD34" s="373"/>
    </row>
    <row r="35" spans="3:30" ht="15.75" thickBot="1">
      <c r="D35" s="42"/>
      <c r="E35" s="42"/>
      <c r="F35" s="42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3"/>
      <c r="W35" s="373"/>
      <c r="X35" s="373"/>
      <c r="Y35" s="373"/>
      <c r="Z35" s="373"/>
      <c r="AA35" s="373"/>
      <c r="AB35" s="373"/>
      <c r="AC35" s="373"/>
      <c r="AD35" s="373"/>
    </row>
    <row r="36" spans="3:30" s="6" customFormat="1" ht="15.75" thickBot="1">
      <c r="D36" s="367"/>
      <c r="E36" s="367"/>
      <c r="F36" s="367"/>
      <c r="H36" s="375"/>
      <c r="I36" s="377"/>
      <c r="J36" s="376"/>
      <c r="K36" s="376"/>
      <c r="L36" s="376"/>
      <c r="M36" s="375"/>
      <c r="N36" s="384" t="s">
        <v>1042</v>
      </c>
      <c r="O36" s="385"/>
      <c r="P36" s="386" t="e">
        <f>P22+P32</f>
        <v>#REF!</v>
      </c>
      <c r="Q36" s="386" t="e">
        <f>Q22+Q32</f>
        <v>#REF!</v>
      </c>
      <c r="R36" s="386" t="e">
        <f>R22+R32</f>
        <v>#REF!</v>
      </c>
      <c r="S36" s="386" t="e">
        <f>S22+S32</f>
        <v>#REF!</v>
      </c>
      <c r="T36" s="387" t="e">
        <f>T22+T32</f>
        <v>#REF!</v>
      </c>
      <c r="U36" s="375"/>
      <c r="V36" s="378"/>
      <c r="W36" s="378"/>
      <c r="X36" s="378"/>
      <c r="Y36" s="378"/>
      <c r="Z36" s="378"/>
      <c r="AA36" s="378"/>
      <c r="AB36" s="378"/>
      <c r="AC36" s="378"/>
      <c r="AD36" s="378"/>
    </row>
    <row r="37" spans="3:30">
      <c r="D37" s="42"/>
      <c r="E37" s="42"/>
      <c r="F37" s="42"/>
      <c r="H37" s="370"/>
      <c r="I37" s="377"/>
      <c r="J37" s="376"/>
      <c r="K37" s="376"/>
      <c r="L37" s="376"/>
      <c r="M37" s="370"/>
      <c r="N37" s="370"/>
      <c r="O37" s="370"/>
      <c r="P37" s="370"/>
      <c r="Q37" s="370"/>
      <c r="R37" s="370"/>
      <c r="S37" s="370"/>
      <c r="T37" s="370"/>
      <c r="U37" s="370"/>
      <c r="V37" s="373"/>
      <c r="W37" s="373"/>
      <c r="X37" s="373"/>
      <c r="Y37" s="373"/>
      <c r="Z37" s="373"/>
      <c r="AA37" s="373"/>
      <c r="AB37" s="373"/>
      <c r="AC37" s="373"/>
      <c r="AD37" s="373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8"/>
      <c r="K39" s="388"/>
      <c r="L39" s="388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1"/>
      <c r="W39" s="351"/>
      <c r="X39" s="351"/>
      <c r="Y39" s="351"/>
      <c r="Z39" s="351"/>
      <c r="AA39" s="351"/>
      <c r="AB39" s="351"/>
      <c r="AC39" s="351"/>
      <c r="AD39" s="351"/>
    </row>
    <row r="40" spans="3:30">
      <c r="D40" s="42"/>
      <c r="E40" s="42"/>
      <c r="F40" s="42"/>
      <c r="H40" s="58"/>
      <c r="I40" s="265"/>
      <c r="J40" s="388"/>
      <c r="K40" s="388"/>
      <c r="L40" s="388"/>
      <c r="M40" s="58"/>
      <c r="N40" s="58"/>
      <c r="O40" s="92"/>
      <c r="P40" s="389">
        <f>P39/$O39-1</f>
        <v>7.0686070686070579E-2</v>
      </c>
      <c r="Q40" s="389">
        <f>Q39/$O39-1</f>
        <v>4.9896049896049899E-2</v>
      </c>
      <c r="R40" s="389">
        <f>R39/$O39-1</f>
        <v>0</v>
      </c>
      <c r="S40" s="389">
        <f>S39/$O39-1</f>
        <v>-5.4054054054054057E-2</v>
      </c>
      <c r="T40" s="389">
        <f>T39/$O39-1</f>
        <v>-7.4844074844074848E-2</v>
      </c>
      <c r="U40" s="58"/>
      <c r="V40" s="351"/>
      <c r="W40" s="351"/>
      <c r="X40" s="351"/>
      <c r="Y40" s="351"/>
      <c r="Z40" s="351"/>
      <c r="AA40" s="351"/>
      <c r="AB40" s="351"/>
      <c r="AC40" s="351"/>
      <c r="AD40" s="351"/>
    </row>
    <row r="41" spans="3:30">
      <c r="D41" s="42"/>
      <c r="E41" s="42"/>
      <c r="F41" s="42"/>
      <c r="H41" s="58"/>
      <c r="I41" s="265"/>
      <c r="J41" s="388"/>
      <c r="K41" s="388"/>
      <c r="L41" s="388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1"/>
      <c r="W41" s="351"/>
      <c r="X41" s="351"/>
      <c r="Y41" s="351"/>
      <c r="Z41" s="351"/>
      <c r="AA41" s="351"/>
      <c r="AB41" s="351"/>
      <c r="AC41" s="351"/>
      <c r="AD41" s="351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8" t="e">
        <f>Options!#REF!</f>
        <v>#REF!</v>
      </c>
      <c r="K42" s="388" t="e">
        <f>Options!#REF!</f>
        <v>#REF!</v>
      </c>
      <c r="L42" s="388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1">
        <v>23.2</v>
      </c>
      <c r="W42" s="351">
        <v>22.9</v>
      </c>
      <c r="X42" s="351">
        <v>27.1</v>
      </c>
      <c r="Y42" s="351">
        <v>24.8</v>
      </c>
      <c r="Z42" s="351">
        <v>21.5</v>
      </c>
      <c r="AA42" s="351">
        <v>22</v>
      </c>
      <c r="AB42" s="351">
        <v>26.4</v>
      </c>
      <c r="AC42" s="351">
        <v>26.5</v>
      </c>
      <c r="AD42" s="351">
        <v>27.5</v>
      </c>
    </row>
    <row r="43" spans="3:30">
      <c r="D43" s="42"/>
      <c r="E43" s="42"/>
      <c r="F43" s="42"/>
      <c r="H43" s="58"/>
      <c r="I43" s="390"/>
      <c r="J43" s="391"/>
      <c r="K43" s="391"/>
      <c r="L43" s="391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2"/>
      <c r="W43" s="392">
        <f>W42-V42</f>
        <v>-0.30000000000000071</v>
      </c>
      <c r="X43" s="392"/>
      <c r="Y43" s="392">
        <f>Y42-X42</f>
        <v>-2.3000000000000007</v>
      </c>
      <c r="Z43" s="392"/>
      <c r="AA43" s="392">
        <f>AA42-Z42</f>
        <v>0.5</v>
      </c>
      <c r="AB43" s="392"/>
      <c r="AC43" s="392">
        <f>AC42-AB42</f>
        <v>0.10000000000000142</v>
      </c>
      <c r="AD43" s="392"/>
    </row>
    <row r="44" spans="3:30">
      <c r="D44" s="42"/>
      <c r="E44" s="42"/>
      <c r="F44" s="42"/>
      <c r="H44" s="58"/>
      <c r="I44" s="265"/>
      <c r="J44" s="388"/>
      <c r="K44" s="388"/>
      <c r="L44" s="388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1"/>
      <c r="W44" s="351"/>
      <c r="X44" s="351"/>
      <c r="Y44" s="351"/>
      <c r="Z44" s="351"/>
      <c r="AA44" s="351"/>
      <c r="AB44" s="351"/>
      <c r="AC44" s="351"/>
      <c r="AD44" s="351"/>
    </row>
    <row r="45" spans="3:30">
      <c r="D45" s="42"/>
      <c r="E45" s="42"/>
      <c r="F45" s="42"/>
      <c r="H45" s="58"/>
      <c r="I45" s="265"/>
      <c r="J45" s="388"/>
      <c r="K45" s="388"/>
      <c r="L45" s="388"/>
      <c r="M45" s="58"/>
      <c r="N45" s="58" t="s">
        <v>51</v>
      </c>
      <c r="O45" s="58"/>
      <c r="P45" s="350">
        <f>P44/$O44-1</f>
        <v>0.4838709677419355</v>
      </c>
      <c r="Q45" s="350">
        <f>Q44/$O44-1</f>
        <v>0.29032258064516125</v>
      </c>
      <c r="R45" s="350">
        <f>R44/$O44-1</f>
        <v>-0.12903225806451613</v>
      </c>
      <c r="S45" s="350">
        <f>S44/$O44-1</f>
        <v>-0.4838709677419355</v>
      </c>
      <c r="T45" s="350">
        <f>T44/$O44-1</f>
        <v>-0.58064516129032251</v>
      </c>
      <c r="U45" s="58"/>
      <c r="V45" s="351"/>
      <c r="W45" s="351"/>
      <c r="X45" s="351"/>
      <c r="Y45" s="351"/>
      <c r="Z45" s="351"/>
      <c r="AA45" s="351"/>
      <c r="AB45" s="351"/>
      <c r="AC45" s="351"/>
      <c r="AD45" s="351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967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1"/>
      <c r="W46" s="351"/>
      <c r="X46" s="351"/>
      <c r="Y46" s="351"/>
      <c r="Z46" s="351"/>
      <c r="AA46" s="351"/>
      <c r="AB46" s="351"/>
      <c r="AC46" s="351"/>
      <c r="AD46" s="351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1040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1"/>
      <c r="W47" s="351"/>
      <c r="X47" s="351"/>
      <c r="Y47" s="351"/>
      <c r="Z47" s="351"/>
      <c r="AA47" s="351"/>
      <c r="AB47" s="351"/>
      <c r="AC47" s="351"/>
      <c r="AD47" s="351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2"/>
      <c r="W48" s="392"/>
      <c r="X48" s="392"/>
      <c r="Y48" s="392"/>
      <c r="Z48" s="392"/>
      <c r="AA48" s="392"/>
      <c r="AB48" s="392"/>
      <c r="AC48" s="392"/>
      <c r="AD48" s="392"/>
    </row>
    <row r="49" spans="8:30">
      <c r="H49" s="58"/>
      <c r="I49" s="58"/>
      <c r="J49" s="58"/>
      <c r="K49" s="58"/>
      <c r="L49" s="58"/>
      <c r="M49" s="58"/>
      <c r="N49" s="58"/>
      <c r="O49" s="58"/>
      <c r="P49" s="349" t="e">
        <f>P47/$I$42</f>
        <v>#REF!</v>
      </c>
      <c r="Q49" s="349" t="e">
        <f>Q47/$I$42</f>
        <v>#REF!</v>
      </c>
      <c r="R49" s="349" t="e">
        <f>R47/$I$42</f>
        <v>#REF!</v>
      </c>
      <c r="S49" s="349" t="e">
        <f>S47/$I$42</f>
        <v>#REF!</v>
      </c>
      <c r="T49" s="349" t="e">
        <f>T47/$I$42</f>
        <v>#REF!</v>
      </c>
      <c r="U49" s="58"/>
      <c r="V49" s="351"/>
      <c r="W49" s="351"/>
      <c r="X49" s="351"/>
      <c r="Y49" s="351"/>
      <c r="Z49" s="351"/>
      <c r="AA49" s="351"/>
      <c r="AB49" s="351"/>
      <c r="AC49" s="351"/>
      <c r="AD49" s="351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1"/>
      <c r="W50" s="351"/>
      <c r="X50" s="351"/>
      <c r="Y50" s="351"/>
      <c r="Z50" s="351"/>
      <c r="AA50" s="351"/>
      <c r="AB50" s="351"/>
      <c r="AC50" s="351"/>
      <c r="AD50" s="351"/>
    </row>
    <row r="51" spans="8:30" ht="15.75" thickBot="1">
      <c r="H51" s="58"/>
      <c r="I51" s="58"/>
      <c r="J51" s="58"/>
      <c r="K51" s="58"/>
      <c r="L51" s="58"/>
      <c r="M51" s="58"/>
      <c r="N51" s="393" t="s">
        <v>1042</v>
      </c>
      <c r="O51" s="394"/>
      <c r="P51" s="395" t="e">
        <f>P47</f>
        <v>#REF!</v>
      </c>
      <c r="Q51" s="395" t="e">
        <f>Q47</f>
        <v>#REF!</v>
      </c>
      <c r="R51" s="395" t="e">
        <f>R47</f>
        <v>#REF!</v>
      </c>
      <c r="S51" s="395" t="e">
        <f>S47</f>
        <v>#REF!</v>
      </c>
      <c r="T51" s="395" t="e">
        <f>T47</f>
        <v>#REF!</v>
      </c>
      <c r="U51" s="58"/>
      <c r="V51" s="351"/>
      <c r="W51" s="351"/>
      <c r="X51" s="351"/>
      <c r="Y51" s="351"/>
      <c r="Z51" s="351"/>
      <c r="AA51" s="351"/>
      <c r="AB51" s="351"/>
      <c r="AC51" s="351"/>
      <c r="AD51" s="351"/>
    </row>
    <row r="54" spans="8:30">
      <c r="H54">
        <v>2.2000000000000002</v>
      </c>
    </row>
    <row r="55" spans="8:30">
      <c r="H55">
        <v>1.8</v>
      </c>
    </row>
    <row r="57" spans="8:30">
      <c r="I57" t="s">
        <v>1078</v>
      </c>
    </row>
    <row r="58" spans="8:30">
      <c r="H58" t="s">
        <v>1077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1078</v>
      </c>
      <c r="J64" s="42"/>
      <c r="K64" s="42"/>
      <c r="L64" s="42"/>
    </row>
    <row r="65" spans="8:9">
      <c r="H65" t="s">
        <v>1077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6"/>
      <c r="F3" s="6" t="s">
        <v>643</v>
      </c>
      <c r="K3" s="6" t="s">
        <v>644</v>
      </c>
      <c r="M3" s="6" t="s">
        <v>645</v>
      </c>
    </row>
    <row r="4" spans="4:15">
      <c r="D4" s="6" t="s">
        <v>632</v>
      </c>
      <c r="E4" s="316" t="s">
        <v>633</v>
      </c>
      <c r="F4" s="6" t="s">
        <v>637</v>
      </c>
      <c r="G4" s="6" t="s">
        <v>638</v>
      </c>
      <c r="H4" s="6"/>
      <c r="I4" s="6" t="s">
        <v>625</v>
      </c>
      <c r="J4" s="6" t="s">
        <v>634</v>
      </c>
      <c r="K4" s="6" t="s">
        <v>638</v>
      </c>
      <c r="L4" s="6"/>
      <c r="M4" s="6" t="s">
        <v>635</v>
      </c>
    </row>
    <row r="5" spans="4:15">
      <c r="D5" t="s">
        <v>631</v>
      </c>
      <c r="E5" s="79">
        <v>45960</v>
      </c>
      <c r="F5" s="196">
        <v>140</v>
      </c>
      <c r="G5" s="196" t="s">
        <v>642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641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636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639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640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626</v>
      </c>
      <c r="E6" s="314" t="s">
        <v>628</v>
      </c>
      <c r="F6" s="56" t="s">
        <v>627</v>
      </c>
      <c r="G6" s="314" t="s">
        <v>628</v>
      </c>
      <c r="H6" s="314" t="s">
        <v>629</v>
      </c>
      <c r="J6" s="56"/>
      <c r="K6" s="56"/>
      <c r="L6" s="56" t="s">
        <v>626</v>
      </c>
      <c r="M6" s="314" t="s">
        <v>628</v>
      </c>
      <c r="N6" s="56" t="s">
        <v>627</v>
      </c>
      <c r="O6" s="314" t="s">
        <v>628</v>
      </c>
      <c r="P6" s="56" t="s">
        <v>630</v>
      </c>
      <c r="Q6" s="314" t="s">
        <v>628</v>
      </c>
      <c r="R6" s="314" t="s">
        <v>629</v>
      </c>
      <c r="T6" s="56"/>
      <c r="U6" s="56"/>
      <c r="V6" s="56" t="s">
        <v>626</v>
      </c>
      <c r="W6" s="314" t="s">
        <v>628</v>
      </c>
      <c r="X6" s="56" t="s">
        <v>627</v>
      </c>
      <c r="Y6" s="314" t="s">
        <v>628</v>
      </c>
      <c r="Z6" s="56" t="s">
        <v>630</v>
      </c>
      <c r="AA6" s="314" t="s">
        <v>628</v>
      </c>
      <c r="AB6" s="314" t="s">
        <v>629</v>
      </c>
    </row>
    <row r="7" spans="2:28">
      <c r="B7" t="s">
        <v>624</v>
      </c>
      <c r="C7" s="312">
        <v>45658</v>
      </c>
      <c r="D7">
        <v>30</v>
      </c>
      <c r="E7" s="313">
        <f>D7/15.9</f>
        <v>1.8867924528301887</v>
      </c>
      <c r="F7">
        <v>45</v>
      </c>
      <c r="G7" s="313">
        <f>F7/15.9</f>
        <v>2.8301886792452828</v>
      </c>
      <c r="H7" s="315">
        <v>1.55</v>
      </c>
      <c r="J7" t="s">
        <v>624</v>
      </c>
      <c r="K7" s="312">
        <v>45658</v>
      </c>
      <c r="L7">
        <v>31.5</v>
      </c>
      <c r="M7" s="313">
        <f>L7/15.9</f>
        <v>1.9811320754716981</v>
      </c>
      <c r="N7">
        <v>23</v>
      </c>
      <c r="O7" s="313">
        <f>N7/15.9</f>
        <v>1.4465408805031446</v>
      </c>
      <c r="P7">
        <v>43</v>
      </c>
      <c r="Q7" s="313">
        <f>P7/15.9</f>
        <v>2.7044025157232703</v>
      </c>
      <c r="R7" s="315">
        <v>-6.2</v>
      </c>
      <c r="T7" t="s">
        <v>624</v>
      </c>
      <c r="U7" s="312">
        <v>45658</v>
      </c>
      <c r="V7">
        <v>31.5</v>
      </c>
      <c r="W7" s="313">
        <f>V7/15.9</f>
        <v>1.9811320754716981</v>
      </c>
      <c r="X7">
        <v>23</v>
      </c>
      <c r="Y7" s="313">
        <f>X7/15.9</f>
        <v>1.4465408805031446</v>
      </c>
      <c r="Z7">
        <v>43</v>
      </c>
      <c r="AA7" s="313">
        <f>Z7/15.9</f>
        <v>2.7044025157232703</v>
      </c>
      <c r="AB7" s="315">
        <v>-6.2</v>
      </c>
    </row>
    <row r="8" spans="2:28">
      <c r="B8" t="s">
        <v>621</v>
      </c>
      <c r="C8" s="312">
        <v>45748</v>
      </c>
      <c r="D8">
        <v>67</v>
      </c>
      <c r="E8" s="313">
        <f>D8/15.9</f>
        <v>4.2138364779874209</v>
      </c>
      <c r="F8">
        <v>47</v>
      </c>
      <c r="G8" s="313">
        <f>F8/15.9</f>
        <v>2.9559748427672954</v>
      </c>
      <c r="H8" s="315">
        <v>4.2300000000000004</v>
      </c>
      <c r="J8" t="s">
        <v>621</v>
      </c>
      <c r="K8" s="312">
        <v>45748</v>
      </c>
      <c r="L8">
        <v>41.2</v>
      </c>
      <c r="M8" s="313">
        <f>L8/15.9</f>
        <v>2.5911949685534594</v>
      </c>
      <c r="N8">
        <v>32</v>
      </c>
      <c r="O8" s="313">
        <f t="shared" ref="O8:Q10" si="0">N8/15.9</f>
        <v>2.0125786163522013</v>
      </c>
      <c r="P8">
        <v>32</v>
      </c>
      <c r="Q8" s="313">
        <f t="shared" si="0"/>
        <v>2.0125786163522013</v>
      </c>
      <c r="R8" s="315">
        <v>7.6</v>
      </c>
      <c r="T8" t="s">
        <v>621</v>
      </c>
      <c r="U8" s="312">
        <v>45748</v>
      </c>
      <c r="V8">
        <v>41.2</v>
      </c>
      <c r="W8" s="313">
        <f>V8/15.9</f>
        <v>2.5911949685534594</v>
      </c>
      <c r="X8">
        <v>32</v>
      </c>
      <c r="Y8" s="313">
        <f>X8/15.9</f>
        <v>2.0125786163522013</v>
      </c>
      <c r="Z8">
        <v>32</v>
      </c>
      <c r="AA8" s="313">
        <f>Z8/15.9</f>
        <v>2.0125786163522013</v>
      </c>
      <c r="AB8" s="315">
        <v>7.6</v>
      </c>
    </row>
    <row r="9" spans="2:28">
      <c r="B9" t="s">
        <v>622</v>
      </c>
      <c r="C9" s="312">
        <v>45839</v>
      </c>
      <c r="D9">
        <v>21</v>
      </c>
      <c r="E9" s="313">
        <f>D9/15.9</f>
        <v>1.320754716981132</v>
      </c>
      <c r="F9">
        <v>36</v>
      </c>
      <c r="G9" s="313">
        <f>F9/15.9</f>
        <v>2.2641509433962264</v>
      </c>
      <c r="H9" s="315">
        <v>11.25</v>
      </c>
      <c r="J9" t="s">
        <v>622</v>
      </c>
      <c r="K9" s="312">
        <v>45839</v>
      </c>
      <c r="L9">
        <v>11.5</v>
      </c>
      <c r="M9" s="313">
        <f>L9/15.9</f>
        <v>0.72327044025157228</v>
      </c>
      <c r="N9">
        <v>23</v>
      </c>
      <c r="O9" s="313">
        <f t="shared" si="0"/>
        <v>1.4465408805031446</v>
      </c>
      <c r="P9">
        <v>23</v>
      </c>
      <c r="Q9" s="313">
        <f t="shared" si="0"/>
        <v>1.4465408805031446</v>
      </c>
      <c r="R9" s="315">
        <v>3.95</v>
      </c>
      <c r="T9" t="s">
        <v>622</v>
      </c>
      <c r="U9" s="312">
        <v>45839</v>
      </c>
      <c r="V9">
        <v>11.5</v>
      </c>
      <c r="W9" s="313">
        <f>V9/15.9</f>
        <v>0.72327044025157228</v>
      </c>
      <c r="X9">
        <v>23</v>
      </c>
      <c r="Y9" s="313">
        <f>X9/15.9</f>
        <v>1.4465408805031446</v>
      </c>
      <c r="Z9">
        <v>23</v>
      </c>
      <c r="AA9" s="313">
        <f>Z9/15.9</f>
        <v>1.4465408805031446</v>
      </c>
      <c r="AB9" s="315">
        <v>3.95</v>
      </c>
    </row>
    <row r="10" spans="2:28">
      <c r="B10" t="s">
        <v>623</v>
      </c>
      <c r="C10" s="312">
        <v>45931</v>
      </c>
      <c r="D10">
        <v>23</v>
      </c>
      <c r="E10" s="313">
        <f>D10/15.9</f>
        <v>1.4465408805031446</v>
      </c>
      <c r="F10">
        <v>41</v>
      </c>
      <c r="G10" s="313">
        <f>F10/15.9</f>
        <v>2.5786163522012577</v>
      </c>
      <c r="H10" s="315">
        <v>-11.33</v>
      </c>
      <c r="J10" t="s">
        <v>623</v>
      </c>
      <c r="K10" s="312">
        <v>45931</v>
      </c>
      <c r="L10">
        <v>15.1</v>
      </c>
      <c r="M10" s="313">
        <f>L10/15.9</f>
        <v>0.94968553459119498</v>
      </c>
      <c r="N10">
        <v>30</v>
      </c>
      <c r="O10" s="313">
        <f t="shared" si="0"/>
        <v>1.8867924528301887</v>
      </c>
      <c r="P10">
        <v>30</v>
      </c>
      <c r="Q10" s="313">
        <f t="shared" si="0"/>
        <v>1.8867924528301887</v>
      </c>
      <c r="R10" s="315">
        <v>-2.9</v>
      </c>
      <c r="T10" t="s">
        <v>623</v>
      </c>
      <c r="U10" s="312">
        <v>45931</v>
      </c>
      <c r="V10">
        <v>15.1</v>
      </c>
      <c r="W10" s="313">
        <f>V10/15.9</f>
        <v>0.94968553459119498</v>
      </c>
      <c r="X10">
        <v>30</v>
      </c>
      <c r="Y10" s="313">
        <f>X10/15.9</f>
        <v>1.8867924528301887</v>
      </c>
      <c r="Z10">
        <v>30</v>
      </c>
      <c r="AA10" s="313">
        <f>Z10/15.9</f>
        <v>1.8867924528301887</v>
      </c>
      <c r="AB10" s="315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abSelected="1" topLeftCell="A12" zoomScale="75" zoomScaleNormal="75" zoomScaleSheetLayoutView="85" workbookViewId="0">
      <selection activeCell="G50" sqref="A50:G55"/>
    </sheetView>
  </sheetViews>
  <sheetFormatPr defaultColWidth="9.140625" defaultRowHeight="15.75" outlineLevelCol="1"/>
  <cols>
    <col min="1" max="1" width="18.28515625" style="210" bestFit="1" customWidth="1"/>
    <col min="2" max="2" width="9.8554687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e" cm="1">
        <f t="array" aca="1" ref="J1" ca="1">_xll.BDP(A1&amp;" Equity","PX_YEST_CLOSE")</f>
        <v>#NAME?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 t="e">
        <f ca="1">'Master P&amp;L'!V5</f>
        <v>#VALUE!</v>
      </c>
      <c r="F4" s="212" t="e">
        <f ca="1">'Master P&amp;L'!U5</f>
        <v>#VALUE!</v>
      </c>
    </row>
    <row r="5" spans="1:28">
      <c r="A5" s="225" t="s">
        <v>13</v>
      </c>
      <c r="C5" s="226" t="e">
        <f ca="1">'Master P&amp;L'!V6</f>
        <v>#VALUE!</v>
      </c>
      <c r="F5" s="212" t="e">
        <f ca="1">'Master P&amp;L'!U6</f>
        <v>#VALUE!</v>
      </c>
    </row>
    <row r="6" spans="1:28" s="232" customFormat="1">
      <c r="A6" s="227" t="s">
        <v>14</v>
      </c>
      <c r="B6" s="228"/>
      <c r="C6" s="229" t="e">
        <f ca="1">'Master P&amp;L'!V7</f>
        <v>#VALUE!</v>
      </c>
      <c r="D6" s="230"/>
      <c r="E6" s="230"/>
      <c r="F6" s="230" t="e">
        <f ca="1">'Master P&amp;L'!U7</f>
        <v>#VALUE!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 t="e">
        <f ca="1">'Master P&amp;L'!U8</f>
        <v>#VALUE!</v>
      </c>
    </row>
    <row r="8" spans="1:28">
      <c r="A8" s="234" t="s">
        <v>16</v>
      </c>
      <c r="B8" s="235"/>
      <c r="C8" s="236" t="e">
        <f ca="1">'Master P&amp;L'!V7*'Master P&amp;L'!AD5/10000</f>
        <v>#VALUE!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 t="e">
        <f ca="1">C8*'Master P&amp;L'!AC3</f>
        <v>#VALUE!</v>
      </c>
      <c r="D9" s="240"/>
      <c r="E9" s="240"/>
      <c r="F9" s="240"/>
      <c r="G9" s="241"/>
      <c r="H9" s="240"/>
    </row>
    <row r="10" spans="1:28">
      <c r="A10" s="354" t="s">
        <v>786</v>
      </c>
      <c r="B10" s="357" t="e">
        <f ca="1">Options!AI1</f>
        <v>#NAME?</v>
      </c>
      <c r="H10" s="219"/>
    </row>
    <row r="11" spans="1:28">
      <c r="A11" s="242">
        <f ca="1">TODAY()</f>
        <v>46065</v>
      </c>
      <c r="H11" s="219"/>
      <c r="L11" s="212"/>
    </row>
    <row r="12" spans="1:28" s="292" customFormat="1" ht="47.25">
      <c r="A12" s="530" t="s">
        <v>20</v>
      </c>
      <c r="B12" s="537" t="s">
        <v>21</v>
      </c>
      <c r="C12" s="531" t="s">
        <v>22</v>
      </c>
      <c r="D12" s="531" t="s">
        <v>23</v>
      </c>
      <c r="E12" s="531" t="s">
        <v>24</v>
      </c>
      <c r="F12" s="531" t="s">
        <v>25</v>
      </c>
      <c r="G12" s="291"/>
      <c r="H12" s="293"/>
      <c r="I12" s="293"/>
      <c r="L12" s="243"/>
      <c r="AA12" s="294"/>
      <c r="AB12" s="294"/>
    </row>
    <row r="13" spans="1:28">
      <c r="A13" s="536" t="s">
        <v>573</v>
      </c>
      <c r="B13" s="535">
        <v>-2.0277907464016948E-2</v>
      </c>
      <c r="C13" s="532">
        <v>-0.1834037443627447</v>
      </c>
      <c r="D13" s="534">
        <v>6.1192486822415784E-4</v>
      </c>
      <c r="E13" s="534">
        <v>4.4678242810240065E-4</v>
      </c>
      <c r="F13" s="534">
        <v>1.0587072963265584E-3</v>
      </c>
      <c r="G13" s="244"/>
      <c r="H13" s="219"/>
      <c r="L13" s="244"/>
    </row>
    <row r="14" spans="1:28">
      <c r="A14" s="533" t="s">
        <v>7</v>
      </c>
      <c r="B14" s="535">
        <v>-5.5865921787708883E-3</v>
      </c>
      <c r="C14" s="532">
        <v>9.6678111072752565E-3</v>
      </c>
      <c r="D14" s="534">
        <v>1.339745277114361E-4</v>
      </c>
      <c r="E14" s="534">
        <v>4.4678242810240065E-4</v>
      </c>
      <c r="F14" s="534">
        <v>5.807569558138367E-4</v>
      </c>
      <c r="G14" s="244"/>
      <c r="H14" s="219"/>
      <c r="I14" s="213"/>
      <c r="L14" s="244"/>
    </row>
    <row r="15" spans="1:28">
      <c r="A15" s="533" t="s">
        <v>801</v>
      </c>
      <c r="B15" s="535">
        <v>-2.075302516776234E-2</v>
      </c>
      <c r="C15" s="532">
        <v>-0.11162510457594303</v>
      </c>
      <c r="D15" s="534">
        <v>2.4668030204372672E-4</v>
      </c>
      <c r="E15" s="534">
        <v>0</v>
      </c>
      <c r="F15" s="534">
        <v>2.4668030204372672E-4</v>
      </c>
      <c r="G15" s="244"/>
      <c r="H15" s="219"/>
      <c r="I15" s="213"/>
      <c r="L15" s="244"/>
    </row>
    <row r="16" spans="1:28">
      <c r="A16" s="533" t="s">
        <v>334</v>
      </c>
      <c r="B16" s="535">
        <v>-3.4018987341772222E-2</v>
      </c>
      <c r="C16" s="532">
        <v>-8.1446450894076927E-2</v>
      </c>
      <c r="D16" s="534">
        <v>2.3127003846899505E-4</v>
      </c>
      <c r="E16" s="534">
        <v>0</v>
      </c>
      <c r="F16" s="534">
        <v>2.3127003846899505E-4</v>
      </c>
      <c r="G16" s="244"/>
      <c r="H16" s="219"/>
      <c r="I16" s="213"/>
      <c r="L16" s="244"/>
    </row>
    <row r="17" spans="1:12">
      <c r="A17" s="536" t="s">
        <v>26</v>
      </c>
      <c r="B17" s="535">
        <v>-1.9590742327594501E-2</v>
      </c>
      <c r="C17" s="532">
        <v>1.1900043797905204</v>
      </c>
      <c r="D17" s="534">
        <v>-2.9487072574596266E-3</v>
      </c>
      <c r="E17" s="534">
        <v>-3.9073466050636024E-3</v>
      </c>
      <c r="F17" s="534">
        <v>-6.856053862523229E-3</v>
      </c>
      <c r="G17" s="244"/>
      <c r="H17" s="219"/>
      <c r="I17" s="213"/>
      <c r="L17" s="244"/>
    </row>
    <row r="18" spans="1:12">
      <c r="A18" s="533" t="s">
        <v>82</v>
      </c>
      <c r="B18" s="535">
        <v>-2.03389277617394E-2</v>
      </c>
      <c r="C18" s="532">
        <v>0.62372233554599676</v>
      </c>
      <c r="D18" s="534">
        <v>0</v>
      </c>
      <c r="E18" s="534">
        <v>-3.9073466050636024E-3</v>
      </c>
      <c r="F18" s="534">
        <v>-3.9073466050636024E-3</v>
      </c>
      <c r="G18" s="244"/>
      <c r="H18" s="219"/>
      <c r="I18" s="213"/>
      <c r="L18" s="244"/>
    </row>
    <row r="19" spans="1:12">
      <c r="A19" s="533" t="s">
        <v>574</v>
      </c>
      <c r="B19" s="535">
        <v>-1.8842556893449602E-2</v>
      </c>
      <c r="C19" s="532">
        <v>0.56628204424452366</v>
      </c>
      <c r="D19" s="534">
        <v>-2.9487072574596266E-3</v>
      </c>
      <c r="E19" s="534"/>
      <c r="F19" s="534">
        <v>-2.9487072574596266E-3</v>
      </c>
      <c r="G19" s="244"/>
      <c r="H19" s="219"/>
      <c r="I19" s="213"/>
      <c r="L19" s="244"/>
    </row>
    <row r="20" spans="1:12">
      <c r="A20" s="536" t="s">
        <v>798</v>
      </c>
      <c r="B20" s="535">
        <v>-4.974920045557446E-2</v>
      </c>
      <c r="C20" s="532">
        <v>-0.96401589291730838</v>
      </c>
      <c r="D20" s="534">
        <v>1.3135091824170496E-3</v>
      </c>
      <c r="E20" s="534">
        <v>0</v>
      </c>
      <c r="F20" s="534">
        <v>1.3135091824170496E-3</v>
      </c>
      <c r="G20" s="244"/>
      <c r="H20" s="219"/>
      <c r="L20" s="244"/>
    </row>
    <row r="21" spans="1:12">
      <c r="A21" s="533" t="s">
        <v>78</v>
      </c>
      <c r="B21" s="535">
        <v>-4.974920045557446E-2</v>
      </c>
      <c r="C21" s="532">
        <v>-0.96401589291730838</v>
      </c>
      <c r="D21" s="534">
        <v>1.3135091824170496E-3</v>
      </c>
      <c r="E21" s="534">
        <v>0</v>
      </c>
      <c r="F21" s="534">
        <v>1.3135091824170496E-3</v>
      </c>
      <c r="G21" s="244"/>
      <c r="H21" s="219"/>
      <c r="I21" s="213"/>
      <c r="L21" s="244"/>
    </row>
    <row r="22" spans="1:12">
      <c r="A22" s="536" t="s">
        <v>546</v>
      </c>
      <c r="B22" s="535">
        <v>-1.9716973396213429E-2</v>
      </c>
      <c r="C22" s="532">
        <v>-2.7219860305393762</v>
      </c>
      <c r="D22" s="534">
        <v>5.5661260235229295E-3</v>
      </c>
      <c r="E22" s="534">
        <v>8.1651958487391485E-3</v>
      </c>
      <c r="F22" s="534">
        <v>1.373132187226208E-2</v>
      </c>
      <c r="G22" s="244"/>
      <c r="H22" s="219"/>
      <c r="L22" s="244"/>
    </row>
    <row r="23" spans="1:12">
      <c r="A23" s="533" t="s">
        <v>42</v>
      </c>
      <c r="B23" s="535">
        <v>-1.6364114706656219E-2</v>
      </c>
      <c r="C23" s="532">
        <v>-0.96051017329020283</v>
      </c>
      <c r="D23" s="534">
        <v>3.9026669003158132E-3</v>
      </c>
      <c r="E23" s="534">
        <v>1.6285259647846654E-3</v>
      </c>
      <c r="F23" s="534">
        <v>5.5311928651004781E-3</v>
      </c>
      <c r="G23" s="244"/>
      <c r="H23" s="219"/>
      <c r="J23" s="244"/>
      <c r="L23" s="244"/>
    </row>
    <row r="24" spans="1:12">
      <c r="A24" s="533" t="s">
        <v>44</v>
      </c>
      <c r="B24" s="535">
        <v>-1.6012189580047465E-2</v>
      </c>
      <c r="C24" s="532">
        <v>-0.75177457115427881</v>
      </c>
      <c r="D24" s="534">
        <v>-7.2909555958869941E-4</v>
      </c>
      <c r="E24" s="534">
        <v>5.6691314998163012E-3</v>
      </c>
      <c r="F24" s="534">
        <v>4.9400359402276012E-3</v>
      </c>
      <c r="G24" s="244"/>
      <c r="H24" s="219"/>
      <c r="L24" s="244"/>
    </row>
    <row r="25" spans="1:12">
      <c r="A25" s="533" t="s">
        <v>84</v>
      </c>
      <c r="B25" s="535">
        <v>-3.3813747228381263E-2</v>
      </c>
      <c r="C25" s="532">
        <v>-1.0441298082811776</v>
      </c>
      <c r="D25" s="534">
        <v>2.1515104885039007E-3</v>
      </c>
      <c r="E25" s="534">
        <v>8.0082819984596558E-4</v>
      </c>
      <c r="F25" s="534">
        <v>2.9523386883498664E-3</v>
      </c>
      <c r="G25" s="244"/>
      <c r="H25" s="219"/>
      <c r="L25" s="244"/>
    </row>
    <row r="26" spans="1:12">
      <c r="A26" s="533" t="s">
        <v>434</v>
      </c>
      <c r="B26" s="535">
        <v>0</v>
      </c>
      <c r="C26" s="532">
        <v>0</v>
      </c>
      <c r="D26" s="534">
        <v>4.3300093274275761E-4</v>
      </c>
      <c r="E26" s="534">
        <v>0</v>
      </c>
      <c r="F26" s="534">
        <v>4.3300093274275761E-4</v>
      </c>
      <c r="G26" s="244"/>
      <c r="H26" s="219"/>
      <c r="L26" s="244"/>
    </row>
    <row r="27" spans="1:12">
      <c r="A27" s="533" t="s">
        <v>85</v>
      </c>
      <c r="B27" s="535">
        <v>-3.8234570936808487E-2</v>
      </c>
      <c r="C27" s="532">
        <v>0.15010138466924966</v>
      </c>
      <c r="D27" s="534">
        <v>-1.7354415403917096E-4</v>
      </c>
      <c r="E27" s="534">
        <v>-2.2033723547663342E-4</v>
      </c>
      <c r="F27" s="534">
        <v>-3.9388138951580438E-4</v>
      </c>
      <c r="G27" s="244"/>
      <c r="H27" s="219"/>
      <c r="L27" s="244"/>
    </row>
    <row r="28" spans="1:12">
      <c r="A28" s="533" t="s">
        <v>343</v>
      </c>
      <c r="B28" s="535">
        <v>-1.6797095660800287E-2</v>
      </c>
      <c r="C28" s="532">
        <v>-0.11567286248296674</v>
      </c>
      <c r="D28" s="534">
        <v>-1.8412584411672236E-5</v>
      </c>
      <c r="E28" s="534">
        <v>2.8704741976885088E-4</v>
      </c>
      <c r="F28" s="534">
        <v>2.6863483535717868E-4</v>
      </c>
      <c r="G28" s="244"/>
      <c r="H28" s="219"/>
      <c r="L28" s="244"/>
    </row>
    <row r="29" spans="1:12">
      <c r="A29" s="536" t="s">
        <v>797</v>
      </c>
      <c r="B29" s="535">
        <v>4.1207308428556244E-2</v>
      </c>
      <c r="C29" s="532">
        <v>0.65308543501015237</v>
      </c>
      <c r="D29" s="534">
        <v>3.1077380184173563E-3</v>
      </c>
      <c r="E29" s="534">
        <v>0</v>
      </c>
      <c r="F29" s="534">
        <v>3.1077380184173563E-3</v>
      </c>
      <c r="G29" s="244"/>
      <c r="H29" s="219"/>
      <c r="L29" s="244"/>
    </row>
    <row r="30" spans="1:12">
      <c r="A30" s="533" t="s">
        <v>426</v>
      </c>
      <c r="B30" s="535">
        <v>-7.386969432665591E-5</v>
      </c>
      <c r="C30" s="532">
        <v>1.7189304276922959E-2</v>
      </c>
      <c r="D30" s="534">
        <v>1.9946742494865504E-3</v>
      </c>
      <c r="E30" s="534">
        <v>0</v>
      </c>
      <c r="F30" s="534">
        <v>1.9946742494865504E-3</v>
      </c>
      <c r="G30" s="244"/>
      <c r="H30" s="219"/>
      <c r="I30" s="213"/>
      <c r="L30" s="244"/>
    </row>
    <row r="31" spans="1:12">
      <c r="A31" s="533" t="s">
        <v>433</v>
      </c>
      <c r="B31" s="535">
        <v>3.953488372093017E-2</v>
      </c>
      <c r="C31" s="532">
        <v>0.14628357092641178</v>
      </c>
      <c r="D31" s="534">
        <v>3.8463974237709457E-4</v>
      </c>
      <c r="E31" s="534">
        <v>0</v>
      </c>
      <c r="F31" s="534">
        <v>3.8463974237709457E-4</v>
      </c>
      <c r="G31" s="244"/>
      <c r="H31" s="219"/>
      <c r="I31" s="213"/>
      <c r="L31" s="244"/>
    </row>
    <row r="32" spans="1:12">
      <c r="A32" s="533" t="s">
        <v>524</v>
      </c>
      <c r="B32" s="535">
        <v>7.1563088512241135E-2</v>
      </c>
      <c r="C32" s="532">
        <v>0.15355618381993444</v>
      </c>
      <c r="D32" s="534">
        <v>2.2993018050932286E-4</v>
      </c>
      <c r="E32" s="534">
        <v>0</v>
      </c>
      <c r="F32" s="534">
        <v>2.2993018050932286E-4</v>
      </c>
      <c r="G32" s="244"/>
      <c r="H32" s="219"/>
      <c r="L32" s="244"/>
    </row>
    <row r="33" spans="1:28">
      <c r="A33" s="533" t="s">
        <v>1073</v>
      </c>
      <c r="B33" s="535">
        <v>7.8537170263788925E-2</v>
      </c>
      <c r="C33" s="532">
        <v>0.25530669971553277</v>
      </c>
      <c r="D33" s="534">
        <v>3.5060820823530034E-4</v>
      </c>
      <c r="E33" s="534">
        <v>0</v>
      </c>
      <c r="F33" s="534">
        <v>3.5060820823530034E-4</v>
      </c>
      <c r="G33" s="244"/>
      <c r="H33" s="219"/>
      <c r="I33" s="213"/>
      <c r="L33" s="244"/>
    </row>
    <row r="34" spans="1:28">
      <c r="A34" s="533" t="s">
        <v>1182</v>
      </c>
      <c r="B34" s="535">
        <v>5.7756447463030547E-2</v>
      </c>
      <c r="C34" s="532">
        <v>8.0749676271350435E-2</v>
      </c>
      <c r="D34" s="534">
        <v>1.4788563780908785E-4</v>
      </c>
      <c r="E34" s="534">
        <v>0</v>
      </c>
      <c r="F34" s="534">
        <v>1.4788563780908785E-4</v>
      </c>
      <c r="G34" s="244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536" t="s">
        <v>730</v>
      </c>
      <c r="B35" s="535">
        <v>2.7398108759111573E-2</v>
      </c>
      <c r="C35" s="532">
        <v>-0.97553980184217548</v>
      </c>
      <c r="D35" s="534">
        <v>2.2171477312124604E-3</v>
      </c>
      <c r="E35" s="534">
        <v>3.1956367765928587E-4</v>
      </c>
      <c r="F35" s="534">
        <v>2.5367114088717464E-3</v>
      </c>
      <c r="G35" s="214"/>
      <c r="H35" s="219"/>
      <c r="I35" s="213"/>
      <c r="L35" s="244"/>
    </row>
    <row r="36" spans="1:28">
      <c r="A36" s="533" t="s">
        <v>729</v>
      </c>
      <c r="B36" s="535">
        <v>1.6286077580951464E-2</v>
      </c>
      <c r="C36" s="532">
        <v>0.12858128049816686</v>
      </c>
      <c r="D36" s="534">
        <v>9.1551309702677698E-4</v>
      </c>
      <c r="E36" s="534">
        <v>4.1090279538445344E-4</v>
      </c>
      <c r="F36" s="534">
        <v>1.3264158924112305E-3</v>
      </c>
      <c r="G36" s="214"/>
      <c r="H36" s="219"/>
      <c r="I36" s="213"/>
      <c r="L36" s="244"/>
    </row>
    <row r="37" spans="1:28">
      <c r="A37" s="533" t="s">
        <v>991</v>
      </c>
      <c r="B37" s="535">
        <v>-6.4656576597523219E-2</v>
      </c>
      <c r="C37" s="532">
        <v>-1.5156114450258962</v>
      </c>
      <c r="D37" s="534">
        <v>9.0795274250328657E-4</v>
      </c>
      <c r="E37" s="534">
        <v>-9.1339117725167574E-5</v>
      </c>
      <c r="F37" s="534">
        <v>8.1661362477811899E-4</v>
      </c>
      <c r="G37" s="214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33" t="s">
        <v>1228</v>
      </c>
      <c r="B38" s="535">
        <v>0.12500880970482642</v>
      </c>
      <c r="C38" s="532">
        <v>0.41149036268555378</v>
      </c>
      <c r="D38" s="534">
        <v>3.9368189168239687E-4</v>
      </c>
      <c r="E38" s="534">
        <v>0</v>
      </c>
      <c r="F38" s="534">
        <v>3.9368189168239687E-4</v>
      </c>
      <c r="G38" s="214"/>
      <c r="H38" s="219"/>
      <c r="I38" s="213"/>
      <c r="L38" s="244"/>
      <c r="AA38" s="247"/>
      <c r="AB38" s="247"/>
    </row>
    <row r="39" spans="1:28">
      <c r="A39" s="536" t="s">
        <v>792</v>
      </c>
      <c r="B39" s="535">
        <v>-1.6071689418015806E-2</v>
      </c>
      <c r="C39" s="532">
        <v>-0.20248859412394363</v>
      </c>
      <c r="D39" s="534">
        <v>2.5769934170696762E-3</v>
      </c>
      <c r="E39" s="534">
        <v>0</v>
      </c>
      <c r="F39" s="534">
        <v>2.5769934170696762E-3</v>
      </c>
      <c r="G39" s="214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33" t="s">
        <v>791</v>
      </c>
      <c r="B40" s="535">
        <v>-4.0540540540540682E-2</v>
      </c>
      <c r="C40" s="532">
        <v>-7.1305189201828975E-2</v>
      </c>
      <c r="D40" s="534">
        <v>1.6875561444432813E-4</v>
      </c>
      <c r="E40" s="534">
        <v>0</v>
      </c>
      <c r="F40" s="534">
        <v>1.6875561444432813E-4</v>
      </c>
      <c r="G40" s="214"/>
      <c r="H40" s="219"/>
      <c r="L40" s="244"/>
    </row>
    <row r="41" spans="1:28">
      <c r="A41" s="533" t="s">
        <v>1096</v>
      </c>
      <c r="B41" s="535">
        <v>1.4060742407195903E-4</v>
      </c>
      <c r="C41" s="532">
        <v>2.1114258802522323E-3</v>
      </c>
      <c r="D41" s="534">
        <v>1.5018572286247785E-3</v>
      </c>
      <c r="E41" s="534">
        <v>0</v>
      </c>
      <c r="F41" s="534">
        <v>1.5018572286247785E-3</v>
      </c>
      <c r="G41" s="214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33" t="s">
        <v>1177</v>
      </c>
      <c r="B42" s="535">
        <v>-1.8032896590588987E-2</v>
      </c>
      <c r="C42" s="532">
        <v>-8.8715539565275572E-2</v>
      </c>
      <c r="D42" s="534">
        <v>4.4243087270004721E-4</v>
      </c>
      <c r="E42" s="534">
        <v>0</v>
      </c>
      <c r="F42" s="534">
        <v>4.4243087270004721E-4</v>
      </c>
      <c r="G42" s="214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533" t="s">
        <v>1178</v>
      </c>
      <c r="B43" s="535">
        <v>-8.6320978061602549E-3</v>
      </c>
      <c r="C43" s="532">
        <v>-2.7179755494007141E-2</v>
      </c>
      <c r="D43" s="534">
        <v>3.121505083851818E-4</v>
      </c>
      <c r="E43" s="534">
        <v>0</v>
      </c>
      <c r="F43" s="534">
        <v>3.121505083851818E-4</v>
      </c>
      <c r="G43" s="214"/>
      <c r="H43" s="219"/>
      <c r="I43" s="213"/>
      <c r="L43" s="244"/>
    </row>
    <row r="44" spans="1:28">
      <c r="A44" s="533" t="s">
        <v>1190</v>
      </c>
      <c r="B44" s="535">
        <v>-1.1332312404287892E-2</v>
      </c>
      <c r="C44" s="532">
        <v>-1.7399535743084203E-2</v>
      </c>
      <c r="D44" s="534">
        <v>1.5179919291534046E-4</v>
      </c>
      <c r="E44" s="534">
        <v>0</v>
      </c>
      <c r="F44" s="534">
        <v>1.5179919291534046E-4</v>
      </c>
      <c r="G44" s="214"/>
      <c r="H44" s="219"/>
      <c r="I44" s="213"/>
      <c r="L44" s="244"/>
      <c r="S44" s="245"/>
      <c r="T44" s="245"/>
      <c r="U44" s="245"/>
    </row>
    <row r="45" spans="1:28">
      <c r="A45" s="536" t="s">
        <v>904</v>
      </c>
      <c r="B45" s="535">
        <v>-2.5926592651245778E-2</v>
      </c>
      <c r="C45" s="532">
        <v>-1.1056186497695595</v>
      </c>
      <c r="D45" s="534">
        <v>2.330174751267703E-3</v>
      </c>
      <c r="E45" s="534">
        <v>1.2961998486385462E-3</v>
      </c>
      <c r="F45" s="534">
        <v>3.6263745999062492E-3</v>
      </c>
      <c r="G45" s="214"/>
      <c r="H45" s="219"/>
      <c r="I45" s="213"/>
      <c r="L45" s="244"/>
    </row>
    <row r="46" spans="1:28">
      <c r="A46" s="533" t="s">
        <v>29</v>
      </c>
      <c r="B46" s="535">
        <v>-2.8234308872571945E-2</v>
      </c>
      <c r="C46" s="532">
        <v>-1.0031372472889313</v>
      </c>
      <c r="D46" s="534">
        <v>2.0850671247858166E-3</v>
      </c>
      <c r="E46" s="534">
        <v>1.4143766884758093E-3</v>
      </c>
      <c r="F46" s="534">
        <v>3.4994438132616261E-3</v>
      </c>
      <c r="G46" s="214"/>
      <c r="H46" s="219"/>
      <c r="I46" s="213"/>
    </row>
    <row r="47" spans="1:28">
      <c r="A47" s="533" t="s">
        <v>316</v>
      </c>
      <c r="B47" s="535">
        <v>-2.1952175617405034E-2</v>
      </c>
      <c r="C47" s="532">
        <v>-4.1000483791051562E-2</v>
      </c>
      <c r="D47" s="534">
        <v>0</v>
      </c>
      <c r="E47" s="534">
        <v>2.1795989724519992E-5</v>
      </c>
      <c r="F47" s="534">
        <v>2.1795989724519992E-5</v>
      </c>
      <c r="G47" s="214"/>
      <c r="H47" s="219"/>
      <c r="I47" s="213"/>
    </row>
    <row r="48" spans="1:28">
      <c r="A48" s="533" t="s">
        <v>1104</v>
      </c>
      <c r="B48" s="535">
        <v>-4.7224315498618497E-2</v>
      </c>
      <c r="C48" s="532">
        <v>-4.5952233041178556E-2</v>
      </c>
      <c r="D48" s="534">
        <v>0</v>
      </c>
      <c r="E48" s="534">
        <v>-1.3997282956178313E-4</v>
      </c>
      <c r="F48" s="534">
        <v>-1.3997282956178313E-4</v>
      </c>
      <c r="G48" s="214"/>
      <c r="H48" s="219"/>
      <c r="I48" s="213"/>
    </row>
    <row r="49" spans="1:35">
      <c r="A49" s="533" t="s">
        <v>808</v>
      </c>
      <c r="B49" s="535">
        <v>-6.2955706163876357E-3</v>
      </c>
      <c r="C49" s="532">
        <v>-1.5528685648398108E-2</v>
      </c>
      <c r="D49" s="534">
        <v>2.4510762648188638E-4</v>
      </c>
      <c r="E49" s="534">
        <v>0</v>
      </c>
      <c r="F49" s="534">
        <v>2.4510762648188638E-4</v>
      </c>
      <c r="G49" s="214"/>
      <c r="H49" s="219"/>
      <c r="I49" s="213"/>
    </row>
    <row r="50" spans="1:35">
      <c r="A50" s="536" t="s">
        <v>905</v>
      </c>
      <c r="B50" s="535">
        <v>-1.7413475256064292E-2</v>
      </c>
      <c r="C50" s="532">
        <v>-0.32681148910898089</v>
      </c>
      <c r="D50" s="534">
        <v>-8.2775817304762977E-5</v>
      </c>
      <c r="E50" s="534">
        <v>0</v>
      </c>
      <c r="F50" s="534">
        <v>-8.2775817304762977E-5</v>
      </c>
      <c r="G50" s="214"/>
      <c r="H50" s="219"/>
      <c r="I50" s="213"/>
    </row>
    <row r="51" spans="1:35">
      <c r="A51" s="533" t="s">
        <v>36</v>
      </c>
      <c r="B51" s="535">
        <v>-1.9908987485779406E-2</v>
      </c>
      <c r="C51" s="532">
        <v>-9.7747530197507385E-2</v>
      </c>
      <c r="D51" s="534">
        <v>4.8119712722944144E-4</v>
      </c>
      <c r="E51" s="534">
        <v>0</v>
      </c>
      <c r="F51" s="534">
        <v>4.8119712722944144E-4</v>
      </c>
      <c r="G51" s="214"/>
      <c r="H51" s="219"/>
      <c r="I51" s="214"/>
    </row>
    <row r="52" spans="1:35">
      <c r="A52" s="533" t="s">
        <v>4</v>
      </c>
      <c r="B52" s="535">
        <v>9.1628959276017774E-3</v>
      </c>
      <c r="C52" s="532">
        <v>-8.8240171637261833E-2</v>
      </c>
      <c r="D52" s="534">
        <v>-9.7184021132842521E-4</v>
      </c>
      <c r="E52" s="534">
        <v>0</v>
      </c>
      <c r="F52" s="534">
        <v>-9.7184021132842521E-4</v>
      </c>
      <c r="G52" s="214"/>
      <c r="H52" s="219"/>
      <c r="I52" s="213"/>
    </row>
    <row r="53" spans="1:35">
      <c r="A53" s="533" t="s">
        <v>6</v>
      </c>
      <c r="B53" s="535">
        <v>-3.2097085176363782E-2</v>
      </c>
      <c r="C53" s="532">
        <v>-0.16816140453431278</v>
      </c>
      <c r="D53" s="534">
        <v>5.0709873720700582E-4</v>
      </c>
      <c r="E53" s="534">
        <v>0</v>
      </c>
      <c r="F53" s="534">
        <v>5.0709873720700582E-4</v>
      </c>
      <c r="G53" s="214"/>
      <c r="H53" s="219"/>
      <c r="I53" s="213"/>
    </row>
    <row r="54" spans="1:35">
      <c r="A54" s="533" t="s">
        <v>917</v>
      </c>
      <c r="B54" s="535">
        <v>-2.6810724289715759E-2</v>
      </c>
      <c r="C54" s="532">
        <v>2.7337617260101064E-2</v>
      </c>
      <c r="D54" s="534">
        <v>-9.9231470412785032E-5</v>
      </c>
      <c r="E54" s="534">
        <v>0</v>
      </c>
      <c r="F54" s="534">
        <v>-9.9231470412785032E-5</v>
      </c>
      <c r="G54" s="214"/>
      <c r="H54" s="219"/>
      <c r="I54" s="213"/>
    </row>
    <row r="55" spans="1:35">
      <c r="A55" s="536" t="s">
        <v>45</v>
      </c>
      <c r="B55" s="535">
        <v>-6.0841585741584882E-3</v>
      </c>
      <c r="C55" s="532">
        <v>-4.636774387863416</v>
      </c>
      <c r="D55" s="534">
        <v>1.4692130917366946E-2</v>
      </c>
      <c r="E55" s="534">
        <v>6.3203951980757801E-3</v>
      </c>
      <c r="F55" s="534">
        <v>2.1012526115442725E-2</v>
      </c>
      <c r="G55" s="214"/>
      <c r="H55" s="219"/>
      <c r="I55" s="214"/>
    </row>
    <row r="56" spans="1:35">
      <c r="A56"/>
      <c r="B56"/>
      <c r="C56"/>
      <c r="D56"/>
      <c r="E56"/>
      <c r="F56"/>
      <c r="G56" s="214"/>
      <c r="H56" s="219"/>
      <c r="I56" s="214"/>
    </row>
    <row r="57" spans="1:35">
      <c r="A57"/>
      <c r="B57"/>
      <c r="C57"/>
      <c r="D57"/>
      <c r="E57"/>
      <c r="F57"/>
      <c r="G57" s="214"/>
      <c r="H57" s="219"/>
      <c r="I57" s="214"/>
    </row>
    <row r="58" spans="1:35">
      <c r="A58"/>
      <c r="B58"/>
      <c r="C58"/>
      <c r="D58"/>
      <c r="E58"/>
      <c r="F58"/>
      <c r="G58" s="214"/>
      <c r="H58" s="219"/>
      <c r="I58" s="214"/>
    </row>
    <row r="59" spans="1:35">
      <c r="A59"/>
      <c r="B59"/>
      <c r="C59"/>
      <c r="D59"/>
      <c r="E59"/>
      <c r="F59"/>
      <c r="G59" s="214"/>
      <c r="H59" s="219"/>
      <c r="I59" s="214"/>
    </row>
    <row r="60" spans="1:35">
      <c r="A60"/>
      <c r="B60"/>
      <c r="C60"/>
      <c r="D60"/>
      <c r="E60"/>
      <c r="F60"/>
      <c r="G60" s="214"/>
      <c r="H60" s="219"/>
      <c r="I60" s="214"/>
    </row>
    <row r="61" spans="1:35">
      <c r="A61"/>
      <c r="B61"/>
      <c r="C61"/>
      <c r="D61"/>
      <c r="E61"/>
      <c r="F61"/>
      <c r="G61" s="214"/>
      <c r="H61" s="219"/>
      <c r="I61" s="214"/>
      <c r="AI61" s="248"/>
    </row>
    <row r="62" spans="1:35">
      <c r="A62"/>
      <c r="B62"/>
      <c r="C62"/>
      <c r="D62"/>
      <c r="E62"/>
      <c r="F62"/>
      <c r="G62" s="214"/>
      <c r="H62" s="219"/>
      <c r="I62" s="214"/>
      <c r="AI62" s="248"/>
    </row>
    <row r="63" spans="1:35">
      <c r="A63"/>
      <c r="B63"/>
      <c r="C63"/>
      <c r="D63"/>
      <c r="E63"/>
      <c r="F63"/>
      <c r="G63" s="214"/>
      <c r="H63" s="219"/>
      <c r="I63" s="214"/>
      <c r="AI63" s="248"/>
    </row>
    <row r="64" spans="1:35">
      <c r="A64"/>
      <c r="B64"/>
      <c r="C64"/>
      <c r="D64"/>
      <c r="E64"/>
      <c r="F64"/>
      <c r="G64" s="214"/>
      <c r="H64" s="219"/>
      <c r="I64" s="214"/>
      <c r="AI64" s="248"/>
    </row>
    <row r="65" spans="1:9">
      <c r="A65"/>
      <c r="B65"/>
      <c r="C65"/>
      <c r="D65"/>
      <c r="E65"/>
      <c r="F65"/>
      <c r="G65" s="214"/>
      <c r="H65" s="219"/>
      <c r="I65" s="214"/>
    </row>
    <row r="66" spans="1:9">
      <c r="A66"/>
      <c r="B66"/>
      <c r="C66"/>
      <c r="D66"/>
      <c r="E66"/>
      <c r="F66"/>
      <c r="G66" s="214"/>
      <c r="H66" s="219"/>
      <c r="I66" s="214"/>
    </row>
    <row r="67" spans="1:9">
      <c r="A67"/>
      <c r="B67"/>
      <c r="C67"/>
      <c r="D67"/>
      <c r="E67"/>
      <c r="F67"/>
      <c r="G67" s="214"/>
      <c r="H67" s="219"/>
      <c r="I67" s="214"/>
    </row>
    <row r="68" spans="1:9">
      <c r="A68"/>
      <c r="B68"/>
      <c r="C68"/>
      <c r="D68"/>
      <c r="E68"/>
      <c r="F68"/>
      <c r="G68" s="214"/>
      <c r="H68" s="219"/>
      <c r="I68" s="214"/>
    </row>
    <row r="69" spans="1:9">
      <c r="A69"/>
      <c r="B69"/>
      <c r="C69"/>
      <c r="D69"/>
      <c r="E69"/>
      <c r="F69"/>
      <c r="G69" s="214"/>
      <c r="H69" s="219"/>
      <c r="I69" s="214"/>
    </row>
    <row r="70" spans="1:9">
      <c r="A70"/>
      <c r="B70"/>
      <c r="C70"/>
      <c r="D70"/>
      <c r="E70"/>
      <c r="F70"/>
      <c r="G70" s="214"/>
      <c r="H70" s="219"/>
      <c r="I70" s="214"/>
    </row>
    <row r="71" spans="1:9">
      <c r="A71"/>
      <c r="B71"/>
      <c r="C71"/>
      <c r="D71"/>
      <c r="E71"/>
      <c r="F71"/>
      <c r="G71" s="214"/>
      <c r="H71" s="219"/>
      <c r="I71" s="214"/>
    </row>
    <row r="72" spans="1:9">
      <c r="A72"/>
      <c r="B72"/>
      <c r="C72"/>
      <c r="D72"/>
      <c r="E72"/>
      <c r="F72"/>
      <c r="G72" s="214"/>
      <c r="H72" s="219"/>
      <c r="I72" s="214"/>
    </row>
    <row r="73" spans="1:9">
      <c r="A73"/>
      <c r="B73"/>
      <c r="C73"/>
      <c r="D73"/>
      <c r="E73"/>
      <c r="F73"/>
      <c r="G73" s="214"/>
      <c r="H73" s="219"/>
    </row>
    <row r="74" spans="1:9">
      <c r="A74"/>
      <c r="B74"/>
      <c r="C74"/>
      <c r="D74"/>
      <c r="E74"/>
      <c r="F74"/>
      <c r="G74" s="214"/>
      <c r="H74" s="219"/>
    </row>
    <row r="75" spans="1:9">
      <c r="A75"/>
      <c r="B75"/>
      <c r="C75"/>
      <c r="D75"/>
      <c r="E75"/>
      <c r="F75"/>
      <c r="G75" s="214"/>
      <c r="H75" s="219"/>
    </row>
    <row r="76" spans="1:9">
      <c r="A76"/>
      <c r="B76"/>
      <c r="C76"/>
      <c r="D76"/>
      <c r="E76"/>
      <c r="F76"/>
      <c r="G76" s="214"/>
      <c r="H76" s="219"/>
    </row>
    <row r="77" spans="1:9">
      <c r="A77"/>
      <c r="B77"/>
      <c r="C77"/>
      <c r="D77"/>
      <c r="E77"/>
      <c r="F77"/>
      <c r="G77" s="214"/>
      <c r="H77" s="219"/>
    </row>
    <row r="78" spans="1:9">
      <c r="A78"/>
      <c r="B78"/>
      <c r="C78"/>
      <c r="D78"/>
      <c r="E78"/>
      <c r="F78"/>
      <c r="G78" s="214"/>
      <c r="H78" s="219"/>
    </row>
    <row r="79" spans="1:9">
      <c r="A79"/>
      <c r="B79"/>
      <c r="C79"/>
      <c r="D79"/>
      <c r="E79"/>
      <c r="F79"/>
      <c r="G79" s="214"/>
      <c r="H79" s="219"/>
    </row>
    <row r="80" spans="1:9">
      <c r="A80"/>
      <c r="B80"/>
      <c r="C80"/>
      <c r="D80"/>
      <c r="E80"/>
      <c r="F80"/>
      <c r="G80" s="214"/>
      <c r="H80" s="219"/>
    </row>
    <row r="81" spans="1:8">
      <c r="A81"/>
      <c r="B81"/>
      <c r="C81"/>
      <c r="D81"/>
      <c r="E81"/>
      <c r="F81"/>
      <c r="G81" s="214"/>
      <c r="H81" s="219"/>
    </row>
    <row r="82" spans="1:8">
      <c r="A82"/>
      <c r="B82"/>
      <c r="C82"/>
      <c r="D82"/>
      <c r="E82"/>
      <c r="F82"/>
      <c r="G82" s="214"/>
      <c r="H82" s="219"/>
    </row>
    <row r="83" spans="1:8">
      <c r="A83"/>
      <c r="B83"/>
      <c r="C83"/>
      <c r="D83"/>
      <c r="E83"/>
      <c r="F83"/>
      <c r="G83" s="214"/>
      <c r="H83" s="219"/>
    </row>
    <row r="84" spans="1:8">
      <c r="A84"/>
      <c r="B84"/>
      <c r="C84"/>
      <c r="D84"/>
      <c r="E84"/>
      <c r="F84"/>
      <c r="G84" s="214"/>
      <c r="H84" s="219"/>
    </row>
    <row r="85" spans="1:8">
      <c r="A85"/>
      <c r="B85"/>
      <c r="C85"/>
      <c r="D85"/>
      <c r="E85"/>
      <c r="F85"/>
      <c r="G85" s="214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492" priority="12211" operator="lessThan">
      <formula>0</formula>
    </cfRule>
  </conditionalFormatting>
  <conditionalFormatting sqref="H86:H1048576 F1:H9 F12:G12 G10:G11">
    <cfRule type="cellIs" dxfId="3491" priority="12208" operator="lessThan">
      <formula>0</formula>
    </cfRule>
    <cfRule type="cellIs" dxfId="3490" priority="12209" operator="lessThan">
      <formula>0</formula>
    </cfRule>
  </conditionalFormatting>
  <conditionalFormatting sqref="F136:G1048576 G86:G135">
    <cfRule type="cellIs" dxfId="3489" priority="7844" operator="lessThan">
      <formula>0</formula>
    </cfRule>
  </conditionalFormatting>
  <conditionalFormatting sqref="F136:G1048576 G86:G135">
    <cfRule type="cellIs" dxfId="3488" priority="7843" operator="lessThan">
      <formula>0</formula>
    </cfRule>
  </conditionalFormatting>
  <conditionalFormatting sqref="F136:G1048576 G86:G135">
    <cfRule type="cellIs" dxfId="3487" priority="7841" operator="lessThan">
      <formula>0</formula>
    </cfRule>
    <cfRule type="cellIs" dxfId="3486" priority="7842" operator="lessThan">
      <formula>0</formula>
    </cfRule>
  </conditionalFormatting>
  <conditionalFormatting sqref="F136:G1048576 G86:G135">
    <cfRule type="cellIs" dxfId="3485" priority="7840" operator="lessThan">
      <formula>0</formula>
    </cfRule>
  </conditionalFormatting>
  <conditionalFormatting sqref="F136:G1048576 G86:G135">
    <cfRule type="cellIs" dxfId="3484" priority="7839" operator="lessThan">
      <formula>0</formula>
    </cfRule>
  </conditionalFormatting>
  <conditionalFormatting sqref="F136:G1048576 G86:G135">
    <cfRule type="cellIs" dxfId="3483" priority="7838" operator="lessThan">
      <formula>0</formula>
    </cfRule>
  </conditionalFormatting>
  <conditionalFormatting sqref="F136:G1048576 G86:G135">
    <cfRule type="cellIs" dxfId="3482" priority="7837" operator="lessThan">
      <formula>0</formula>
    </cfRule>
  </conditionalFormatting>
  <conditionalFormatting sqref="F136:G1048576 G86:G135">
    <cfRule type="cellIs" dxfId="3481" priority="7836" operator="lessThan">
      <formula>0</formula>
    </cfRule>
  </conditionalFormatting>
  <conditionalFormatting sqref="F136:G1048576 G86:G135">
    <cfRule type="cellIs" dxfId="3480" priority="7835" operator="lessThan">
      <formula>0</formula>
    </cfRule>
  </conditionalFormatting>
  <conditionalFormatting sqref="F136:G1048576 G86:G135">
    <cfRule type="cellIs" dxfId="3479" priority="7834" operator="lessThan">
      <formula>0</formula>
    </cfRule>
  </conditionalFormatting>
  <conditionalFormatting sqref="F136:G1048576 G86:G135">
    <cfRule type="cellIs" dxfId="3478" priority="7833" operator="lessThan">
      <formula>0</formula>
    </cfRule>
  </conditionalFormatting>
  <conditionalFormatting sqref="F136:G1048576 G86:G135">
    <cfRule type="cellIs" dxfId="3477" priority="7832" operator="lessThan">
      <formula>0</formula>
    </cfRule>
  </conditionalFormatting>
  <conditionalFormatting sqref="F136:G1048576 G86:G135">
    <cfRule type="cellIs" dxfId="3476" priority="7831" operator="lessThan">
      <formula>0</formula>
    </cfRule>
  </conditionalFormatting>
  <conditionalFormatting sqref="F136:G1048576 G86:G135">
    <cfRule type="cellIs" dxfId="3475" priority="7830" operator="lessThan">
      <formula>0</formula>
    </cfRule>
  </conditionalFormatting>
  <conditionalFormatting sqref="F136:G1048576 G86:G135">
    <cfRule type="cellIs" dxfId="3474" priority="7829" operator="lessThan">
      <formula>0</formula>
    </cfRule>
  </conditionalFormatting>
  <conditionalFormatting sqref="F136:G1048576 G86:G135">
    <cfRule type="cellIs" dxfId="3473" priority="7828" operator="lessThan">
      <formula>0</formula>
    </cfRule>
  </conditionalFormatting>
  <conditionalFormatting sqref="F136:G1048576 G86:G135">
    <cfRule type="cellIs" dxfId="3472" priority="7827" operator="lessThan">
      <formula>0</formula>
    </cfRule>
  </conditionalFormatting>
  <conditionalFormatting sqref="F136:G1048576 G86:G135">
    <cfRule type="cellIs" dxfId="3471" priority="7826" operator="lessThan">
      <formula>0</formula>
    </cfRule>
  </conditionalFormatting>
  <conditionalFormatting sqref="F136:G1048576 G86:G135">
    <cfRule type="cellIs" dxfId="3470" priority="7825" operator="lessThan">
      <formula>0</formula>
    </cfRule>
  </conditionalFormatting>
  <conditionalFormatting sqref="F136:G1048576 G86:G135">
    <cfRule type="cellIs" dxfId="3469" priority="7824" operator="lessThan">
      <formula>0</formula>
    </cfRule>
  </conditionalFormatting>
  <conditionalFormatting sqref="F136:G1048576 G86:G135">
    <cfRule type="cellIs" dxfId="3468" priority="7823" operator="lessThan">
      <formula>0</formula>
    </cfRule>
  </conditionalFormatting>
  <conditionalFormatting sqref="F136:G1048576 G86:G135">
    <cfRule type="cellIs" dxfId="3467" priority="7822" operator="lessThan">
      <formula>0</formula>
    </cfRule>
  </conditionalFormatting>
  <conditionalFormatting sqref="F136:G1048576 G86:G135">
    <cfRule type="cellIs" dxfId="3466" priority="7821" operator="lessThan">
      <formula>0</formula>
    </cfRule>
  </conditionalFormatting>
  <conditionalFormatting sqref="F136:G1048576 G86:G135">
    <cfRule type="cellIs" dxfId="3465" priority="7820" operator="lessThan">
      <formula>0</formula>
    </cfRule>
  </conditionalFormatting>
  <conditionalFormatting sqref="F136:G1048576 G86:G135">
    <cfRule type="cellIs" dxfId="3464" priority="7819" operator="lessThan">
      <formula>0</formula>
    </cfRule>
  </conditionalFormatting>
  <conditionalFormatting sqref="F136:G1048576 G86:G135">
    <cfRule type="cellIs" dxfId="3463" priority="7818" operator="lessThan">
      <formula>0</formula>
    </cfRule>
  </conditionalFormatting>
  <conditionalFormatting sqref="F136:G1048576 G86:G135">
    <cfRule type="cellIs" dxfId="3462" priority="7817" operator="lessThan">
      <formula>0</formula>
    </cfRule>
  </conditionalFormatting>
  <conditionalFormatting sqref="F136:G1048576 G86:G135">
    <cfRule type="cellIs" dxfId="3461" priority="7816" operator="lessThan">
      <formula>0</formula>
    </cfRule>
  </conditionalFormatting>
  <conditionalFormatting sqref="F136:G1048576 G86:G135">
    <cfRule type="cellIs" dxfId="3460" priority="7815" operator="lessThan">
      <formula>0</formula>
    </cfRule>
  </conditionalFormatting>
  <conditionalFormatting sqref="F136:G1048576 G86:G135">
    <cfRule type="cellIs" dxfId="3459" priority="7814" operator="lessThan">
      <formula>0</formula>
    </cfRule>
  </conditionalFormatting>
  <conditionalFormatting sqref="F136:G1048576 G86:G135">
    <cfRule type="cellIs" dxfId="3458" priority="7813" operator="lessThan">
      <formula>0</formula>
    </cfRule>
  </conditionalFormatting>
  <conditionalFormatting sqref="F136:G1048576 G86:G135">
    <cfRule type="cellIs" dxfId="3457" priority="7812" operator="lessThan">
      <formula>0</formula>
    </cfRule>
  </conditionalFormatting>
  <conditionalFormatting sqref="F136:G1048576 G86:G135">
    <cfRule type="cellIs" dxfId="3456" priority="7811" operator="lessThan">
      <formula>0</formula>
    </cfRule>
  </conditionalFormatting>
  <conditionalFormatting sqref="F136:G1048576 G86:G135">
    <cfRule type="cellIs" dxfId="3455" priority="7810" operator="lessThan">
      <formula>0</formula>
    </cfRule>
  </conditionalFormatting>
  <conditionalFormatting sqref="F136:G1048576 G86:G135">
    <cfRule type="cellIs" dxfId="3454" priority="7809" operator="lessThan">
      <formula>0</formula>
    </cfRule>
  </conditionalFormatting>
  <conditionalFormatting sqref="F136:G1048576 G86:G135">
    <cfRule type="cellIs" dxfId="3453" priority="7808" operator="lessThan">
      <formula>0</formula>
    </cfRule>
  </conditionalFormatting>
  <conditionalFormatting sqref="F136:G1048576 G86:G135">
    <cfRule type="cellIs" dxfId="3452" priority="7807" operator="lessThan">
      <formula>0</formula>
    </cfRule>
  </conditionalFormatting>
  <conditionalFormatting sqref="F136:G1048576 G86:G135">
    <cfRule type="cellIs" dxfId="3451" priority="7806" operator="lessThan">
      <formula>0</formula>
    </cfRule>
  </conditionalFormatting>
  <conditionalFormatting sqref="F136:G1048576 G86:G135">
    <cfRule type="cellIs" dxfId="3450" priority="7805" operator="lessThan">
      <formula>0</formula>
    </cfRule>
  </conditionalFormatting>
  <conditionalFormatting sqref="F136:G1048576 G86:G135">
    <cfRule type="cellIs" dxfId="3449" priority="7804" operator="lessThan">
      <formula>0</formula>
    </cfRule>
  </conditionalFormatting>
  <conditionalFormatting sqref="F136:G1048576 G86:G135">
    <cfRule type="cellIs" dxfId="3448" priority="7803" operator="lessThan">
      <formula>0</formula>
    </cfRule>
  </conditionalFormatting>
  <conditionalFormatting sqref="F136:G1048576 G86:G135">
    <cfRule type="cellIs" dxfId="3447" priority="7802" operator="lessThan">
      <formula>0</formula>
    </cfRule>
  </conditionalFormatting>
  <conditionalFormatting sqref="F136:G1048576 G86:G135">
    <cfRule type="cellIs" dxfId="3446" priority="7801" operator="lessThan">
      <formula>0</formula>
    </cfRule>
  </conditionalFormatting>
  <conditionalFormatting sqref="F136:G1048576 G86:G135">
    <cfRule type="cellIs" dxfId="3445" priority="7800" operator="lessThan">
      <formula>0</formula>
    </cfRule>
  </conditionalFormatting>
  <conditionalFormatting sqref="F136:G1048576 G86:G135">
    <cfRule type="cellIs" dxfId="3444" priority="7799" operator="lessThan">
      <formula>0</formula>
    </cfRule>
  </conditionalFormatting>
  <conditionalFormatting sqref="F136:G1048576 G86:G135">
    <cfRule type="cellIs" dxfId="3443" priority="7798" operator="lessThan">
      <formula>0</formula>
    </cfRule>
  </conditionalFormatting>
  <conditionalFormatting sqref="F136:G1048576 G86:G135">
    <cfRule type="cellIs" dxfId="3442" priority="7797" operator="lessThan">
      <formula>0</formula>
    </cfRule>
  </conditionalFormatting>
  <conditionalFormatting sqref="F136:G1048576 G86:G135">
    <cfRule type="cellIs" dxfId="3441" priority="7796" operator="lessThan">
      <formula>0</formula>
    </cfRule>
  </conditionalFormatting>
  <conditionalFormatting sqref="F136:G1048576 G86:G135">
    <cfRule type="cellIs" dxfId="3440" priority="7795" operator="lessThan">
      <formula>0</formula>
    </cfRule>
  </conditionalFormatting>
  <conditionalFormatting sqref="F136:G1048576 G86:G135">
    <cfRule type="cellIs" dxfId="3439" priority="7794" operator="lessThan">
      <formula>0</formula>
    </cfRule>
  </conditionalFormatting>
  <conditionalFormatting sqref="F136:G1048576 G86:G135">
    <cfRule type="cellIs" dxfId="3438" priority="7793" operator="lessThan">
      <formula>0</formula>
    </cfRule>
  </conditionalFormatting>
  <conditionalFormatting sqref="F136:G1048576 G86:G135">
    <cfRule type="cellIs" dxfId="3437" priority="7792" operator="lessThan">
      <formula>0</formula>
    </cfRule>
  </conditionalFormatting>
  <conditionalFormatting sqref="F136:G1048576 G86:G135">
    <cfRule type="cellIs" dxfId="3436" priority="7791" operator="lessThan">
      <formula>0</formula>
    </cfRule>
  </conditionalFormatting>
  <conditionalFormatting sqref="F136:G1048576 G86:G135">
    <cfRule type="cellIs" dxfId="3435" priority="7790" operator="lessThan">
      <formula>0</formula>
    </cfRule>
  </conditionalFormatting>
  <conditionalFormatting sqref="F136:G1048576 G86:G135">
    <cfRule type="cellIs" dxfId="3434" priority="7789" operator="lessThan">
      <formula>0</formula>
    </cfRule>
  </conditionalFormatting>
  <conditionalFormatting sqref="F136:G1048576 G86:G135">
    <cfRule type="cellIs" dxfId="3433" priority="7788" operator="lessThan">
      <formula>0</formula>
    </cfRule>
  </conditionalFormatting>
  <conditionalFormatting sqref="F136:G1048576 G86:G135">
    <cfRule type="cellIs" dxfId="3432" priority="7787" operator="lessThan">
      <formula>0</formula>
    </cfRule>
  </conditionalFormatting>
  <conditionalFormatting sqref="F136:G1048576 G86:G135">
    <cfRule type="cellIs" dxfId="3431" priority="7786" operator="lessThan">
      <formula>0</formula>
    </cfRule>
  </conditionalFormatting>
  <conditionalFormatting sqref="F136:G1048576 G86:G135">
    <cfRule type="cellIs" dxfId="3430" priority="7785" operator="lessThan">
      <formula>0</formula>
    </cfRule>
  </conditionalFormatting>
  <conditionalFormatting sqref="F136:G1048576 G86:G135">
    <cfRule type="cellIs" dxfId="3429" priority="7784" operator="lessThan">
      <formula>0</formula>
    </cfRule>
  </conditionalFormatting>
  <conditionalFormatting sqref="F136:G1048576 G86:G135">
    <cfRule type="cellIs" dxfId="3428" priority="7783" operator="lessThan">
      <formula>0</formula>
    </cfRule>
  </conditionalFormatting>
  <conditionalFormatting sqref="F136:G1048576 G86:G135">
    <cfRule type="cellIs" dxfId="3427" priority="7782" operator="lessThan">
      <formula>0</formula>
    </cfRule>
  </conditionalFormatting>
  <conditionalFormatting sqref="F136:G1048576 G86:G135">
    <cfRule type="cellIs" dxfId="3426" priority="7781" operator="lessThan">
      <formula>0</formula>
    </cfRule>
  </conditionalFormatting>
  <conditionalFormatting sqref="F136:G1048576 G86:G135">
    <cfRule type="cellIs" dxfId="3425" priority="7780" operator="lessThan">
      <formula>0</formula>
    </cfRule>
  </conditionalFormatting>
  <conditionalFormatting sqref="F136:G1048576 G86:G135">
    <cfRule type="cellIs" dxfId="3424" priority="7779" operator="lessThan">
      <formula>0</formula>
    </cfRule>
  </conditionalFormatting>
  <conditionalFormatting sqref="F136:G1048576 G86:G135">
    <cfRule type="cellIs" dxfId="3423" priority="7778" operator="lessThan">
      <formula>0</formula>
    </cfRule>
  </conditionalFormatting>
  <conditionalFormatting sqref="F136:G1048576 G86:G135">
    <cfRule type="cellIs" dxfId="3422" priority="7777" operator="lessThan">
      <formula>0</formula>
    </cfRule>
  </conditionalFormatting>
  <conditionalFormatting sqref="F136:G1048576 G86:G135">
    <cfRule type="cellIs" dxfId="3421" priority="7776" operator="lessThan">
      <formula>0</formula>
    </cfRule>
  </conditionalFormatting>
  <conditionalFormatting sqref="F136:G1048576 G86:G135">
    <cfRule type="cellIs" dxfId="3420" priority="7775" operator="lessThan">
      <formula>0</formula>
    </cfRule>
  </conditionalFormatting>
  <conditionalFormatting sqref="F136:G1048576 G86:G135">
    <cfRule type="cellIs" dxfId="3419" priority="7774" operator="lessThan">
      <formula>0</formula>
    </cfRule>
  </conditionalFormatting>
  <conditionalFormatting sqref="F136:G1048576 G86:G135">
    <cfRule type="cellIs" dxfId="3418" priority="7773" operator="lessThan">
      <formula>0</formula>
    </cfRule>
  </conditionalFormatting>
  <conditionalFormatting sqref="F136:G1048576 G86:G135">
    <cfRule type="cellIs" dxfId="3417" priority="7772" operator="lessThan">
      <formula>0</formula>
    </cfRule>
  </conditionalFormatting>
  <conditionalFormatting sqref="F136:G1048576 G86:G135">
    <cfRule type="cellIs" dxfId="3416" priority="7771" operator="lessThan">
      <formula>0</formula>
    </cfRule>
  </conditionalFormatting>
  <conditionalFormatting sqref="F136:G1048576 G86:G135">
    <cfRule type="cellIs" dxfId="3415" priority="7770" operator="lessThan">
      <formula>0</formula>
    </cfRule>
  </conditionalFormatting>
  <conditionalFormatting sqref="F136:G1048576 G86:G135">
    <cfRule type="cellIs" dxfId="3414" priority="7769" operator="lessThan">
      <formula>0</formula>
    </cfRule>
  </conditionalFormatting>
  <conditionalFormatting sqref="F136:G1048576 G86:G135">
    <cfRule type="cellIs" dxfId="3413" priority="7768" operator="lessThan">
      <formula>0</formula>
    </cfRule>
  </conditionalFormatting>
  <conditionalFormatting sqref="F136:G1048576 G86:G135">
    <cfRule type="cellIs" dxfId="3412" priority="7767" operator="lessThan">
      <formula>0</formula>
    </cfRule>
  </conditionalFormatting>
  <conditionalFormatting sqref="F136:G1048576 G86:G135">
    <cfRule type="cellIs" dxfId="3411" priority="7766" operator="lessThan">
      <formula>0</formula>
    </cfRule>
  </conditionalFormatting>
  <conditionalFormatting sqref="F136:G1048576 G86:G135">
    <cfRule type="cellIs" dxfId="3410" priority="7765" operator="lessThan">
      <formula>0</formula>
    </cfRule>
  </conditionalFormatting>
  <conditionalFormatting sqref="F136:G1048576 G86:G135">
    <cfRule type="cellIs" dxfId="3409" priority="7764" operator="lessThan">
      <formula>0</formula>
    </cfRule>
  </conditionalFormatting>
  <conditionalFormatting sqref="F136:G1048576 G86:G135">
    <cfRule type="cellIs" dxfId="3408" priority="7763" operator="lessThan">
      <formula>0</formula>
    </cfRule>
  </conditionalFormatting>
  <conditionalFormatting sqref="F136:G1048576 G86:G135">
    <cfRule type="cellIs" dxfId="3407" priority="7762" operator="lessThan">
      <formula>0</formula>
    </cfRule>
  </conditionalFormatting>
  <conditionalFormatting sqref="F136:G1048576 G86:G135">
    <cfRule type="cellIs" dxfId="3406" priority="7761" operator="lessThan">
      <formula>0</formula>
    </cfRule>
  </conditionalFormatting>
  <conditionalFormatting sqref="F136:G1048576 G86:G135">
    <cfRule type="cellIs" dxfId="3405" priority="7760" operator="lessThan">
      <formula>0</formula>
    </cfRule>
  </conditionalFormatting>
  <conditionalFormatting sqref="F136:G1048576 G86:G135">
    <cfRule type="cellIs" dxfId="3404" priority="7759" operator="lessThan">
      <formula>0</formula>
    </cfRule>
  </conditionalFormatting>
  <conditionalFormatting sqref="F136:G1048576 G86:G135">
    <cfRule type="cellIs" dxfId="3403" priority="7758" operator="lessThan">
      <formula>0</formula>
    </cfRule>
  </conditionalFormatting>
  <conditionalFormatting sqref="F136:G1048576 G86:G135">
    <cfRule type="cellIs" dxfId="3402" priority="7757" operator="lessThan">
      <formula>0</formula>
    </cfRule>
  </conditionalFormatting>
  <conditionalFormatting sqref="F136:G1048576 G86:G135">
    <cfRule type="cellIs" dxfId="3401" priority="7756" operator="lessThan">
      <formula>0</formula>
    </cfRule>
  </conditionalFormatting>
  <conditionalFormatting sqref="F136:G1048576 G86:G135">
    <cfRule type="cellIs" dxfId="3400" priority="7755" operator="lessThan">
      <formula>0</formula>
    </cfRule>
  </conditionalFormatting>
  <conditionalFormatting sqref="F136:G1048576 G86:G135">
    <cfRule type="cellIs" dxfId="3399" priority="7754" operator="lessThan">
      <formula>0</formula>
    </cfRule>
  </conditionalFormatting>
  <conditionalFormatting sqref="F136:G1048576 G86:G135">
    <cfRule type="cellIs" dxfId="3398" priority="7753" operator="lessThan">
      <formula>0</formula>
    </cfRule>
  </conditionalFormatting>
  <conditionalFormatting sqref="F136:G1048576 G86:G135">
    <cfRule type="cellIs" dxfId="3397" priority="7752" operator="lessThan">
      <formula>0</formula>
    </cfRule>
  </conditionalFormatting>
  <conditionalFormatting sqref="F136:G1048576 G86:G135">
    <cfRule type="cellIs" dxfId="3396" priority="7751" operator="lessThan">
      <formula>0</formula>
    </cfRule>
  </conditionalFormatting>
  <conditionalFormatting sqref="F136:G1048576 G86:G135">
    <cfRule type="cellIs" dxfId="3395" priority="7750" operator="lessThan">
      <formula>0</formula>
    </cfRule>
  </conditionalFormatting>
  <conditionalFormatting sqref="F136:G1048576 G86:G135">
    <cfRule type="cellIs" dxfId="3394" priority="7749" operator="lessThan">
      <formula>0</formula>
    </cfRule>
  </conditionalFormatting>
  <conditionalFormatting sqref="F136:G1048576 G86:G135">
    <cfRule type="cellIs" dxfId="3393" priority="7748" operator="lessThan">
      <formula>0</formula>
    </cfRule>
  </conditionalFormatting>
  <conditionalFormatting sqref="F136:G1048576 G86:G135">
    <cfRule type="cellIs" dxfId="3392" priority="7747" operator="lessThan">
      <formula>0</formula>
    </cfRule>
  </conditionalFormatting>
  <conditionalFormatting sqref="F136:G1048576 G86:G135">
    <cfRule type="cellIs" dxfId="3391" priority="7746" operator="lessThan">
      <formula>0</formula>
    </cfRule>
  </conditionalFormatting>
  <conditionalFormatting sqref="F136:G1048576 G86:G135">
    <cfRule type="cellIs" dxfId="3390" priority="7745" operator="lessThan">
      <formula>0</formula>
    </cfRule>
  </conditionalFormatting>
  <conditionalFormatting sqref="F136:G1048576 G86:G135">
    <cfRule type="cellIs" dxfId="3389" priority="7744" operator="lessThan">
      <formula>0</formula>
    </cfRule>
  </conditionalFormatting>
  <conditionalFormatting sqref="F136:G1048576 G86:G135">
    <cfRule type="cellIs" dxfId="3388" priority="7743" operator="lessThan">
      <formula>0</formula>
    </cfRule>
  </conditionalFormatting>
  <conditionalFormatting sqref="F136:G1048576 G86:G135">
    <cfRule type="cellIs" dxfId="3387" priority="7742" operator="lessThan">
      <formula>0</formula>
    </cfRule>
  </conditionalFormatting>
  <conditionalFormatting sqref="F136:G1048576 G86:G135">
    <cfRule type="cellIs" dxfId="3386" priority="7741" operator="lessThan">
      <formula>0</formula>
    </cfRule>
  </conditionalFormatting>
  <conditionalFormatting sqref="F136:G1048576 G86:G135">
    <cfRule type="cellIs" dxfId="3385" priority="7740" operator="lessThan">
      <formula>0</formula>
    </cfRule>
  </conditionalFormatting>
  <conditionalFormatting sqref="F136:G1048576 G86:G135">
    <cfRule type="cellIs" dxfId="3384" priority="7739" operator="lessThan">
      <formula>0</formula>
    </cfRule>
  </conditionalFormatting>
  <conditionalFormatting sqref="F136:G1048576 G86:G135">
    <cfRule type="cellIs" dxfId="3383" priority="7738" operator="lessThan">
      <formula>0</formula>
    </cfRule>
  </conditionalFormatting>
  <conditionalFormatting sqref="F136:G1048576 G86:G135">
    <cfRule type="cellIs" dxfId="3382" priority="7737" operator="lessThan">
      <formula>0</formula>
    </cfRule>
  </conditionalFormatting>
  <conditionalFormatting sqref="F136:G1048576 G86:G135">
    <cfRule type="cellIs" dxfId="3381" priority="7736" operator="lessThan">
      <formula>0</formula>
    </cfRule>
  </conditionalFormatting>
  <conditionalFormatting sqref="F136:G1048576 G86:G135">
    <cfRule type="cellIs" dxfId="3380" priority="7735" operator="lessThan">
      <formula>0</formula>
    </cfRule>
  </conditionalFormatting>
  <conditionalFormatting sqref="F136:G1048576 G86:G135">
    <cfRule type="cellIs" dxfId="3379" priority="7734" operator="lessThan">
      <formula>0</formula>
    </cfRule>
  </conditionalFormatting>
  <conditionalFormatting sqref="F136:G1048576 G86:G135">
    <cfRule type="cellIs" dxfId="3378" priority="7733" operator="lessThan">
      <formula>0</formula>
    </cfRule>
  </conditionalFormatting>
  <conditionalFormatting sqref="F136:G1048576 G86:G135">
    <cfRule type="cellIs" dxfId="3377" priority="7732" operator="lessThan">
      <formula>0</formula>
    </cfRule>
  </conditionalFormatting>
  <conditionalFormatting sqref="F136:G1048576 G86:G135">
    <cfRule type="cellIs" dxfId="3376" priority="7731" operator="lessThan">
      <formula>0</formula>
    </cfRule>
  </conditionalFormatting>
  <conditionalFormatting sqref="F136:G1048576 G86:G135">
    <cfRule type="cellIs" dxfId="3375" priority="7730" operator="lessThan">
      <formula>0</formula>
    </cfRule>
  </conditionalFormatting>
  <conditionalFormatting sqref="F136:G1048576 G86:G135">
    <cfRule type="cellIs" dxfId="3374" priority="7729" operator="lessThan">
      <formula>0</formula>
    </cfRule>
  </conditionalFormatting>
  <conditionalFormatting sqref="F136:G1048576 G86:G135">
    <cfRule type="cellIs" dxfId="3373" priority="7728" operator="lessThan">
      <formula>0</formula>
    </cfRule>
  </conditionalFormatting>
  <conditionalFormatting sqref="F136:G1048576 G86:G135">
    <cfRule type="cellIs" dxfId="3372" priority="7727" operator="lessThan">
      <formula>0</formula>
    </cfRule>
  </conditionalFormatting>
  <conditionalFormatting sqref="F136:G1048576 G86:G135">
    <cfRule type="cellIs" dxfId="3371" priority="7726" operator="lessThan">
      <formula>0</formula>
    </cfRule>
  </conditionalFormatting>
  <conditionalFormatting sqref="F136:G1048576 G86:G135">
    <cfRule type="cellIs" dxfId="3370" priority="7725" operator="lessThan">
      <formula>0</formula>
    </cfRule>
  </conditionalFormatting>
  <conditionalFormatting sqref="F136:G1048576 G86:G135">
    <cfRule type="cellIs" dxfId="3369" priority="7724" operator="lessThan">
      <formula>0</formula>
    </cfRule>
  </conditionalFormatting>
  <conditionalFormatting sqref="F136:G1048576 G86:G135">
    <cfRule type="cellIs" dxfId="3368" priority="7723" operator="lessThan">
      <formula>0</formula>
    </cfRule>
  </conditionalFormatting>
  <conditionalFormatting sqref="F136:G1048576 G86:G135">
    <cfRule type="cellIs" dxfId="3367" priority="7722" operator="lessThan">
      <formula>0</formula>
    </cfRule>
  </conditionalFormatting>
  <conditionalFormatting sqref="F136:G1048576 G86:G135">
    <cfRule type="cellIs" dxfId="3366" priority="7721" operator="lessThan">
      <formula>0</formula>
    </cfRule>
  </conditionalFormatting>
  <conditionalFormatting sqref="F136:G1048576 G86:G135">
    <cfRule type="cellIs" dxfId="3365" priority="7720" operator="lessThan">
      <formula>0</formula>
    </cfRule>
  </conditionalFormatting>
  <conditionalFormatting sqref="F136:G1048576 G86:G135">
    <cfRule type="cellIs" dxfId="3364" priority="7719" operator="lessThan">
      <formula>0</formula>
    </cfRule>
  </conditionalFormatting>
  <conditionalFormatting sqref="F136:G1048576 G86:G135">
    <cfRule type="cellIs" dxfId="3363" priority="7718" operator="lessThan">
      <formula>0</formula>
    </cfRule>
  </conditionalFormatting>
  <conditionalFormatting sqref="F136:G1048576 G86:G135">
    <cfRule type="cellIs" dxfId="3362" priority="7717" operator="lessThan">
      <formula>0</formula>
    </cfRule>
  </conditionalFormatting>
  <conditionalFormatting sqref="F136:G1048576 G86:G135">
    <cfRule type="cellIs" dxfId="3361" priority="7716" operator="lessThan">
      <formula>0</formula>
    </cfRule>
  </conditionalFormatting>
  <conditionalFormatting sqref="F136:G1048576 G86:G135">
    <cfRule type="cellIs" dxfId="3360" priority="7715" operator="lessThan">
      <formula>0</formula>
    </cfRule>
  </conditionalFormatting>
  <conditionalFormatting sqref="F136:G1048576 G86:G135">
    <cfRule type="cellIs" dxfId="3359" priority="7714" operator="lessThan">
      <formula>0</formula>
    </cfRule>
  </conditionalFormatting>
  <conditionalFormatting sqref="F136:G1048576 G86:G135">
    <cfRule type="cellIs" dxfId="3358" priority="7713" operator="lessThan">
      <formula>0</formula>
    </cfRule>
  </conditionalFormatting>
  <conditionalFormatting sqref="F136:G1048576 G86:G135">
    <cfRule type="cellIs" dxfId="3357" priority="7712" operator="lessThan">
      <formula>0</formula>
    </cfRule>
  </conditionalFormatting>
  <conditionalFormatting sqref="F136:G1048576 G86:G135">
    <cfRule type="cellIs" dxfId="3356" priority="7711" operator="lessThan">
      <formula>0</formula>
    </cfRule>
  </conditionalFormatting>
  <conditionalFormatting sqref="F136:G1048576 G86:G135">
    <cfRule type="cellIs" dxfId="3355" priority="7710" operator="lessThan">
      <formula>0</formula>
    </cfRule>
  </conditionalFormatting>
  <conditionalFormatting sqref="F136:G1048576 G86:G135">
    <cfRule type="cellIs" dxfId="3354" priority="7709" operator="lessThan">
      <formula>0</formula>
    </cfRule>
  </conditionalFormatting>
  <conditionalFormatting sqref="F136:G1048576 G86:G135">
    <cfRule type="cellIs" dxfId="3353" priority="7708" operator="lessThan">
      <formula>0</formula>
    </cfRule>
  </conditionalFormatting>
  <conditionalFormatting sqref="F136:G1048576 G86:G135">
    <cfRule type="cellIs" dxfId="3352" priority="7707" operator="lessThan">
      <formula>0</formula>
    </cfRule>
  </conditionalFormatting>
  <conditionalFormatting sqref="F136:G1048576 G86:G135">
    <cfRule type="cellIs" dxfId="3351" priority="7706" operator="lessThan">
      <formula>0</formula>
    </cfRule>
  </conditionalFormatting>
  <conditionalFormatting sqref="F136:G1048576 G86:G135">
    <cfRule type="cellIs" dxfId="3350" priority="7705" operator="lessThan">
      <formula>0</formula>
    </cfRule>
  </conditionalFormatting>
  <conditionalFormatting sqref="F136:G1048576 G86:G135">
    <cfRule type="cellIs" dxfId="3349" priority="7704" operator="lessThan">
      <formula>0</formula>
    </cfRule>
  </conditionalFormatting>
  <conditionalFormatting sqref="F136:G1048576 G86:G135">
    <cfRule type="cellIs" dxfId="3348" priority="7703" operator="lessThan">
      <formula>0</formula>
    </cfRule>
  </conditionalFormatting>
  <conditionalFormatting sqref="F136:G1048576 G86:G135">
    <cfRule type="cellIs" dxfId="3347" priority="7702" operator="lessThan">
      <formula>0</formula>
    </cfRule>
  </conditionalFormatting>
  <conditionalFormatting sqref="F136:G1048576 G86:G135">
    <cfRule type="cellIs" dxfId="3346" priority="7701" operator="lessThan">
      <formula>0</formula>
    </cfRule>
  </conditionalFormatting>
  <conditionalFormatting sqref="F136:G1048576 G86:G135">
    <cfRule type="cellIs" dxfId="3345" priority="7700" operator="lessThan">
      <formula>0</formula>
    </cfRule>
  </conditionalFormatting>
  <conditionalFormatting sqref="F136:G1048576 G86:G135">
    <cfRule type="cellIs" dxfId="3344" priority="7699" operator="lessThan">
      <formula>0</formula>
    </cfRule>
  </conditionalFormatting>
  <conditionalFormatting sqref="F136:G1048576 G86:G135">
    <cfRule type="cellIs" dxfId="3343" priority="7698" operator="lessThan">
      <formula>0</formula>
    </cfRule>
  </conditionalFormatting>
  <conditionalFormatting sqref="F136:G1048576 G86:G135">
    <cfRule type="cellIs" dxfId="3342" priority="7697" operator="lessThan">
      <formula>0</formula>
    </cfRule>
  </conditionalFormatting>
  <conditionalFormatting sqref="F136:G1048576 G86:G135">
    <cfRule type="cellIs" dxfId="3341" priority="7696" operator="lessThan">
      <formula>0</formula>
    </cfRule>
  </conditionalFormatting>
  <conditionalFormatting sqref="F136:G1048576 G86:G135">
    <cfRule type="cellIs" dxfId="3340" priority="7695" operator="lessThan">
      <formula>0</formula>
    </cfRule>
  </conditionalFormatting>
  <conditionalFormatting sqref="F136:G1048576 G86:G135">
    <cfRule type="cellIs" dxfId="3339" priority="7694" operator="lessThan">
      <formula>0</formula>
    </cfRule>
  </conditionalFormatting>
  <conditionalFormatting sqref="F136:G1048576 G86:G135">
    <cfRule type="cellIs" dxfId="3338" priority="7693" operator="lessThan">
      <formula>0</formula>
    </cfRule>
  </conditionalFormatting>
  <conditionalFormatting sqref="F136:G1048576 G86:G135">
    <cfRule type="cellIs" dxfId="3337" priority="7692" operator="lessThan">
      <formula>0</formula>
    </cfRule>
  </conditionalFormatting>
  <conditionalFormatting sqref="F136:G1048576 G86:G135">
    <cfRule type="cellIs" dxfId="3336" priority="7691" operator="lessThan">
      <formula>0</formula>
    </cfRule>
  </conditionalFormatting>
  <conditionalFormatting sqref="F136:G1048576 G86:G135">
    <cfRule type="cellIs" dxfId="3335" priority="7690" operator="lessThan">
      <formula>0</formula>
    </cfRule>
  </conditionalFormatting>
  <conditionalFormatting sqref="F136:G1048576 G86:G135">
    <cfRule type="cellIs" dxfId="3334" priority="7689" operator="lessThan">
      <formula>0</formula>
    </cfRule>
  </conditionalFormatting>
  <conditionalFormatting sqref="F136:G1048576 G86:G135">
    <cfRule type="cellIs" dxfId="3333" priority="7688" operator="lessThan">
      <formula>0</formula>
    </cfRule>
  </conditionalFormatting>
  <conditionalFormatting sqref="F136:G1048576 G86:G135">
    <cfRule type="cellIs" dxfId="3332" priority="7687" operator="lessThan">
      <formula>0</formula>
    </cfRule>
  </conditionalFormatting>
  <conditionalFormatting sqref="F136:G1048576 G86:G135">
    <cfRule type="cellIs" dxfId="3331" priority="7686" operator="lessThan">
      <formula>0</formula>
    </cfRule>
  </conditionalFormatting>
  <conditionalFormatting sqref="F136:G1048576 G86:G135">
    <cfRule type="cellIs" dxfId="3330" priority="7685" operator="lessThan">
      <formula>0</formula>
    </cfRule>
  </conditionalFormatting>
  <conditionalFormatting sqref="F136:G1048576 G86:G135">
    <cfRule type="cellIs" dxfId="3329" priority="7684" operator="lessThan">
      <formula>0</formula>
    </cfRule>
  </conditionalFormatting>
  <conditionalFormatting sqref="F136:G1048576 G86:G135">
    <cfRule type="cellIs" dxfId="3328" priority="7683" operator="lessThan">
      <formula>0</formula>
    </cfRule>
  </conditionalFormatting>
  <conditionalFormatting sqref="F136:G1048576 G86:G135">
    <cfRule type="cellIs" dxfId="3327" priority="7682" operator="lessThan">
      <formula>0</formula>
    </cfRule>
  </conditionalFormatting>
  <conditionalFormatting sqref="F136:G1048576 G86:G135">
    <cfRule type="cellIs" dxfId="3326" priority="7681" operator="lessThan">
      <formula>0</formula>
    </cfRule>
  </conditionalFormatting>
  <conditionalFormatting sqref="F136:G1048576 G86:G135">
    <cfRule type="cellIs" dxfId="3325" priority="7680" operator="lessThan">
      <formula>0</formula>
    </cfRule>
  </conditionalFormatting>
  <conditionalFormatting sqref="F136:G1048576 G86:G135">
    <cfRule type="cellIs" dxfId="3324" priority="7679" operator="lessThan">
      <formula>0</formula>
    </cfRule>
  </conditionalFormatting>
  <conditionalFormatting sqref="F136:G1048576 G86:G135">
    <cfRule type="cellIs" dxfId="3323" priority="7678" operator="lessThan">
      <formula>0</formula>
    </cfRule>
  </conditionalFormatting>
  <conditionalFormatting sqref="F136:G1048576 G86:G135">
    <cfRule type="cellIs" dxfId="3322" priority="7677" operator="lessThan">
      <formula>0</formula>
    </cfRule>
  </conditionalFormatting>
  <conditionalFormatting sqref="F136:G1048576 G86:G135">
    <cfRule type="cellIs" dxfId="3321" priority="7676" operator="lessThan">
      <formula>0</formula>
    </cfRule>
  </conditionalFormatting>
  <conditionalFormatting sqref="F136:G1048576 G86:G135">
    <cfRule type="cellIs" dxfId="3320" priority="7675" operator="lessThan">
      <formula>0</formula>
    </cfRule>
  </conditionalFormatting>
  <conditionalFormatting sqref="F136:G1048576 G86:G135">
    <cfRule type="cellIs" dxfId="3319" priority="7674" operator="lessThan">
      <formula>0</formula>
    </cfRule>
  </conditionalFormatting>
  <conditionalFormatting sqref="F136:G1048576 G86:G135">
    <cfRule type="cellIs" dxfId="3318" priority="7673" operator="lessThan">
      <formula>0</formula>
    </cfRule>
  </conditionalFormatting>
  <conditionalFormatting sqref="F136:G1048576 G86:G135">
    <cfRule type="cellIs" dxfId="3317" priority="7672" operator="lessThan">
      <formula>0</formula>
    </cfRule>
  </conditionalFormatting>
  <conditionalFormatting sqref="F136:G1048576 G86:G135">
    <cfRule type="cellIs" dxfId="3316" priority="7671" operator="lessThan">
      <formula>0</formula>
    </cfRule>
  </conditionalFormatting>
  <conditionalFormatting sqref="F136:G1048576 G86:G135">
    <cfRule type="cellIs" dxfId="3315" priority="7670" operator="lessThan">
      <formula>0</formula>
    </cfRule>
  </conditionalFormatting>
  <conditionalFormatting sqref="F136:G1048576 G86:G135">
    <cfRule type="cellIs" dxfId="3314" priority="7669" operator="lessThan">
      <formula>0</formula>
    </cfRule>
  </conditionalFormatting>
  <conditionalFormatting sqref="F136:G1048576 G86:G135">
    <cfRule type="cellIs" dxfId="3313" priority="7668" operator="lessThan">
      <formula>0</formula>
    </cfRule>
  </conditionalFormatting>
  <conditionalFormatting sqref="F136:G1048576 G86:G135">
    <cfRule type="cellIs" dxfId="3312" priority="7667" operator="lessThan">
      <formula>0</formula>
    </cfRule>
  </conditionalFormatting>
  <conditionalFormatting sqref="F136:G1048576 G86:G135">
    <cfRule type="cellIs" dxfId="3311" priority="7666" operator="lessThan">
      <formula>0</formula>
    </cfRule>
  </conditionalFormatting>
  <conditionalFormatting sqref="F136:G1048576 G86:G135">
    <cfRule type="cellIs" dxfId="3310" priority="7665" operator="lessThan">
      <formula>0</formula>
    </cfRule>
  </conditionalFormatting>
  <conditionalFormatting sqref="F136:G1048576 G86:G135">
    <cfRule type="cellIs" dxfId="3309" priority="7664" operator="lessThan">
      <formula>0</formula>
    </cfRule>
  </conditionalFormatting>
  <conditionalFormatting sqref="F136:G1048576 G86:G135">
    <cfRule type="cellIs" dxfId="3308" priority="7663" operator="lessThan">
      <formula>0</formula>
    </cfRule>
  </conditionalFormatting>
  <conditionalFormatting sqref="F136:G1048576 G86:G135">
    <cfRule type="cellIs" dxfId="3307" priority="7662" operator="lessThan">
      <formula>0</formula>
    </cfRule>
  </conditionalFormatting>
  <conditionalFormatting sqref="F136:G1048576 G86:G135">
    <cfRule type="cellIs" dxfId="3306" priority="7661" operator="lessThan">
      <formula>0</formula>
    </cfRule>
  </conditionalFormatting>
  <conditionalFormatting sqref="F136:G1048576 G86:G135">
    <cfRule type="cellIs" dxfId="3305" priority="7660" operator="lessThan">
      <formula>0</formula>
    </cfRule>
  </conditionalFormatting>
  <conditionalFormatting sqref="F136:G1048576 G86:G135">
    <cfRule type="cellIs" dxfId="3304" priority="7659" operator="lessThan">
      <formula>0</formula>
    </cfRule>
  </conditionalFormatting>
  <conditionalFormatting sqref="F136:G1048576 G86:G135">
    <cfRule type="cellIs" dxfId="3303" priority="7658" operator="lessThan">
      <formula>0</formula>
    </cfRule>
  </conditionalFormatting>
  <conditionalFormatting sqref="F136:G1048576 G86:G135">
    <cfRule type="cellIs" dxfId="3302" priority="7657" operator="lessThan">
      <formula>0</formula>
    </cfRule>
  </conditionalFormatting>
  <conditionalFormatting sqref="F136:G1048576 G86:G135">
    <cfRule type="cellIs" dxfId="3301" priority="7656" operator="lessThan">
      <formula>0</formula>
    </cfRule>
  </conditionalFormatting>
  <conditionalFormatting sqref="F136:G1048576 G86:G135">
    <cfRule type="cellIs" dxfId="3300" priority="7655" operator="lessThan">
      <formula>0</formula>
    </cfRule>
  </conditionalFormatting>
  <conditionalFormatting sqref="F136:G1048576 G86:G135">
    <cfRule type="cellIs" dxfId="3299" priority="7654" operator="lessThan">
      <formula>0</formula>
    </cfRule>
  </conditionalFormatting>
  <conditionalFormatting sqref="F136:G1048576 G86:G135">
    <cfRule type="cellIs" dxfId="3298" priority="7653" operator="lessThan">
      <formula>0</formula>
    </cfRule>
  </conditionalFormatting>
  <conditionalFormatting sqref="F136:G1048576 G86:G135">
    <cfRule type="cellIs" dxfId="3297" priority="7652" operator="lessThan">
      <formula>0</formula>
    </cfRule>
  </conditionalFormatting>
  <conditionalFormatting sqref="F136:G1048576 G86:G135">
    <cfRule type="cellIs" dxfId="3296" priority="7651" operator="lessThan">
      <formula>0</formula>
    </cfRule>
  </conditionalFormatting>
  <conditionalFormatting sqref="F136:G1048576 G86:G135">
    <cfRule type="cellIs" dxfId="3295" priority="7650" operator="lessThan">
      <formula>0</formula>
    </cfRule>
  </conditionalFormatting>
  <conditionalFormatting sqref="F136:G1048576 G86:G135">
    <cfRule type="cellIs" dxfId="3294" priority="7649" operator="lessThan">
      <formula>0</formula>
    </cfRule>
  </conditionalFormatting>
  <conditionalFormatting sqref="F136:G1048576 G86:G135">
    <cfRule type="cellIs" dxfId="3293" priority="7648" operator="lessThan">
      <formula>0</formula>
    </cfRule>
  </conditionalFormatting>
  <conditionalFormatting sqref="F136:G1048576 G86:G135">
    <cfRule type="cellIs" dxfId="3292" priority="7647" operator="lessThan">
      <formula>0</formula>
    </cfRule>
  </conditionalFormatting>
  <conditionalFormatting sqref="F136:G1048576 G86:G135">
    <cfRule type="cellIs" dxfId="3291" priority="7646" operator="lessThan">
      <formula>0</formula>
    </cfRule>
  </conditionalFormatting>
  <conditionalFormatting sqref="F136:G1048576 G86:G135">
    <cfRule type="cellIs" dxfId="3290" priority="7645" operator="lessThan">
      <formula>0</formula>
    </cfRule>
  </conditionalFormatting>
  <conditionalFormatting sqref="F136:G1048576 G86:G135">
    <cfRule type="cellIs" dxfId="3289" priority="7644" operator="lessThan">
      <formula>0</formula>
    </cfRule>
  </conditionalFormatting>
  <conditionalFormatting sqref="F136:G1048576 G86:G135">
    <cfRule type="cellIs" dxfId="3288" priority="7643" operator="lessThan">
      <formula>0</formula>
    </cfRule>
  </conditionalFormatting>
  <conditionalFormatting sqref="F136:G1048576 G86:G135">
    <cfRule type="cellIs" dxfId="3287" priority="7642" operator="lessThan">
      <formula>0</formula>
    </cfRule>
  </conditionalFormatting>
  <conditionalFormatting sqref="F136:G1048576 G86:G135">
    <cfRule type="cellIs" dxfId="3286" priority="7641" operator="lessThan">
      <formula>0</formula>
    </cfRule>
  </conditionalFormatting>
  <conditionalFormatting sqref="F136:G1048576 G86:G135">
    <cfRule type="cellIs" dxfId="3285" priority="7640" operator="lessThan">
      <formula>0</formula>
    </cfRule>
  </conditionalFormatting>
  <conditionalFormatting sqref="F136:G1048576 G86:G135">
    <cfRule type="cellIs" dxfId="3284" priority="7639" operator="lessThan">
      <formula>0</formula>
    </cfRule>
  </conditionalFormatting>
  <conditionalFormatting sqref="F136:G1048576 G86:G135">
    <cfRule type="cellIs" dxfId="3283" priority="7638" operator="lessThan">
      <formula>0</formula>
    </cfRule>
  </conditionalFormatting>
  <conditionalFormatting sqref="F136:G1048576 G86:G135">
    <cfRule type="cellIs" dxfId="3282" priority="7637" operator="lessThan">
      <formula>0</formula>
    </cfRule>
  </conditionalFormatting>
  <conditionalFormatting sqref="F136:G1048576 G86:G135">
    <cfRule type="cellIs" dxfId="3281" priority="7636" operator="lessThan">
      <formula>0</formula>
    </cfRule>
  </conditionalFormatting>
  <conditionalFormatting sqref="F136:G1048576 G86:G135">
    <cfRule type="cellIs" dxfId="3280" priority="7635" operator="lessThan">
      <formula>0</formula>
    </cfRule>
  </conditionalFormatting>
  <conditionalFormatting sqref="F136:G1048576 G86:G135">
    <cfRule type="cellIs" dxfId="3279" priority="7634" operator="lessThan">
      <formula>0</formula>
    </cfRule>
  </conditionalFormatting>
  <conditionalFormatting sqref="F136:G1048576 G86:G135">
    <cfRule type="cellIs" dxfId="3278" priority="7633" operator="lessThan">
      <formula>0</formula>
    </cfRule>
  </conditionalFormatting>
  <conditionalFormatting sqref="F136:G1048576 G86:G135">
    <cfRule type="cellIs" dxfId="3277" priority="7632" operator="lessThan">
      <formula>0</formula>
    </cfRule>
  </conditionalFormatting>
  <conditionalFormatting sqref="F136:G1048576 G86:G135">
    <cfRule type="cellIs" dxfId="3276" priority="7631" operator="lessThan">
      <formula>0</formula>
    </cfRule>
  </conditionalFormatting>
  <conditionalFormatting sqref="F136:G1048576 G86:G135">
    <cfRule type="cellIs" dxfId="3275" priority="7630" operator="lessThan">
      <formula>0</formula>
    </cfRule>
  </conditionalFormatting>
  <conditionalFormatting sqref="F136:G1048576 G86:G135">
    <cfRule type="cellIs" dxfId="3274" priority="7629" operator="lessThan">
      <formula>0</formula>
    </cfRule>
  </conditionalFormatting>
  <conditionalFormatting sqref="F136:G1048576 G86:G135">
    <cfRule type="cellIs" dxfId="3273" priority="7628" operator="lessThan">
      <formula>0</formula>
    </cfRule>
  </conditionalFormatting>
  <conditionalFormatting sqref="F136:G1048576 G86:G135">
    <cfRule type="cellIs" dxfId="3272" priority="7627" operator="lessThan">
      <formula>0</formula>
    </cfRule>
  </conditionalFormatting>
  <conditionalFormatting sqref="F136:G1048576 G86:G135">
    <cfRule type="cellIs" dxfId="3271" priority="7626" operator="lessThan">
      <formula>0</formula>
    </cfRule>
  </conditionalFormatting>
  <conditionalFormatting sqref="F136:G1048576 G86:G135">
    <cfRule type="cellIs" dxfId="3270" priority="7625" operator="lessThan">
      <formula>0</formula>
    </cfRule>
  </conditionalFormatting>
  <conditionalFormatting sqref="F136:G1048576 G86:G135">
    <cfRule type="cellIs" dxfId="3269" priority="7624" operator="lessThan">
      <formula>0</formula>
    </cfRule>
  </conditionalFormatting>
  <conditionalFormatting sqref="F136:G1048576 G86:G135">
    <cfRule type="cellIs" dxfId="3268" priority="7623" operator="lessThan">
      <formula>0</formula>
    </cfRule>
  </conditionalFormatting>
  <conditionalFormatting sqref="F136:G1048576 G86:G135">
    <cfRule type="cellIs" dxfId="3267" priority="7622" operator="lessThan">
      <formula>0</formula>
    </cfRule>
  </conditionalFormatting>
  <conditionalFormatting sqref="F136:G1048576 G86:G135">
    <cfRule type="cellIs" dxfId="3266" priority="7621" operator="lessThan">
      <formula>0</formula>
    </cfRule>
  </conditionalFormatting>
  <conditionalFormatting sqref="F136:G1048576 G86:G135">
    <cfRule type="cellIs" dxfId="3265" priority="7620" operator="lessThan">
      <formula>0</formula>
    </cfRule>
  </conditionalFormatting>
  <conditionalFormatting sqref="F136:G1048576 G86:G135">
    <cfRule type="cellIs" dxfId="3264" priority="7619" operator="lessThan">
      <formula>0</formula>
    </cfRule>
  </conditionalFormatting>
  <conditionalFormatting sqref="F136:G1048576 G86:G135">
    <cfRule type="cellIs" dxfId="3263" priority="7618" operator="lessThan">
      <formula>0</formula>
    </cfRule>
  </conditionalFormatting>
  <conditionalFormatting sqref="F136:G1048576 G86:G135">
    <cfRule type="cellIs" dxfId="3262" priority="7617" operator="lessThan">
      <formula>0</formula>
    </cfRule>
  </conditionalFormatting>
  <conditionalFormatting sqref="F136:G1048576 G86:G135">
    <cfRule type="cellIs" dxfId="3261" priority="7616" operator="lessThan">
      <formula>0</formula>
    </cfRule>
  </conditionalFormatting>
  <conditionalFormatting sqref="F136:G1048576 G86:G135">
    <cfRule type="cellIs" dxfId="3260" priority="7615" operator="lessThan">
      <formula>0</formula>
    </cfRule>
  </conditionalFormatting>
  <conditionalFormatting sqref="F136:G1048576 G86:G135">
    <cfRule type="cellIs" dxfId="3259" priority="7614" operator="lessThan">
      <formula>0</formula>
    </cfRule>
  </conditionalFormatting>
  <conditionalFormatting sqref="F136:G1048576 G86:G135">
    <cfRule type="cellIs" dxfId="3258" priority="7613" operator="lessThan">
      <formula>0</formula>
    </cfRule>
  </conditionalFormatting>
  <conditionalFormatting sqref="F136:G1048576 G86:G135">
    <cfRule type="cellIs" dxfId="3257" priority="7612" operator="lessThan">
      <formula>0</formula>
    </cfRule>
  </conditionalFormatting>
  <conditionalFormatting sqref="F136:G1048576 G86:G135">
    <cfRule type="cellIs" dxfId="3256" priority="7611" operator="lessThan">
      <formula>0</formula>
    </cfRule>
  </conditionalFormatting>
  <conditionalFormatting sqref="F136:G1048576 G86:G135">
    <cfRule type="cellIs" dxfId="3255" priority="7610" operator="lessThan">
      <formula>0</formula>
    </cfRule>
  </conditionalFormatting>
  <conditionalFormatting sqref="F136:G1048576 G86:G135">
    <cfRule type="cellIs" dxfId="3254" priority="7609" operator="lessThan">
      <formula>0</formula>
    </cfRule>
  </conditionalFormatting>
  <conditionalFormatting sqref="F136:G1048576 G86:G135">
    <cfRule type="cellIs" dxfId="3253" priority="7608" operator="lessThan">
      <formula>0</formula>
    </cfRule>
  </conditionalFormatting>
  <conditionalFormatting sqref="F136:G1048576 G86:G135">
    <cfRule type="cellIs" dxfId="3252" priority="7607" operator="lessThan">
      <formula>0</formula>
    </cfRule>
  </conditionalFormatting>
  <conditionalFormatting sqref="F136:G1048576 G86:G135">
    <cfRule type="cellIs" dxfId="3251" priority="7606" operator="lessThan">
      <formula>0</formula>
    </cfRule>
  </conditionalFormatting>
  <conditionalFormatting sqref="F136:G1048576 G86:G135">
    <cfRule type="cellIs" dxfId="3250" priority="7605" operator="lessThan">
      <formula>0</formula>
    </cfRule>
  </conditionalFormatting>
  <conditionalFormatting sqref="F136:G1048576 G86:G135">
    <cfRule type="cellIs" dxfId="3249" priority="7604" operator="lessThan">
      <formula>0</formula>
    </cfRule>
  </conditionalFormatting>
  <conditionalFormatting sqref="F136:G1048576 G86:G135">
    <cfRule type="cellIs" dxfId="3248" priority="7603" operator="lessThan">
      <formula>0</formula>
    </cfRule>
  </conditionalFormatting>
  <conditionalFormatting sqref="F136:G1048576 G86:G135">
    <cfRule type="cellIs" dxfId="3247" priority="7602" operator="lessThan">
      <formula>0</formula>
    </cfRule>
  </conditionalFormatting>
  <conditionalFormatting sqref="F136:G1048576 G86:G135">
    <cfRule type="cellIs" dxfId="3246" priority="7601" operator="lessThan">
      <formula>0</formula>
    </cfRule>
  </conditionalFormatting>
  <conditionalFormatting sqref="F136:G1048576 G86:G135">
    <cfRule type="cellIs" dxfId="3245" priority="7600" operator="lessThan">
      <formula>0</formula>
    </cfRule>
  </conditionalFormatting>
  <conditionalFormatting sqref="F136:G1048576 G86:G135">
    <cfRule type="cellIs" dxfId="3244" priority="7599" operator="lessThan">
      <formula>0</formula>
    </cfRule>
  </conditionalFormatting>
  <conditionalFormatting sqref="F136:G1048576 G86:G135">
    <cfRule type="cellIs" dxfId="3243" priority="7598" operator="lessThan">
      <formula>0</formula>
    </cfRule>
  </conditionalFormatting>
  <conditionalFormatting sqref="F136:G1048576 G86:G135">
    <cfRule type="cellIs" dxfId="3242" priority="7597" operator="lessThan">
      <formula>0</formula>
    </cfRule>
  </conditionalFormatting>
  <conditionalFormatting sqref="F136:G1048576 G86:G135">
    <cfRule type="cellIs" dxfId="3241" priority="7596" operator="lessThan">
      <formula>0</formula>
    </cfRule>
  </conditionalFormatting>
  <conditionalFormatting sqref="F136:G1048576 G86:G135">
    <cfRule type="cellIs" dxfId="3240" priority="7595" operator="lessThan">
      <formula>0</formula>
    </cfRule>
  </conditionalFormatting>
  <conditionalFormatting sqref="F136:G1048576 G86:G135">
    <cfRule type="cellIs" dxfId="3239" priority="7594" operator="lessThan">
      <formula>0</formula>
    </cfRule>
  </conditionalFormatting>
  <conditionalFormatting sqref="F136:G1048576 G86:G135">
    <cfRule type="cellIs" dxfId="3238" priority="7593" operator="lessThan">
      <formula>0</formula>
    </cfRule>
  </conditionalFormatting>
  <conditionalFormatting sqref="F136:G1048576 G86:G135">
    <cfRule type="cellIs" dxfId="3237" priority="7592" operator="lessThan">
      <formula>0</formula>
    </cfRule>
  </conditionalFormatting>
  <conditionalFormatting sqref="F136:G1048576 G86:G135">
    <cfRule type="cellIs" dxfId="3236" priority="7591" operator="lessThan">
      <formula>0</formula>
    </cfRule>
  </conditionalFormatting>
  <conditionalFormatting sqref="F136:G1048576 G86:G135">
    <cfRule type="cellIs" dxfId="3235" priority="7590" operator="lessThan">
      <formula>0</formula>
    </cfRule>
  </conditionalFormatting>
  <conditionalFormatting sqref="F136:G1048576 G86:G135">
    <cfRule type="cellIs" dxfId="3234" priority="7589" operator="lessThan">
      <formula>0</formula>
    </cfRule>
  </conditionalFormatting>
  <conditionalFormatting sqref="F136:G1048576 G61:G135">
    <cfRule type="cellIs" dxfId="3233" priority="7588" operator="lessThan">
      <formula>0</formula>
    </cfRule>
  </conditionalFormatting>
  <conditionalFormatting sqref="F136:G1048576 G61:G135">
    <cfRule type="cellIs" dxfId="3232" priority="7587" operator="lessThan">
      <formula>0</formula>
    </cfRule>
  </conditionalFormatting>
  <conditionalFormatting sqref="F136:G1048576 G61:G135">
    <cfRule type="cellIs" dxfId="3231" priority="7586" operator="lessThan">
      <formula>0</formula>
    </cfRule>
  </conditionalFormatting>
  <conditionalFormatting sqref="F136:G1048576 G61:G135">
    <cfRule type="cellIs" dxfId="3230" priority="7585" operator="lessThan">
      <formula>0</formula>
    </cfRule>
  </conditionalFormatting>
  <conditionalFormatting sqref="F136:G1048576 G61:G135">
    <cfRule type="cellIs" dxfId="3229" priority="7584" operator="lessThan">
      <formula>0</formula>
    </cfRule>
  </conditionalFormatting>
  <conditionalFormatting sqref="F136:G1048576 G61:G135">
    <cfRule type="cellIs" dxfId="3228" priority="7583" operator="lessThan">
      <formula>0</formula>
    </cfRule>
  </conditionalFormatting>
  <conditionalFormatting sqref="F136:G1048576 G61:G135">
    <cfRule type="cellIs" dxfId="3227" priority="7582" operator="lessThan">
      <formula>0</formula>
    </cfRule>
  </conditionalFormatting>
  <conditionalFormatting sqref="F136:G1048576 G61:G135">
    <cfRule type="cellIs" dxfId="3226" priority="7581" operator="lessThan">
      <formula>0</formula>
    </cfRule>
  </conditionalFormatting>
  <conditionalFormatting sqref="F136:G1048576 G61:G135">
    <cfRule type="cellIs" dxfId="3225" priority="7580" operator="lessThan">
      <formula>0</formula>
    </cfRule>
  </conditionalFormatting>
  <conditionalFormatting sqref="F136:G1048576 G61:G135">
    <cfRule type="cellIs" dxfId="3224" priority="7579" operator="lessThan">
      <formula>0</formula>
    </cfRule>
  </conditionalFormatting>
  <conditionalFormatting sqref="F136:G1048576 G61:G135">
    <cfRule type="cellIs" dxfId="3223" priority="7578" operator="lessThan">
      <formula>0</formula>
    </cfRule>
  </conditionalFormatting>
  <conditionalFormatting sqref="F136:G1048576 G61:G135">
    <cfRule type="cellIs" dxfId="3222" priority="7577" operator="lessThan">
      <formula>0</formula>
    </cfRule>
  </conditionalFormatting>
  <conditionalFormatting sqref="F136:G1048576 G61:G135">
    <cfRule type="cellIs" dxfId="3221" priority="7576" operator="lessThan">
      <formula>0</formula>
    </cfRule>
  </conditionalFormatting>
  <conditionalFormatting sqref="F136:G1048576 G61:G135">
    <cfRule type="cellIs" dxfId="3220" priority="7575" operator="lessThan">
      <formula>0</formula>
    </cfRule>
  </conditionalFormatting>
  <conditionalFormatting sqref="F136:G1048576 G61:G135">
    <cfRule type="cellIs" dxfId="3219" priority="7574" operator="lessThan">
      <formula>0</formula>
    </cfRule>
  </conditionalFormatting>
  <conditionalFormatting sqref="F136:G1048576 G61:G135">
    <cfRule type="cellIs" dxfId="3218" priority="7573" operator="lessThan">
      <formula>0</formula>
    </cfRule>
  </conditionalFormatting>
  <conditionalFormatting sqref="F136:G1048576 G61:G135">
    <cfRule type="cellIs" dxfId="3217" priority="7572" operator="lessThan">
      <formula>0</formula>
    </cfRule>
  </conditionalFormatting>
  <conditionalFormatting sqref="F136:G1048576 G61:G135">
    <cfRule type="cellIs" dxfId="3216" priority="7571" operator="lessThan">
      <formula>0</formula>
    </cfRule>
  </conditionalFormatting>
  <conditionalFormatting sqref="F136:G1048576 G61:G135">
    <cfRule type="cellIs" dxfId="3215" priority="7570" operator="lessThan">
      <formula>0</formula>
    </cfRule>
  </conditionalFormatting>
  <conditionalFormatting sqref="F136:G1048576 G61:G135">
    <cfRule type="cellIs" dxfId="3214" priority="7569" operator="lessThan">
      <formula>0</formula>
    </cfRule>
  </conditionalFormatting>
  <conditionalFormatting sqref="F136:G1048576 G61:G135">
    <cfRule type="cellIs" dxfId="3213" priority="7568" operator="lessThan">
      <formula>0</formula>
    </cfRule>
  </conditionalFormatting>
  <conditionalFormatting sqref="F136:G1048576 G61:G135">
    <cfRule type="cellIs" dxfId="3212" priority="7567" operator="lessThan">
      <formula>0</formula>
    </cfRule>
  </conditionalFormatting>
  <conditionalFormatting sqref="F136:G1048576 G61:G135">
    <cfRule type="cellIs" dxfId="3211" priority="7566" operator="lessThan">
      <formula>0</formula>
    </cfRule>
  </conditionalFormatting>
  <conditionalFormatting sqref="F136:G1048576 G61:G135">
    <cfRule type="cellIs" dxfId="3210" priority="7565" operator="lessThan">
      <formula>0</formula>
    </cfRule>
  </conditionalFormatting>
  <conditionalFormatting sqref="F136:G1048576 G61:G135">
    <cfRule type="cellIs" dxfId="3209" priority="7564" operator="lessThan">
      <formula>0</formula>
    </cfRule>
  </conditionalFormatting>
  <conditionalFormatting sqref="F136:G1048576 G61:G135">
    <cfRule type="cellIs" dxfId="3208" priority="7563" operator="lessThan">
      <formula>0</formula>
    </cfRule>
  </conditionalFormatting>
  <conditionalFormatting sqref="F136:G1048576 G61:G135">
    <cfRule type="cellIs" dxfId="3207" priority="7562" operator="lessThan">
      <formula>0</formula>
    </cfRule>
  </conditionalFormatting>
  <conditionalFormatting sqref="F136:G1048576 G61:G135">
    <cfRule type="cellIs" dxfId="3206" priority="7561" operator="lessThan">
      <formula>0</formula>
    </cfRule>
  </conditionalFormatting>
  <conditionalFormatting sqref="F136:G1048576 G61:G135">
    <cfRule type="cellIs" dxfId="3205" priority="7560" operator="lessThan">
      <formula>0</formula>
    </cfRule>
  </conditionalFormatting>
  <conditionalFormatting sqref="F136:G1048576 G61:G135">
    <cfRule type="cellIs" dxfId="3204" priority="7559" operator="lessThan">
      <formula>0</formula>
    </cfRule>
  </conditionalFormatting>
  <conditionalFormatting sqref="F136:G1048576 G61:G135">
    <cfRule type="cellIs" dxfId="3203" priority="7558" operator="lessThan">
      <formula>0</formula>
    </cfRule>
  </conditionalFormatting>
  <conditionalFormatting sqref="F136:G1048576 G61:G135">
    <cfRule type="cellIs" dxfId="3202" priority="7557" operator="lessThan">
      <formula>0</formula>
    </cfRule>
  </conditionalFormatting>
  <conditionalFormatting sqref="F136:G1048576 G61:G135">
    <cfRule type="cellIs" dxfId="3201" priority="7556" operator="lessThan">
      <formula>0</formula>
    </cfRule>
  </conditionalFormatting>
  <conditionalFormatting sqref="F136:G1048576 G61:G135">
    <cfRule type="cellIs" dxfId="3200" priority="7555" operator="lessThan">
      <formula>0</formula>
    </cfRule>
  </conditionalFormatting>
  <conditionalFormatting sqref="F136:G1048576 G61:G135">
    <cfRule type="cellIs" dxfId="3199" priority="7554" operator="lessThan">
      <formula>0</formula>
    </cfRule>
  </conditionalFormatting>
  <conditionalFormatting sqref="F136:G1048576 G61:G135">
    <cfRule type="cellIs" dxfId="3198" priority="7553" operator="lessThan">
      <formula>0</formula>
    </cfRule>
  </conditionalFormatting>
  <conditionalFormatting sqref="F136:G1048576 G61:G135">
    <cfRule type="cellIs" dxfId="3197" priority="7552" operator="lessThan">
      <formula>0</formula>
    </cfRule>
  </conditionalFormatting>
  <conditionalFormatting sqref="F136:G1048576 G61:G135">
    <cfRule type="cellIs" dxfId="3196" priority="7551" operator="lessThan">
      <formula>0</formula>
    </cfRule>
  </conditionalFormatting>
  <conditionalFormatting sqref="F136:G1048576 G61:G135">
    <cfRule type="cellIs" dxfId="3195" priority="7550" operator="lessThan">
      <formula>0</formula>
    </cfRule>
  </conditionalFormatting>
  <conditionalFormatting sqref="F136:G1048576 G61:G135">
    <cfRule type="cellIs" dxfId="3194" priority="7549" operator="lessThan">
      <formula>0</formula>
    </cfRule>
  </conditionalFormatting>
  <conditionalFormatting sqref="F136:G1048576 G61:G135">
    <cfRule type="cellIs" dxfId="3193" priority="7548" operator="lessThan">
      <formula>0</formula>
    </cfRule>
  </conditionalFormatting>
  <conditionalFormatting sqref="F136:G1048576 G61:G135">
    <cfRule type="cellIs" dxfId="3192" priority="7547" operator="lessThan">
      <formula>0</formula>
    </cfRule>
  </conditionalFormatting>
  <conditionalFormatting sqref="F136:G1048576 G61:G135">
    <cfRule type="cellIs" dxfId="3191" priority="7546" operator="lessThan">
      <formula>0</formula>
    </cfRule>
  </conditionalFormatting>
  <conditionalFormatting sqref="F136:G1048576 G61:G135">
    <cfRule type="cellIs" dxfId="3190" priority="7545" operator="lessThan">
      <formula>0</formula>
    </cfRule>
  </conditionalFormatting>
  <conditionalFormatting sqref="F136:G1048576 G61:G135">
    <cfRule type="cellIs" dxfId="3189" priority="7544" operator="lessThan">
      <formula>0</formula>
    </cfRule>
  </conditionalFormatting>
  <conditionalFormatting sqref="F136:G1048576 G61:G135">
    <cfRule type="cellIs" dxfId="3188" priority="7543" operator="lessThan">
      <formula>0</formula>
    </cfRule>
  </conditionalFormatting>
  <conditionalFormatting sqref="F136:G1048576 G61:G135">
    <cfRule type="cellIs" dxfId="3187" priority="7542" operator="lessThan">
      <formula>0</formula>
    </cfRule>
  </conditionalFormatting>
  <conditionalFormatting sqref="F136:G1048576 G61:G135">
    <cfRule type="cellIs" dxfId="3186" priority="7541" operator="lessThan">
      <formula>0</formula>
    </cfRule>
  </conditionalFormatting>
  <conditionalFormatting sqref="F136:G1048576 G61:G135">
    <cfRule type="cellIs" dxfId="3185" priority="7540" operator="lessThan">
      <formula>0</formula>
    </cfRule>
  </conditionalFormatting>
  <conditionalFormatting sqref="F136:G1048576 G61:G135">
    <cfRule type="cellIs" dxfId="3184" priority="7539" operator="lessThan">
      <formula>0</formula>
    </cfRule>
  </conditionalFormatting>
  <conditionalFormatting sqref="F136:G1048576 G61:G135">
    <cfRule type="cellIs" dxfId="3183" priority="7538" operator="lessThan">
      <formula>0</formula>
    </cfRule>
  </conditionalFormatting>
  <conditionalFormatting sqref="F136:G1048576 G61:G135">
    <cfRule type="cellIs" dxfId="3182" priority="7537" operator="lessThan">
      <formula>0</formula>
    </cfRule>
  </conditionalFormatting>
  <conditionalFormatting sqref="F136:G1048576 G61:G135">
    <cfRule type="cellIs" dxfId="3181" priority="7536" operator="lessThan">
      <formula>0</formula>
    </cfRule>
  </conditionalFormatting>
  <conditionalFormatting sqref="F136:G1048576 G61:G135">
    <cfRule type="cellIs" dxfId="3180" priority="7535" operator="lessThan">
      <formula>0</formula>
    </cfRule>
  </conditionalFormatting>
  <conditionalFormatting sqref="F136:G1048576 G61:G135">
    <cfRule type="cellIs" dxfId="3179" priority="7534" operator="lessThan">
      <formula>0</formula>
    </cfRule>
  </conditionalFormatting>
  <conditionalFormatting sqref="F136:G1048576 G61:G135">
    <cfRule type="cellIs" dxfId="3178" priority="7533" operator="lessThan">
      <formula>0</formula>
    </cfRule>
  </conditionalFormatting>
  <conditionalFormatting sqref="F136:G1048576 G61:G135">
    <cfRule type="cellIs" dxfId="3177" priority="7532" operator="lessThan">
      <formula>0</formula>
    </cfRule>
  </conditionalFormatting>
  <conditionalFormatting sqref="F136:G1048576 G61:G135">
    <cfRule type="cellIs" dxfId="3176" priority="7531" operator="lessThan">
      <formula>0</formula>
    </cfRule>
  </conditionalFormatting>
  <conditionalFormatting sqref="F136:G1048576 G61:G135">
    <cfRule type="cellIs" dxfId="3175" priority="7530" operator="lessThan">
      <formula>0</formula>
    </cfRule>
  </conditionalFormatting>
  <conditionalFormatting sqref="F136:G1048576 G61:G135">
    <cfRule type="cellIs" dxfId="3174" priority="7529" operator="lessThan">
      <formula>0</formula>
    </cfRule>
  </conditionalFormatting>
  <conditionalFormatting sqref="F136:G1048576 G61:G135">
    <cfRule type="cellIs" dxfId="3173" priority="7528" operator="lessThan">
      <formula>0</formula>
    </cfRule>
  </conditionalFormatting>
  <conditionalFormatting sqref="F136:G1048576 G61:G135">
    <cfRule type="cellIs" dxfId="3172" priority="7527" operator="lessThan">
      <formula>0</formula>
    </cfRule>
  </conditionalFormatting>
  <conditionalFormatting sqref="F136:G1048576 G61:G135">
    <cfRule type="cellIs" dxfId="3171" priority="7526" operator="lessThan">
      <formula>0</formula>
    </cfRule>
  </conditionalFormatting>
  <conditionalFormatting sqref="F136:G1048576 G61:G135">
    <cfRule type="cellIs" dxfId="3170" priority="7525" operator="lessThan">
      <formula>0</formula>
    </cfRule>
  </conditionalFormatting>
  <conditionalFormatting sqref="F136:G1048576 G61:G135">
    <cfRule type="cellIs" dxfId="3169" priority="7524" operator="lessThan">
      <formula>0</formula>
    </cfRule>
  </conditionalFormatting>
  <conditionalFormatting sqref="F136:G1048576 G61:G135">
    <cfRule type="cellIs" dxfId="3168" priority="7523" operator="lessThan">
      <formula>0</formula>
    </cfRule>
  </conditionalFormatting>
  <conditionalFormatting sqref="F136:G1048576 G61:G135">
    <cfRule type="cellIs" dxfId="3167" priority="7522" operator="lessThan">
      <formula>0</formula>
    </cfRule>
  </conditionalFormatting>
  <conditionalFormatting sqref="F136:G1048576 G61:G135">
    <cfRule type="cellIs" dxfId="3166" priority="7521" operator="lessThan">
      <formula>0</formula>
    </cfRule>
  </conditionalFormatting>
  <conditionalFormatting sqref="F136:G1048576 G61:G135">
    <cfRule type="cellIs" dxfId="3165" priority="7520" operator="lessThan">
      <formula>0</formula>
    </cfRule>
  </conditionalFormatting>
  <conditionalFormatting sqref="F136:G1048576 G61:G135">
    <cfRule type="cellIs" dxfId="3164" priority="7519" operator="lessThan">
      <formula>0</formula>
    </cfRule>
  </conditionalFormatting>
  <conditionalFormatting sqref="F136:G1048576 G61:G135">
    <cfRule type="cellIs" dxfId="3163" priority="7518" operator="lessThan">
      <formula>0</formula>
    </cfRule>
  </conditionalFormatting>
  <conditionalFormatting sqref="F136:G1048576 G61:G135">
    <cfRule type="cellIs" dxfId="3162" priority="7517" operator="lessThan">
      <formula>0</formula>
    </cfRule>
  </conditionalFormatting>
  <conditionalFormatting sqref="F136:G1048576 G61:G135">
    <cfRule type="cellIs" dxfId="3161" priority="7516" operator="lessThan">
      <formula>0</formula>
    </cfRule>
  </conditionalFormatting>
  <conditionalFormatting sqref="F136:G1048576 G61:G135">
    <cfRule type="cellIs" dxfId="3160" priority="7515" operator="lessThan">
      <formula>0</formula>
    </cfRule>
  </conditionalFormatting>
  <conditionalFormatting sqref="F136:G1048576 G61:G135">
    <cfRule type="cellIs" dxfId="3159" priority="7514" operator="lessThan">
      <formula>0</formula>
    </cfRule>
  </conditionalFormatting>
  <conditionalFormatting sqref="F136:G1048576 G61:G135">
    <cfRule type="cellIs" dxfId="3158" priority="7513" operator="lessThan">
      <formula>0</formula>
    </cfRule>
  </conditionalFormatting>
  <conditionalFormatting sqref="F136:G1048576 G61:G135">
    <cfRule type="cellIs" dxfId="3157" priority="7512" operator="lessThan">
      <formula>0</formula>
    </cfRule>
  </conditionalFormatting>
  <conditionalFormatting sqref="F136:G1048576 G61:G135">
    <cfRule type="cellIs" dxfId="3156" priority="7511" operator="lessThan">
      <formula>0</formula>
    </cfRule>
  </conditionalFormatting>
  <conditionalFormatting sqref="F136:G1048576 G61:G135">
    <cfRule type="cellIs" dxfId="3155" priority="7510" operator="lessThan">
      <formula>0</formula>
    </cfRule>
  </conditionalFormatting>
  <conditionalFormatting sqref="F136:G1048576 G61:G135">
    <cfRule type="cellIs" dxfId="3154" priority="7509" operator="lessThan">
      <formula>0</formula>
    </cfRule>
  </conditionalFormatting>
  <conditionalFormatting sqref="F136:G1048576 G61:G135">
    <cfRule type="cellIs" dxfId="3153" priority="7508" operator="lessThan">
      <formula>0</formula>
    </cfRule>
  </conditionalFormatting>
  <conditionalFormatting sqref="F136:G1048576 G61:G135">
    <cfRule type="cellIs" dxfId="3152" priority="7507" operator="lessThan">
      <formula>0</formula>
    </cfRule>
  </conditionalFormatting>
  <conditionalFormatting sqref="F136:G1048576 G61:G135">
    <cfRule type="cellIs" dxfId="3151" priority="7506" operator="lessThan">
      <formula>0</formula>
    </cfRule>
  </conditionalFormatting>
  <conditionalFormatting sqref="F136:G1048576 G61:G135">
    <cfRule type="cellIs" dxfId="3150" priority="7505" operator="lessThan">
      <formula>0</formula>
    </cfRule>
  </conditionalFormatting>
  <conditionalFormatting sqref="F136:G1048576 G61:G135">
    <cfRule type="cellIs" dxfId="3149" priority="7504" operator="lessThan">
      <formula>0</formula>
    </cfRule>
  </conditionalFormatting>
  <conditionalFormatting sqref="F136:G1048576 G61:G135">
    <cfRule type="cellIs" dxfId="3148" priority="7503" operator="lessThan">
      <formula>0</formula>
    </cfRule>
  </conditionalFormatting>
  <conditionalFormatting sqref="F136:G1048576 G61:G135">
    <cfRule type="cellIs" dxfId="3147" priority="7502" operator="lessThan">
      <formula>0</formula>
    </cfRule>
  </conditionalFormatting>
  <conditionalFormatting sqref="F136:G1048576 G61:G135">
    <cfRule type="cellIs" dxfId="3146" priority="7501" operator="lessThan">
      <formula>0</formula>
    </cfRule>
  </conditionalFormatting>
  <conditionalFormatting sqref="F136:G1048576 G61:G135">
    <cfRule type="cellIs" dxfId="3145" priority="7500" operator="lessThan">
      <formula>0</formula>
    </cfRule>
  </conditionalFormatting>
  <conditionalFormatting sqref="F136:G1048576 G61:G135">
    <cfRule type="cellIs" dxfId="3144" priority="7499" operator="lessThan">
      <formula>0</formula>
    </cfRule>
  </conditionalFormatting>
  <conditionalFormatting sqref="F136:G1048576 G61:G135">
    <cfRule type="cellIs" dxfId="3143" priority="7498" operator="lessThan">
      <formula>0</formula>
    </cfRule>
  </conditionalFormatting>
  <conditionalFormatting sqref="F136:G1048576 G61:G135">
    <cfRule type="cellIs" dxfId="3142" priority="7497" operator="lessThan">
      <formula>0</formula>
    </cfRule>
  </conditionalFormatting>
  <conditionalFormatting sqref="F136:G1048576 G61:G135">
    <cfRule type="cellIs" dxfId="3141" priority="7496" operator="lessThan">
      <formula>0</formula>
    </cfRule>
  </conditionalFormatting>
  <conditionalFormatting sqref="F136:G1048576 G61:G135">
    <cfRule type="cellIs" dxfId="3140" priority="7495" operator="lessThan">
      <formula>0</formula>
    </cfRule>
  </conditionalFormatting>
  <conditionalFormatting sqref="F136:G1048576 G61:G135">
    <cfRule type="cellIs" dxfId="3139" priority="7494" operator="lessThan">
      <formula>0</formula>
    </cfRule>
  </conditionalFormatting>
  <conditionalFormatting sqref="F136:G1048576 G61:G135">
    <cfRule type="cellIs" dxfId="3138" priority="7493" operator="lessThan">
      <formula>0</formula>
    </cfRule>
  </conditionalFormatting>
  <conditionalFormatting sqref="F136:G1048576 G61:G135">
    <cfRule type="cellIs" dxfId="3137" priority="7492" operator="lessThan">
      <formula>0</formula>
    </cfRule>
  </conditionalFormatting>
  <conditionalFormatting sqref="F136:G1048576 G61:G135">
    <cfRule type="cellIs" dxfId="3136" priority="7491" operator="lessThan">
      <formula>0</formula>
    </cfRule>
  </conditionalFormatting>
  <conditionalFormatting sqref="F136:G1048576 G61:G135">
    <cfRule type="cellIs" dxfId="3135" priority="7490" operator="lessThan">
      <formula>0</formula>
    </cfRule>
  </conditionalFormatting>
  <conditionalFormatting sqref="F136:G1048576 G61:G135">
    <cfRule type="cellIs" dxfId="3134" priority="7489" operator="lessThan">
      <formula>0</formula>
    </cfRule>
  </conditionalFormatting>
  <conditionalFormatting sqref="F136:G1048576 G61:G135">
    <cfRule type="cellIs" dxfId="3133" priority="7488" operator="lessThan">
      <formula>0</formula>
    </cfRule>
  </conditionalFormatting>
  <conditionalFormatting sqref="F136:G1048576 G61:G135">
    <cfRule type="cellIs" dxfId="3132" priority="7487" operator="lessThan">
      <formula>0</formula>
    </cfRule>
  </conditionalFormatting>
  <conditionalFormatting sqref="F136:G1048576 G61:G135">
    <cfRule type="cellIs" dxfId="3131" priority="7486" operator="lessThan">
      <formula>0</formula>
    </cfRule>
  </conditionalFormatting>
  <conditionalFormatting sqref="F136:G1048576 G61:G135">
    <cfRule type="cellIs" dxfId="3130" priority="7485" operator="lessThan">
      <formula>0</formula>
    </cfRule>
  </conditionalFormatting>
  <conditionalFormatting sqref="F136:G1048576 G61:G135">
    <cfRule type="cellIs" dxfId="3129" priority="7484" operator="lessThan">
      <formula>0</formula>
    </cfRule>
  </conditionalFormatting>
  <conditionalFormatting sqref="F136:G1048576 G61:G135">
    <cfRule type="cellIs" dxfId="3128" priority="7483" operator="lessThan">
      <formula>0</formula>
    </cfRule>
  </conditionalFormatting>
  <conditionalFormatting sqref="F136:G1048576 G61:G135">
    <cfRule type="cellIs" dxfId="3127" priority="7482" operator="lessThan">
      <formula>0</formula>
    </cfRule>
  </conditionalFormatting>
  <conditionalFormatting sqref="F136:G1048576 G61:G135">
    <cfRule type="cellIs" dxfId="3126" priority="7481" operator="lessThan">
      <formula>0</formula>
    </cfRule>
  </conditionalFormatting>
  <conditionalFormatting sqref="F136:G1048576 G61:G135">
    <cfRule type="cellIs" dxfId="3125" priority="7480" operator="lessThan">
      <formula>0</formula>
    </cfRule>
  </conditionalFormatting>
  <conditionalFormatting sqref="F136:G1048576 G61:G135">
    <cfRule type="cellIs" dxfId="3124" priority="7479" operator="lessThan">
      <formula>0</formula>
    </cfRule>
  </conditionalFormatting>
  <conditionalFormatting sqref="F136:G1048576 G61:G135">
    <cfRule type="cellIs" dxfId="3123" priority="7478" operator="lessThan">
      <formula>0</formula>
    </cfRule>
  </conditionalFormatting>
  <conditionalFormatting sqref="F136:G1048576 G61:G135">
    <cfRule type="cellIs" dxfId="3122" priority="7477" operator="lessThan">
      <formula>0</formula>
    </cfRule>
  </conditionalFormatting>
  <conditionalFormatting sqref="F136:G1048576 G61:G135">
    <cfRule type="cellIs" dxfId="3121" priority="7476" operator="lessThan">
      <formula>0</formula>
    </cfRule>
  </conditionalFormatting>
  <conditionalFormatting sqref="F136:G1048576 G61:G135">
    <cfRule type="cellIs" dxfId="3120" priority="7475" operator="lessThan">
      <formula>0</formula>
    </cfRule>
  </conditionalFormatting>
  <conditionalFormatting sqref="F136:G1048576 G61:G135">
    <cfRule type="cellIs" dxfId="3119" priority="7474" operator="lessThan">
      <formula>0</formula>
    </cfRule>
  </conditionalFormatting>
  <conditionalFormatting sqref="F136:G1048576 G61:G135">
    <cfRule type="cellIs" dxfId="3118" priority="7473" operator="lessThan">
      <formula>0</formula>
    </cfRule>
  </conditionalFormatting>
  <conditionalFormatting sqref="F136:G1048576 G61:G135">
    <cfRule type="cellIs" dxfId="3117" priority="7472" operator="lessThan">
      <formula>0</formula>
    </cfRule>
  </conditionalFormatting>
  <conditionalFormatting sqref="F136:G1048576 G61:G135">
    <cfRule type="cellIs" dxfId="3116" priority="7471" operator="lessThan">
      <formula>0</formula>
    </cfRule>
  </conditionalFormatting>
  <conditionalFormatting sqref="F136:G1048576 G61:G135">
    <cfRule type="cellIs" dxfId="3115" priority="7470" operator="lessThan">
      <formula>0</formula>
    </cfRule>
  </conditionalFormatting>
  <conditionalFormatting sqref="F136:G1048576 G61:G135">
    <cfRule type="cellIs" dxfId="3114" priority="7469" operator="lessThan">
      <formula>0</formula>
    </cfRule>
  </conditionalFormatting>
  <conditionalFormatting sqref="F136:G1048576 G61:G135">
    <cfRule type="cellIs" dxfId="3113" priority="7468" operator="lessThan">
      <formula>0</formula>
    </cfRule>
  </conditionalFormatting>
  <conditionalFormatting sqref="F136:G1048576 G61:G135">
    <cfRule type="cellIs" dxfId="3112" priority="7467" operator="lessThan">
      <formula>0</formula>
    </cfRule>
  </conditionalFormatting>
  <conditionalFormatting sqref="F136:G1048576 G61:G135">
    <cfRule type="cellIs" dxfId="3111" priority="7466" operator="lessThan">
      <formula>0</formula>
    </cfRule>
  </conditionalFormatting>
  <conditionalFormatting sqref="F136:G1048576 G61:G135">
    <cfRule type="cellIs" dxfId="3110" priority="7465" operator="lessThan">
      <formula>0</formula>
    </cfRule>
  </conditionalFormatting>
  <conditionalFormatting sqref="F136:G1048576 G61:G135">
    <cfRule type="cellIs" dxfId="3109" priority="7464" operator="lessThan">
      <formula>0</formula>
    </cfRule>
  </conditionalFormatting>
  <conditionalFormatting sqref="F136:G1048576 G61:G135">
    <cfRule type="cellIs" dxfId="3108" priority="7463" operator="lessThan">
      <formula>0</formula>
    </cfRule>
  </conditionalFormatting>
  <conditionalFormatting sqref="F136:G1048576 G61:G135">
    <cfRule type="cellIs" dxfId="3107" priority="7462" operator="lessThan">
      <formula>0</formula>
    </cfRule>
  </conditionalFormatting>
  <conditionalFormatting sqref="F136:G1048576 G61:G135">
    <cfRule type="cellIs" dxfId="3106" priority="7461" operator="lessThan">
      <formula>0</formula>
    </cfRule>
  </conditionalFormatting>
  <conditionalFormatting sqref="F136:G1048576 G61:G135">
    <cfRule type="cellIs" dxfId="3105" priority="7460" operator="lessThan">
      <formula>0</formula>
    </cfRule>
  </conditionalFormatting>
  <conditionalFormatting sqref="F136:G1048576 G61:G135">
    <cfRule type="cellIs" dxfId="3104" priority="7459" operator="lessThan">
      <formula>0</formula>
    </cfRule>
  </conditionalFormatting>
  <conditionalFormatting sqref="F136:G1048576 G61:G135">
    <cfRule type="cellIs" dxfId="3103" priority="7458" operator="lessThan">
      <formula>0</formula>
    </cfRule>
  </conditionalFormatting>
  <conditionalFormatting sqref="F136:G1048576 G61:G135">
    <cfRule type="cellIs" dxfId="3102" priority="7457" operator="lessThan">
      <formula>0</formula>
    </cfRule>
  </conditionalFormatting>
  <conditionalFormatting sqref="F136:G1048576 G61:G135">
    <cfRule type="cellIs" dxfId="3101" priority="7456" operator="lessThan">
      <formula>0</formula>
    </cfRule>
  </conditionalFormatting>
  <conditionalFormatting sqref="F136:G1048576 G61:G135">
    <cfRule type="cellIs" dxfId="3100" priority="7455" operator="lessThan">
      <formula>0</formula>
    </cfRule>
  </conditionalFormatting>
  <conditionalFormatting sqref="F136:G1048576 G61:G135">
    <cfRule type="cellIs" dxfId="3099" priority="7454" operator="lessThan">
      <formula>0</formula>
    </cfRule>
  </conditionalFormatting>
  <conditionalFormatting sqref="F136:G1048576 G61:G135">
    <cfRule type="cellIs" dxfId="3098" priority="7453" operator="lessThan">
      <formula>0</formula>
    </cfRule>
  </conditionalFormatting>
  <conditionalFormatting sqref="F136:G1048576 G61:G135">
    <cfRule type="cellIs" dxfId="3097" priority="7452" operator="lessThan">
      <formula>0</formula>
    </cfRule>
  </conditionalFormatting>
  <conditionalFormatting sqref="F136:G1048576 G61:G135">
    <cfRule type="cellIs" dxfId="3096" priority="7451" operator="lessThan">
      <formula>0</formula>
    </cfRule>
  </conditionalFormatting>
  <conditionalFormatting sqref="F136:G1048576 G61:G135">
    <cfRule type="cellIs" dxfId="3095" priority="7450" operator="lessThan">
      <formula>0</formula>
    </cfRule>
  </conditionalFormatting>
  <conditionalFormatting sqref="F136:G1048576 G61:G135">
    <cfRule type="cellIs" dxfId="3094" priority="7449" operator="lessThan">
      <formula>0</formula>
    </cfRule>
  </conditionalFormatting>
  <conditionalFormatting sqref="F136:G1048576 G61:G135">
    <cfRule type="cellIs" dxfId="3093" priority="7448" operator="lessThan">
      <formula>0</formula>
    </cfRule>
  </conditionalFormatting>
  <conditionalFormatting sqref="F136:G1048576 G61:G135">
    <cfRule type="cellIs" dxfId="3092" priority="7447" operator="lessThan">
      <formula>0</formula>
    </cfRule>
  </conditionalFormatting>
  <conditionalFormatting sqref="F136:G1048576 G61:G135">
    <cfRule type="cellIs" dxfId="3091" priority="7446" operator="lessThan">
      <formula>0</formula>
    </cfRule>
  </conditionalFormatting>
  <conditionalFormatting sqref="F136:G1048576 G61:G135">
    <cfRule type="cellIs" dxfId="3090" priority="7445" operator="lessThan">
      <formula>0</formula>
    </cfRule>
  </conditionalFormatting>
  <conditionalFormatting sqref="F136:G1048576 G61:G135">
    <cfRule type="cellIs" dxfId="3089" priority="7444" operator="lessThan">
      <formula>0</formula>
    </cfRule>
  </conditionalFormatting>
  <conditionalFormatting sqref="F136:G1048576 G61:G135">
    <cfRule type="cellIs" dxfId="3088" priority="7443" operator="lessThan">
      <formula>0</formula>
    </cfRule>
  </conditionalFormatting>
  <conditionalFormatting sqref="F136:G1048576 G61:G135">
    <cfRule type="cellIs" dxfId="3087" priority="7442" operator="lessThan">
      <formula>0</formula>
    </cfRule>
  </conditionalFormatting>
  <conditionalFormatting sqref="F136:G1048576 G61:G135">
    <cfRule type="cellIs" dxfId="3086" priority="7441" operator="lessThan">
      <formula>0</formula>
    </cfRule>
  </conditionalFormatting>
  <conditionalFormatting sqref="F136:G1048576 G61:G135">
    <cfRule type="cellIs" dxfId="3085" priority="7440" operator="lessThan">
      <formula>0</formula>
    </cfRule>
  </conditionalFormatting>
  <conditionalFormatting sqref="F136:G1048576 G61:G135">
    <cfRule type="cellIs" dxfId="3084" priority="7439" operator="lessThan">
      <formula>0</formula>
    </cfRule>
  </conditionalFormatting>
  <conditionalFormatting sqref="F136:G1048576 G61:G135">
    <cfRule type="cellIs" dxfId="3083" priority="7438" operator="lessThan">
      <formula>0</formula>
    </cfRule>
  </conditionalFormatting>
  <conditionalFormatting sqref="F136:G1048576 G61:G135">
    <cfRule type="cellIs" dxfId="3082" priority="7437" operator="lessThan">
      <formula>0</formula>
    </cfRule>
  </conditionalFormatting>
  <conditionalFormatting sqref="F136:G1048576 G61:G135">
    <cfRule type="cellIs" dxfId="3081" priority="7436" operator="lessThan">
      <formula>0</formula>
    </cfRule>
  </conditionalFormatting>
  <conditionalFormatting sqref="F136:G1048576 G61:G135">
    <cfRule type="cellIs" dxfId="3080" priority="7435" operator="lessThan">
      <formula>0</formula>
    </cfRule>
  </conditionalFormatting>
  <conditionalFormatting sqref="F136:G1048576 G61:G135">
    <cfRule type="cellIs" dxfId="3079" priority="7434" operator="lessThan">
      <formula>0</formula>
    </cfRule>
  </conditionalFormatting>
  <conditionalFormatting sqref="F136:G1048576 G61:G135">
    <cfRule type="cellIs" dxfId="3078" priority="7433" operator="lessThan">
      <formula>0</formula>
    </cfRule>
  </conditionalFormatting>
  <conditionalFormatting sqref="F136:G1048576 G61:G135">
    <cfRule type="cellIs" dxfId="3077" priority="7432" operator="lessThan">
      <formula>0</formula>
    </cfRule>
  </conditionalFormatting>
  <conditionalFormatting sqref="F136:G1048576 G61:G135">
    <cfRule type="cellIs" dxfId="3076" priority="7431" operator="lessThan">
      <formula>0</formula>
    </cfRule>
  </conditionalFormatting>
  <conditionalFormatting sqref="F136:G1048576 G61:G135">
    <cfRule type="cellIs" dxfId="3075" priority="7430" operator="lessThan">
      <formula>0</formula>
    </cfRule>
  </conditionalFormatting>
  <conditionalFormatting sqref="F136:G1048576 G61:G135">
    <cfRule type="cellIs" dxfId="3074" priority="7429" operator="lessThan">
      <formula>0</formula>
    </cfRule>
  </conditionalFormatting>
  <conditionalFormatting sqref="F136:G1048576 G61:G135">
    <cfRule type="cellIs" dxfId="3073" priority="7428" operator="lessThan">
      <formula>0</formula>
    </cfRule>
  </conditionalFormatting>
  <conditionalFormatting sqref="G42">
    <cfRule type="cellIs" dxfId="3072" priority="6725" operator="lessThan">
      <formula>0</formula>
    </cfRule>
  </conditionalFormatting>
  <conditionalFormatting sqref="G42">
    <cfRule type="cellIs" dxfId="3071" priority="6724" operator="lessThan">
      <formula>0</formula>
    </cfRule>
  </conditionalFormatting>
  <conditionalFormatting sqref="G42">
    <cfRule type="cellIs" dxfId="3070" priority="6723" operator="lessThan">
      <formula>0</formula>
    </cfRule>
  </conditionalFormatting>
  <conditionalFormatting sqref="G42">
    <cfRule type="cellIs" dxfId="3069" priority="6722" operator="lessThan">
      <formula>0</formula>
    </cfRule>
  </conditionalFormatting>
  <conditionalFormatting sqref="G42">
    <cfRule type="cellIs" dxfId="3068" priority="6721" operator="lessThan">
      <formula>0</formula>
    </cfRule>
  </conditionalFormatting>
  <conditionalFormatting sqref="G42">
    <cfRule type="cellIs" dxfId="3067" priority="6720" operator="lessThan">
      <formula>0</formula>
    </cfRule>
  </conditionalFormatting>
  <conditionalFormatting sqref="G42">
    <cfRule type="cellIs" dxfId="3066" priority="6719" operator="lessThan">
      <formula>0</formula>
    </cfRule>
  </conditionalFormatting>
  <conditionalFormatting sqref="G42">
    <cfRule type="cellIs" dxfId="3065" priority="6718" operator="lessThan">
      <formula>0</formula>
    </cfRule>
  </conditionalFormatting>
  <conditionalFormatting sqref="G42">
    <cfRule type="cellIs" dxfId="3064" priority="6717" operator="lessThan">
      <formula>0</formula>
    </cfRule>
  </conditionalFormatting>
  <conditionalFormatting sqref="G42">
    <cfRule type="cellIs" dxfId="3063" priority="6716" operator="lessThan">
      <formula>0</formula>
    </cfRule>
  </conditionalFormatting>
  <conditionalFormatting sqref="G42">
    <cfRule type="cellIs" dxfId="3062" priority="6715" operator="lessThan">
      <formula>0</formula>
    </cfRule>
  </conditionalFormatting>
  <conditionalFormatting sqref="G42">
    <cfRule type="cellIs" dxfId="3061" priority="6714" operator="lessThan">
      <formula>0</formula>
    </cfRule>
  </conditionalFormatting>
  <conditionalFormatting sqref="G42">
    <cfRule type="cellIs" dxfId="3060" priority="6713" operator="lessThan">
      <formula>0</formula>
    </cfRule>
  </conditionalFormatting>
  <conditionalFormatting sqref="G42">
    <cfRule type="cellIs" dxfId="3059" priority="6712" operator="lessThan">
      <formula>0</formula>
    </cfRule>
  </conditionalFormatting>
  <conditionalFormatting sqref="G42">
    <cfRule type="cellIs" dxfId="3058" priority="6711" operator="lessThan">
      <formula>0</formula>
    </cfRule>
  </conditionalFormatting>
  <conditionalFormatting sqref="G42">
    <cfRule type="cellIs" dxfId="3057" priority="6710" operator="lessThan">
      <formula>0</formula>
    </cfRule>
  </conditionalFormatting>
  <conditionalFormatting sqref="G42">
    <cfRule type="cellIs" dxfId="3056" priority="6709" operator="lessThan">
      <formula>0</formula>
    </cfRule>
  </conditionalFormatting>
  <conditionalFormatting sqref="G42">
    <cfRule type="cellIs" dxfId="3055" priority="6708" operator="lessThan">
      <formula>0</formula>
    </cfRule>
  </conditionalFormatting>
  <conditionalFormatting sqref="G42">
    <cfRule type="cellIs" dxfId="3054" priority="6707" operator="lessThan">
      <formula>0</formula>
    </cfRule>
  </conditionalFormatting>
  <conditionalFormatting pivot="1" sqref="F13:F55">
    <cfRule type="cellIs" dxfId="3053" priority="5652" operator="lessThan">
      <formula>0</formula>
    </cfRule>
  </conditionalFormatting>
  <conditionalFormatting sqref="H86:H1048576">
    <cfRule type="cellIs" dxfId="3052" priority="5448" operator="lessThan">
      <formula>0</formula>
    </cfRule>
  </conditionalFormatting>
  <conditionalFormatting sqref="H86:H1048576">
    <cfRule type="cellIs" dxfId="3051" priority="5447" operator="lessThan">
      <formula>0</formula>
    </cfRule>
  </conditionalFormatting>
  <conditionalFormatting sqref="H86:H1048576">
    <cfRule type="cellIs" dxfId="3050" priority="5446" operator="lessThan">
      <formula>0</formula>
    </cfRule>
  </conditionalFormatting>
  <conditionalFormatting sqref="H86:H1048576">
    <cfRule type="cellIs" dxfId="3049" priority="5445" operator="lessThan">
      <formula>0</formula>
    </cfRule>
  </conditionalFormatting>
  <conditionalFormatting sqref="H86:H1048576">
    <cfRule type="cellIs" dxfId="3048" priority="5444" operator="lessThan">
      <formula>0</formula>
    </cfRule>
  </conditionalFormatting>
  <conditionalFormatting sqref="H86:H1048576">
    <cfRule type="cellIs" dxfId="3047" priority="5443" operator="lessThan">
      <formula>0</formula>
    </cfRule>
  </conditionalFormatting>
  <conditionalFormatting sqref="H86:H1048576">
    <cfRule type="cellIs" dxfId="3046" priority="5442" operator="lessThan">
      <formula>0</formula>
    </cfRule>
  </conditionalFormatting>
  <conditionalFormatting sqref="H86:H1048576">
    <cfRule type="cellIs" dxfId="3045" priority="5441" operator="lessThan">
      <formula>0</formula>
    </cfRule>
  </conditionalFormatting>
  <conditionalFormatting sqref="H86:H1048576">
    <cfRule type="cellIs" dxfId="3044" priority="5440" operator="lessThan">
      <formula>0</formula>
    </cfRule>
  </conditionalFormatting>
  <conditionalFormatting sqref="H86:H1048576">
    <cfRule type="cellIs" dxfId="3043" priority="5439" operator="lessThan">
      <formula>0</formula>
    </cfRule>
  </conditionalFormatting>
  <conditionalFormatting sqref="H86:H1048576">
    <cfRule type="cellIs" dxfId="3042" priority="5438" operator="lessThan">
      <formula>0</formula>
    </cfRule>
  </conditionalFormatting>
  <conditionalFormatting sqref="H86:H1048576">
    <cfRule type="cellIs" dxfId="3041" priority="5437" operator="lessThan">
      <formula>0</formula>
    </cfRule>
  </conditionalFormatting>
  <conditionalFormatting sqref="H86:H1048576">
    <cfRule type="cellIs" dxfId="3040" priority="5436" operator="lessThan">
      <formula>0</formula>
    </cfRule>
  </conditionalFormatting>
  <conditionalFormatting sqref="H86:H1048576">
    <cfRule type="cellIs" dxfId="3039" priority="5435" operator="lessThan">
      <formula>0</formula>
    </cfRule>
  </conditionalFormatting>
  <conditionalFormatting sqref="H86:H1048576">
    <cfRule type="cellIs" dxfId="3038" priority="5434" operator="lessThan">
      <formula>0</formula>
    </cfRule>
  </conditionalFormatting>
  <conditionalFormatting sqref="H86:H1048576">
    <cfRule type="cellIs" dxfId="3037" priority="5433" operator="lessThan">
      <formula>0</formula>
    </cfRule>
  </conditionalFormatting>
  <conditionalFormatting sqref="H86:H1048576">
    <cfRule type="cellIs" dxfId="3036" priority="5432" operator="lessThan">
      <formula>0</formula>
    </cfRule>
  </conditionalFormatting>
  <conditionalFormatting sqref="H86:H1048576">
    <cfRule type="cellIs" dxfId="3035" priority="5431" operator="lessThan">
      <formula>0</formula>
    </cfRule>
  </conditionalFormatting>
  <conditionalFormatting sqref="H86:H1048576">
    <cfRule type="cellIs" dxfId="3034" priority="5430" operator="lessThan">
      <formula>0</formula>
    </cfRule>
  </conditionalFormatting>
  <conditionalFormatting sqref="H86:H1048576">
    <cfRule type="cellIs" dxfId="3033" priority="5429" operator="lessThan">
      <formula>0</formula>
    </cfRule>
  </conditionalFormatting>
  <conditionalFormatting sqref="H86:H1048576">
    <cfRule type="cellIs" dxfId="3032" priority="5428" operator="lessThan">
      <formula>0</formula>
    </cfRule>
  </conditionalFormatting>
  <conditionalFormatting sqref="H86:H1048576">
    <cfRule type="cellIs" dxfId="3031" priority="5427" operator="lessThan">
      <formula>0</formula>
    </cfRule>
  </conditionalFormatting>
  <conditionalFormatting sqref="H86:H1048576">
    <cfRule type="cellIs" dxfId="3030" priority="5426" operator="lessThan">
      <formula>0</formula>
    </cfRule>
  </conditionalFormatting>
  <conditionalFormatting sqref="H86:H1048576">
    <cfRule type="cellIs" dxfId="3029" priority="5425" operator="lessThan">
      <formula>0</formula>
    </cfRule>
  </conditionalFormatting>
  <conditionalFormatting sqref="H86:H1048576">
    <cfRule type="cellIs" dxfId="3028" priority="5424" operator="lessThan">
      <formula>0</formula>
    </cfRule>
  </conditionalFormatting>
  <conditionalFormatting sqref="H86:H1048576">
    <cfRule type="cellIs" dxfId="3027" priority="5423" operator="lessThan">
      <formula>0</formula>
    </cfRule>
  </conditionalFormatting>
  <conditionalFormatting sqref="H86:H1048576">
    <cfRule type="cellIs" dxfId="3026" priority="5422" operator="lessThan">
      <formula>0</formula>
    </cfRule>
  </conditionalFormatting>
  <conditionalFormatting sqref="H86:H1048576">
    <cfRule type="cellIs" dxfId="3025" priority="5421" operator="lessThan">
      <formula>0</formula>
    </cfRule>
  </conditionalFormatting>
  <conditionalFormatting sqref="H86:H1048576">
    <cfRule type="cellIs" dxfId="3024" priority="5420" operator="lessThan">
      <formula>0</formula>
    </cfRule>
  </conditionalFormatting>
  <conditionalFormatting sqref="H86:H1048576">
    <cfRule type="cellIs" dxfId="3023" priority="5419" operator="lessThan">
      <formula>0</formula>
    </cfRule>
  </conditionalFormatting>
  <conditionalFormatting sqref="H86:H1048576">
    <cfRule type="cellIs" dxfId="3022" priority="5418" operator="lessThan">
      <formula>0</formula>
    </cfRule>
  </conditionalFormatting>
  <conditionalFormatting sqref="H86:H1048576">
    <cfRule type="cellIs" dxfId="3021" priority="5417" operator="lessThan">
      <formula>0</formula>
    </cfRule>
  </conditionalFormatting>
  <conditionalFormatting sqref="H86:H1048576">
    <cfRule type="cellIs" dxfId="3020" priority="5416" operator="lessThan">
      <formula>0</formula>
    </cfRule>
  </conditionalFormatting>
  <conditionalFormatting sqref="H86:H1048576">
    <cfRule type="cellIs" dxfId="3019" priority="5415" operator="lessThan">
      <formula>0</formula>
    </cfRule>
  </conditionalFormatting>
  <conditionalFormatting sqref="H86:H1048576">
    <cfRule type="cellIs" dxfId="3018" priority="5414" operator="lessThan">
      <formula>0</formula>
    </cfRule>
  </conditionalFormatting>
  <conditionalFormatting sqref="H86:H1048576">
    <cfRule type="cellIs" dxfId="3017" priority="5413" operator="lessThan">
      <formula>0</formula>
    </cfRule>
  </conditionalFormatting>
  <conditionalFormatting sqref="H86:H1048576">
    <cfRule type="cellIs" dxfId="3016" priority="5412" operator="lessThan">
      <formula>0</formula>
    </cfRule>
  </conditionalFormatting>
  <conditionalFormatting sqref="H86:H1048576">
    <cfRule type="cellIs" dxfId="3015" priority="5411" operator="lessThan">
      <formula>0</formula>
    </cfRule>
  </conditionalFormatting>
  <conditionalFormatting sqref="H86:H1048576">
    <cfRule type="cellIs" dxfId="3014" priority="5410" operator="lessThan">
      <formula>0</formula>
    </cfRule>
  </conditionalFormatting>
  <conditionalFormatting sqref="H86:H1048576">
    <cfRule type="cellIs" dxfId="3013" priority="5409" operator="lessThan">
      <formula>0</formula>
    </cfRule>
  </conditionalFormatting>
  <conditionalFormatting sqref="H86:H1048576">
    <cfRule type="cellIs" dxfId="3012" priority="5408" operator="lessThan">
      <formula>0</formula>
    </cfRule>
  </conditionalFormatting>
  <conditionalFormatting sqref="H86:H1048576">
    <cfRule type="cellIs" dxfId="3011" priority="5407" operator="lessThan">
      <formula>0</formula>
    </cfRule>
  </conditionalFormatting>
  <conditionalFormatting sqref="H86:H1048576">
    <cfRule type="cellIs" dxfId="3010" priority="5406" operator="lessThan">
      <formula>0</formula>
    </cfRule>
  </conditionalFormatting>
  <conditionalFormatting sqref="H86:H1048576">
    <cfRule type="cellIs" dxfId="3009" priority="5405" operator="lessThan">
      <formula>0</formula>
    </cfRule>
  </conditionalFormatting>
  <conditionalFormatting sqref="H86:H1048576">
    <cfRule type="cellIs" dxfId="3008" priority="5404" operator="lessThan">
      <formula>0</formula>
    </cfRule>
  </conditionalFormatting>
  <conditionalFormatting sqref="H86:H1048576">
    <cfRule type="cellIs" dxfId="3007" priority="5403" operator="lessThan">
      <formula>0</formula>
    </cfRule>
  </conditionalFormatting>
  <conditionalFormatting sqref="H86:H1048576">
    <cfRule type="cellIs" dxfId="3006" priority="5402" operator="lessThan">
      <formula>0</formula>
    </cfRule>
  </conditionalFormatting>
  <conditionalFormatting sqref="H86:H1048576">
    <cfRule type="cellIs" dxfId="3005" priority="5401" operator="lessThan">
      <formula>0</formula>
    </cfRule>
  </conditionalFormatting>
  <conditionalFormatting sqref="H86:H1048576">
    <cfRule type="cellIs" dxfId="3004" priority="5400" operator="lessThan">
      <formula>0</formula>
    </cfRule>
  </conditionalFormatting>
  <conditionalFormatting sqref="H86:H1048576">
    <cfRule type="cellIs" dxfId="3003" priority="5399" operator="lessThan">
      <formula>0</formula>
    </cfRule>
  </conditionalFormatting>
  <conditionalFormatting sqref="H86:H1048576">
    <cfRule type="cellIs" dxfId="3002" priority="5398" operator="lessThan">
      <formula>0</formula>
    </cfRule>
  </conditionalFormatting>
  <conditionalFormatting sqref="H86:H1048576">
    <cfRule type="cellIs" dxfId="3001" priority="5397" operator="lessThan">
      <formula>0</formula>
    </cfRule>
  </conditionalFormatting>
  <conditionalFormatting sqref="H86:H1048576">
    <cfRule type="cellIs" dxfId="3000" priority="5396" operator="lessThan">
      <formula>0</formula>
    </cfRule>
  </conditionalFormatting>
  <conditionalFormatting sqref="H86:H1048576">
    <cfRule type="cellIs" dxfId="2999" priority="5395" operator="lessThan">
      <formula>0</formula>
    </cfRule>
  </conditionalFormatting>
  <conditionalFormatting sqref="H86:H1048576">
    <cfRule type="cellIs" dxfId="2998" priority="5394" operator="lessThan">
      <formula>0</formula>
    </cfRule>
  </conditionalFormatting>
  <conditionalFormatting sqref="H86:H1048576">
    <cfRule type="cellIs" dxfId="2997" priority="5393" operator="lessThan">
      <formula>0</formula>
    </cfRule>
  </conditionalFormatting>
  <conditionalFormatting sqref="H86:H1048576">
    <cfRule type="cellIs" dxfId="2996" priority="5392" operator="lessThan">
      <formula>0</formula>
    </cfRule>
  </conditionalFormatting>
  <conditionalFormatting sqref="H86:H1048576">
    <cfRule type="cellIs" dxfId="2995" priority="5391" operator="lessThan">
      <formula>0</formula>
    </cfRule>
  </conditionalFormatting>
  <conditionalFormatting sqref="H86:H1048576">
    <cfRule type="cellIs" dxfId="2994" priority="5390" operator="lessThan">
      <formula>0</formula>
    </cfRule>
  </conditionalFormatting>
  <conditionalFormatting sqref="H86:H1048576">
    <cfRule type="cellIs" dxfId="2993" priority="5389" operator="lessThan">
      <formula>0</formula>
    </cfRule>
  </conditionalFormatting>
  <conditionalFormatting sqref="H86:H1048576">
    <cfRule type="cellIs" dxfId="2992" priority="5388" operator="lessThan">
      <formula>0</formula>
    </cfRule>
  </conditionalFormatting>
  <conditionalFormatting sqref="H86:H1048576">
    <cfRule type="cellIs" dxfId="2991" priority="5387" operator="lessThan">
      <formula>0</formula>
    </cfRule>
  </conditionalFormatting>
  <conditionalFormatting sqref="H86:H1048576">
    <cfRule type="cellIs" dxfId="2990" priority="5386" operator="lessThan">
      <formula>0</formula>
    </cfRule>
  </conditionalFormatting>
  <conditionalFormatting sqref="H86:H1048576">
    <cfRule type="cellIs" dxfId="2989" priority="5385" operator="lessThan">
      <formula>0</formula>
    </cfRule>
  </conditionalFormatting>
  <conditionalFormatting sqref="H86:H1048576">
    <cfRule type="cellIs" dxfId="2988" priority="5384" operator="lessThan">
      <formula>0</formula>
    </cfRule>
  </conditionalFormatting>
  <conditionalFormatting sqref="H86:H1048576">
    <cfRule type="cellIs" dxfId="2987" priority="5383" operator="lessThan">
      <formula>0</formula>
    </cfRule>
  </conditionalFormatting>
  <conditionalFormatting sqref="H86:H1048576">
    <cfRule type="cellIs" dxfId="2986" priority="5382" operator="lessThan">
      <formula>0</formula>
    </cfRule>
  </conditionalFormatting>
  <conditionalFormatting sqref="H86:H1048576">
    <cfRule type="cellIs" dxfId="2985" priority="5381" operator="lessThan">
      <formula>0</formula>
    </cfRule>
  </conditionalFormatting>
  <conditionalFormatting sqref="H86:H1048576">
    <cfRule type="cellIs" dxfId="2984" priority="5380" operator="lessThan">
      <formula>0</formula>
    </cfRule>
  </conditionalFormatting>
  <conditionalFormatting sqref="H86:H1048576">
    <cfRule type="cellIs" dxfId="2983" priority="5379" operator="lessThan">
      <formula>0</formula>
    </cfRule>
  </conditionalFormatting>
  <conditionalFormatting sqref="H86:H1048576">
    <cfRule type="cellIs" dxfId="2982" priority="5378" operator="lessThan">
      <formula>0</formula>
    </cfRule>
  </conditionalFormatting>
  <conditionalFormatting sqref="H86:H1048576">
    <cfRule type="cellIs" dxfId="2981" priority="5377" operator="lessThan">
      <formula>0</formula>
    </cfRule>
  </conditionalFormatting>
  <conditionalFormatting sqref="H86:H1048576">
    <cfRule type="cellIs" dxfId="2980" priority="5376" operator="lessThan">
      <formula>0</formula>
    </cfRule>
  </conditionalFormatting>
  <conditionalFormatting sqref="H86:H1048576">
    <cfRule type="cellIs" dxfId="2979" priority="5375" operator="lessThan">
      <formula>0</formula>
    </cfRule>
  </conditionalFormatting>
  <conditionalFormatting sqref="H86:H1048576">
    <cfRule type="cellIs" dxfId="2978" priority="5374" operator="lessThan">
      <formula>0</formula>
    </cfRule>
  </conditionalFormatting>
  <conditionalFormatting sqref="H86:H1048576">
    <cfRule type="cellIs" dxfId="2977" priority="5373" operator="lessThan">
      <formula>0</formula>
    </cfRule>
  </conditionalFormatting>
  <conditionalFormatting sqref="H86:H1048576">
    <cfRule type="cellIs" dxfId="2976" priority="5372" operator="lessThan">
      <formula>0</formula>
    </cfRule>
  </conditionalFormatting>
  <conditionalFormatting sqref="H86:H1048576">
    <cfRule type="cellIs" dxfId="2975" priority="5371" operator="lessThan">
      <formula>0</formula>
    </cfRule>
  </conditionalFormatting>
  <conditionalFormatting sqref="H86:H1048576">
    <cfRule type="cellIs" dxfId="2974" priority="5370" operator="lessThan">
      <formula>0</formula>
    </cfRule>
  </conditionalFormatting>
  <conditionalFormatting sqref="H86:H1048576">
    <cfRule type="cellIs" dxfId="2973" priority="5369" operator="lessThan">
      <formula>0</formula>
    </cfRule>
  </conditionalFormatting>
  <conditionalFormatting sqref="H86:H1048576">
    <cfRule type="cellIs" dxfId="2972" priority="5368" operator="lessThan">
      <formula>0</formula>
    </cfRule>
  </conditionalFormatting>
  <conditionalFormatting sqref="H86:H1048576">
    <cfRule type="cellIs" dxfId="2971" priority="5367" operator="lessThan">
      <formula>0</formula>
    </cfRule>
  </conditionalFormatting>
  <conditionalFormatting sqref="H86:H1048576">
    <cfRule type="cellIs" dxfId="2970" priority="5366" operator="lessThan">
      <formula>0</formula>
    </cfRule>
  </conditionalFormatting>
  <conditionalFormatting sqref="H86:H1048576">
    <cfRule type="cellIs" dxfId="2969" priority="5365" operator="lessThan">
      <formula>0</formula>
    </cfRule>
  </conditionalFormatting>
  <conditionalFormatting sqref="H86:H1048576">
    <cfRule type="cellIs" dxfId="2968" priority="5364" operator="lessThan">
      <formula>0</formula>
    </cfRule>
  </conditionalFormatting>
  <conditionalFormatting sqref="H86:H1048576">
    <cfRule type="cellIs" dxfId="2967" priority="5363" operator="lessThan">
      <formula>0</formula>
    </cfRule>
  </conditionalFormatting>
  <conditionalFormatting sqref="H86:H1048576">
    <cfRule type="cellIs" dxfId="2966" priority="5362" operator="lessThan">
      <formula>0</formula>
    </cfRule>
  </conditionalFormatting>
  <conditionalFormatting sqref="H86:H1048576">
    <cfRule type="cellIs" dxfId="2965" priority="5361" operator="lessThan">
      <formula>0</formula>
    </cfRule>
  </conditionalFormatting>
  <conditionalFormatting sqref="H86:H1048576">
    <cfRule type="cellIs" dxfId="2964" priority="5360" operator="lessThan">
      <formula>0</formula>
    </cfRule>
  </conditionalFormatting>
  <conditionalFormatting sqref="H86:H1048576">
    <cfRule type="cellIs" dxfId="2963" priority="5359" operator="lessThan">
      <formula>0</formula>
    </cfRule>
  </conditionalFormatting>
  <conditionalFormatting sqref="H86:H1048576">
    <cfRule type="cellIs" dxfId="2962" priority="5358" operator="lessThan">
      <formula>0</formula>
    </cfRule>
  </conditionalFormatting>
  <conditionalFormatting sqref="H86:H1048576">
    <cfRule type="cellIs" dxfId="2961" priority="5357" operator="lessThan">
      <formula>0</formula>
    </cfRule>
  </conditionalFormatting>
  <conditionalFormatting sqref="H86:H1048576">
    <cfRule type="cellIs" dxfId="2960" priority="5356" operator="lessThan">
      <formula>0</formula>
    </cfRule>
  </conditionalFormatting>
  <conditionalFormatting sqref="H86:H1048576">
    <cfRule type="cellIs" dxfId="2959" priority="5355" operator="lessThan">
      <formula>0</formula>
    </cfRule>
  </conditionalFormatting>
  <conditionalFormatting sqref="H86:H1048576">
    <cfRule type="cellIs" dxfId="2958" priority="5354" operator="lessThan">
      <formula>0</formula>
    </cfRule>
  </conditionalFormatting>
  <conditionalFormatting sqref="H86:H1048576">
    <cfRule type="cellIs" dxfId="2957" priority="5353" operator="lessThan">
      <formula>0</formula>
    </cfRule>
  </conditionalFormatting>
  <conditionalFormatting sqref="H86:H1048576">
    <cfRule type="cellIs" dxfId="2956" priority="5352" operator="lessThan">
      <formula>0</formula>
    </cfRule>
  </conditionalFormatting>
  <conditionalFormatting sqref="H86:H1048576">
    <cfRule type="cellIs" dxfId="2955" priority="5351" operator="lessThan">
      <formula>0</formula>
    </cfRule>
  </conditionalFormatting>
  <conditionalFormatting sqref="H86:H1048576">
    <cfRule type="cellIs" dxfId="2954" priority="5350" operator="lessThan">
      <formula>0</formula>
    </cfRule>
  </conditionalFormatting>
  <conditionalFormatting sqref="H86:H1048576">
    <cfRule type="cellIs" dxfId="2953" priority="5349" operator="lessThan">
      <formula>0</formula>
    </cfRule>
  </conditionalFormatting>
  <conditionalFormatting sqref="H86:H1048576">
    <cfRule type="cellIs" dxfId="2952" priority="5348" operator="lessThan">
      <formula>0</formula>
    </cfRule>
  </conditionalFormatting>
  <conditionalFormatting sqref="H86:H1048576">
    <cfRule type="cellIs" dxfId="2951" priority="5347" operator="lessThan">
      <formula>0</formula>
    </cfRule>
  </conditionalFormatting>
  <conditionalFormatting sqref="H86:H1048576">
    <cfRule type="cellIs" dxfId="2950" priority="5346" operator="lessThan">
      <formula>0</formula>
    </cfRule>
  </conditionalFormatting>
  <conditionalFormatting sqref="H86:H1048576">
    <cfRule type="cellIs" dxfId="2949" priority="5345" operator="lessThan">
      <formula>0</formula>
    </cfRule>
  </conditionalFormatting>
  <conditionalFormatting sqref="H86:H1048576">
    <cfRule type="cellIs" dxfId="2948" priority="5344" operator="lessThan">
      <formula>0</formula>
    </cfRule>
  </conditionalFormatting>
  <conditionalFormatting sqref="H86:H1048576">
    <cfRule type="cellIs" dxfId="2947" priority="5343" operator="lessThan">
      <formula>0</formula>
    </cfRule>
  </conditionalFormatting>
  <conditionalFormatting sqref="H86:H1048576">
    <cfRule type="cellIs" dxfId="2946" priority="5342" operator="lessThan">
      <formula>0</formula>
    </cfRule>
  </conditionalFormatting>
  <conditionalFormatting sqref="H86:H1048576">
    <cfRule type="cellIs" dxfId="2945" priority="5341" operator="lessThan">
      <formula>0</formula>
    </cfRule>
  </conditionalFormatting>
  <conditionalFormatting sqref="H86:H1048576">
    <cfRule type="cellIs" dxfId="2944" priority="5340" operator="lessThan">
      <formula>0</formula>
    </cfRule>
  </conditionalFormatting>
  <conditionalFormatting sqref="H86:H1048576">
    <cfRule type="cellIs" dxfId="2943" priority="5339" operator="lessThan">
      <formula>0</formula>
    </cfRule>
  </conditionalFormatting>
  <conditionalFormatting sqref="H86:H1048576">
    <cfRule type="cellIs" dxfId="2942" priority="5338" operator="lessThan">
      <formula>0</formula>
    </cfRule>
  </conditionalFormatting>
  <conditionalFormatting sqref="H86:H1048576">
    <cfRule type="cellIs" dxfId="2941" priority="5337" operator="lessThan">
      <formula>0</formula>
    </cfRule>
  </conditionalFormatting>
  <conditionalFormatting sqref="H86:H1048576">
    <cfRule type="cellIs" dxfId="2940" priority="5336" operator="lessThan">
      <formula>0</formula>
    </cfRule>
  </conditionalFormatting>
  <conditionalFormatting sqref="H86:H1048576">
    <cfRule type="cellIs" dxfId="2939" priority="5335" operator="lessThan">
      <formula>0</formula>
    </cfRule>
  </conditionalFormatting>
  <conditionalFormatting sqref="H86:H1048576">
    <cfRule type="cellIs" dxfId="2938" priority="5334" operator="lessThan">
      <formula>0</formula>
    </cfRule>
  </conditionalFormatting>
  <conditionalFormatting sqref="H86:H1048576">
    <cfRule type="cellIs" dxfId="2937" priority="5333" operator="lessThan">
      <formula>0</formula>
    </cfRule>
  </conditionalFormatting>
  <conditionalFormatting sqref="H86:H1048576">
    <cfRule type="cellIs" dxfId="2936" priority="5332" operator="lessThan">
      <formula>0</formula>
    </cfRule>
  </conditionalFormatting>
  <conditionalFormatting sqref="H86:H1048576">
    <cfRule type="cellIs" dxfId="2935" priority="5331" operator="lessThan">
      <formula>0</formula>
    </cfRule>
  </conditionalFormatting>
  <conditionalFormatting sqref="H86:H1048576">
    <cfRule type="cellIs" dxfId="2934" priority="5330" operator="lessThan">
      <formula>0</formula>
    </cfRule>
  </conditionalFormatting>
  <conditionalFormatting sqref="H86:H1048576">
    <cfRule type="cellIs" dxfId="2933" priority="5329" operator="lessThan">
      <formula>0</formula>
    </cfRule>
  </conditionalFormatting>
  <conditionalFormatting sqref="H86:H1048576">
    <cfRule type="cellIs" dxfId="2932" priority="5328" operator="lessThan">
      <formula>0</formula>
    </cfRule>
  </conditionalFormatting>
  <conditionalFormatting sqref="H86:H1048576">
    <cfRule type="cellIs" dxfId="2931" priority="5327" operator="lessThan">
      <formula>0</formula>
    </cfRule>
  </conditionalFormatting>
  <conditionalFormatting sqref="H86:H1048576">
    <cfRule type="cellIs" dxfId="2930" priority="5326" operator="lessThan">
      <formula>0</formula>
    </cfRule>
  </conditionalFormatting>
  <conditionalFormatting sqref="H86:H1048576">
    <cfRule type="cellIs" dxfId="2929" priority="5325" operator="lessThan">
      <formula>0</formula>
    </cfRule>
  </conditionalFormatting>
  <conditionalFormatting sqref="H86:H1048576">
    <cfRule type="cellIs" dxfId="2928" priority="5324" operator="lessThan">
      <formula>0</formula>
    </cfRule>
  </conditionalFormatting>
  <conditionalFormatting sqref="H86:H1048576">
    <cfRule type="cellIs" dxfId="2927" priority="5323" operator="lessThan">
      <formula>0</formula>
    </cfRule>
  </conditionalFormatting>
  <conditionalFormatting sqref="H86:H1048576">
    <cfRule type="cellIs" dxfId="2926" priority="5322" operator="lessThan">
      <formula>0</formula>
    </cfRule>
  </conditionalFormatting>
  <conditionalFormatting sqref="H86:H1048576">
    <cfRule type="cellIs" dxfId="2925" priority="5321" operator="lessThan">
      <formula>0</formula>
    </cfRule>
  </conditionalFormatting>
  <conditionalFormatting sqref="H86:H1048576">
    <cfRule type="cellIs" dxfId="2924" priority="5320" operator="lessThan">
      <formula>0</formula>
    </cfRule>
  </conditionalFormatting>
  <conditionalFormatting sqref="H86:H1048576">
    <cfRule type="cellIs" dxfId="2923" priority="5319" operator="lessThan">
      <formula>0</formula>
    </cfRule>
  </conditionalFormatting>
  <conditionalFormatting sqref="H86:H1048576">
    <cfRule type="cellIs" dxfId="2922" priority="5318" operator="lessThan">
      <formula>0</formula>
    </cfRule>
  </conditionalFormatting>
  <conditionalFormatting sqref="H86:H1048576">
    <cfRule type="cellIs" dxfId="2921" priority="5317" operator="lessThan">
      <formula>0</formula>
    </cfRule>
  </conditionalFormatting>
  <conditionalFormatting sqref="H86:H1048576">
    <cfRule type="cellIs" dxfId="2920" priority="5316" operator="lessThan">
      <formula>0</formula>
    </cfRule>
  </conditionalFormatting>
  <conditionalFormatting sqref="H86:H1048576">
    <cfRule type="cellIs" dxfId="2919" priority="5315" operator="lessThan">
      <formula>0</formula>
    </cfRule>
  </conditionalFormatting>
  <conditionalFormatting sqref="H86:H1048576">
    <cfRule type="cellIs" dxfId="2918" priority="5314" operator="lessThan">
      <formula>0</formula>
    </cfRule>
  </conditionalFormatting>
  <conditionalFormatting sqref="H86:H1048576">
    <cfRule type="cellIs" dxfId="2917" priority="5313" operator="lessThan">
      <formula>0</formula>
    </cfRule>
  </conditionalFormatting>
  <conditionalFormatting sqref="H86:H1048576">
    <cfRule type="cellIs" dxfId="2916" priority="5312" operator="lessThan">
      <formula>0</formula>
    </cfRule>
  </conditionalFormatting>
  <conditionalFormatting sqref="H86:H1048576">
    <cfRule type="cellIs" dxfId="2915" priority="5311" operator="lessThan">
      <formula>0</formula>
    </cfRule>
  </conditionalFormatting>
  <conditionalFormatting sqref="H86:H1048576">
    <cfRule type="cellIs" dxfId="2914" priority="5310" operator="lessThan">
      <formula>0</formula>
    </cfRule>
  </conditionalFormatting>
  <conditionalFormatting sqref="H86:H1048576">
    <cfRule type="cellIs" dxfId="2913" priority="5309" operator="lessThan">
      <formula>0</formula>
    </cfRule>
  </conditionalFormatting>
  <conditionalFormatting sqref="H86:H1048576">
    <cfRule type="cellIs" dxfId="2912" priority="5308" operator="lessThan">
      <formula>0</formula>
    </cfRule>
  </conditionalFormatting>
  <conditionalFormatting sqref="H86:H1048576">
    <cfRule type="cellIs" dxfId="2911" priority="5307" operator="lessThan">
      <formula>0</formula>
    </cfRule>
  </conditionalFormatting>
  <conditionalFormatting sqref="H86:H1048576">
    <cfRule type="cellIs" dxfId="2910" priority="5306" operator="lessThan">
      <formula>0</formula>
    </cfRule>
  </conditionalFormatting>
  <conditionalFormatting sqref="H86:H1048576">
    <cfRule type="cellIs" dxfId="2909" priority="5305" operator="lessThan">
      <formula>0</formula>
    </cfRule>
  </conditionalFormatting>
  <conditionalFormatting sqref="H86:H1048576">
    <cfRule type="cellIs" dxfId="2908" priority="5304" operator="lessThan">
      <formula>0</formula>
    </cfRule>
  </conditionalFormatting>
  <conditionalFormatting sqref="H86:H1048576">
    <cfRule type="cellIs" dxfId="2907" priority="5303" operator="lessThan">
      <formula>0</formula>
    </cfRule>
  </conditionalFormatting>
  <conditionalFormatting sqref="H86:H1048576">
    <cfRule type="cellIs" dxfId="2906" priority="5302" operator="lessThan">
      <formula>0</formula>
    </cfRule>
  </conditionalFormatting>
  <conditionalFormatting sqref="H86:H1048576">
    <cfRule type="cellIs" dxfId="2905" priority="5301" operator="lessThan">
      <formula>0</formula>
    </cfRule>
  </conditionalFormatting>
  <conditionalFormatting sqref="H86:H1048576">
    <cfRule type="cellIs" dxfId="2904" priority="5300" operator="lessThan">
      <formula>0</formula>
    </cfRule>
  </conditionalFormatting>
  <conditionalFormatting sqref="H86:H1048576">
    <cfRule type="cellIs" dxfId="2903" priority="5299" operator="lessThan">
      <formula>0</formula>
    </cfRule>
  </conditionalFormatting>
  <conditionalFormatting sqref="H86:H1048576">
    <cfRule type="cellIs" dxfId="2902" priority="5298" operator="lessThan">
      <formula>0</formula>
    </cfRule>
  </conditionalFormatting>
  <conditionalFormatting sqref="H86:H1048576">
    <cfRule type="cellIs" dxfId="2901" priority="5297" operator="lessThan">
      <formula>0</formula>
    </cfRule>
  </conditionalFormatting>
  <conditionalFormatting sqref="H86:H1048576">
    <cfRule type="cellIs" dxfId="2900" priority="5296" operator="lessThan">
      <formula>0</formula>
    </cfRule>
  </conditionalFormatting>
  <conditionalFormatting sqref="H86:H1048576">
    <cfRule type="cellIs" dxfId="2899" priority="5295" operator="lessThan">
      <formula>0</formula>
    </cfRule>
  </conditionalFormatting>
  <conditionalFormatting sqref="H86:H1048576">
    <cfRule type="cellIs" dxfId="2898" priority="5294" operator="lessThan">
      <formula>0</formula>
    </cfRule>
  </conditionalFormatting>
  <conditionalFormatting sqref="H86:H1048576">
    <cfRule type="cellIs" dxfId="2897" priority="5293" operator="lessThan">
      <formula>0</formula>
    </cfRule>
  </conditionalFormatting>
  <conditionalFormatting sqref="H86:H1048576">
    <cfRule type="cellIs" dxfId="2896" priority="5292" operator="lessThan">
      <formula>0</formula>
    </cfRule>
  </conditionalFormatting>
  <conditionalFormatting sqref="H86:H1048576">
    <cfRule type="cellIs" dxfId="2895" priority="5291" operator="lessThan">
      <formula>0</formula>
    </cfRule>
  </conditionalFormatting>
  <conditionalFormatting sqref="H86:H1048576">
    <cfRule type="cellIs" dxfId="2894" priority="5290" operator="lessThan">
      <formula>0</formula>
    </cfRule>
  </conditionalFormatting>
  <conditionalFormatting sqref="H86:H1048576">
    <cfRule type="cellIs" dxfId="2893" priority="5289" operator="lessThan">
      <formula>0</formula>
    </cfRule>
  </conditionalFormatting>
  <conditionalFormatting sqref="H86:H1048576">
    <cfRule type="cellIs" dxfId="2892" priority="5288" operator="lessThan">
      <formula>0</formula>
    </cfRule>
  </conditionalFormatting>
  <conditionalFormatting sqref="H86:H1048576">
    <cfRule type="cellIs" dxfId="2891" priority="5287" operator="lessThan">
      <formula>0</formula>
    </cfRule>
  </conditionalFormatting>
  <conditionalFormatting sqref="H86:H1048576">
    <cfRule type="cellIs" dxfId="2890" priority="5286" operator="lessThan">
      <formula>0</formula>
    </cfRule>
  </conditionalFormatting>
  <conditionalFormatting sqref="H86:H1048576">
    <cfRule type="cellIs" dxfId="2889" priority="5285" operator="lessThan">
      <formula>0</formula>
    </cfRule>
  </conditionalFormatting>
  <conditionalFormatting sqref="H86:H1048576">
    <cfRule type="cellIs" dxfId="2888" priority="5284" operator="lessThan">
      <formula>0</formula>
    </cfRule>
  </conditionalFormatting>
  <conditionalFormatting sqref="H86:H1048576">
    <cfRule type="cellIs" dxfId="2887" priority="5283" operator="lessThan">
      <formula>0</formula>
    </cfRule>
  </conditionalFormatting>
  <conditionalFormatting sqref="H86:H1048576">
    <cfRule type="cellIs" dxfId="2886" priority="5282" operator="lessThan">
      <formula>0</formula>
    </cfRule>
  </conditionalFormatting>
  <conditionalFormatting sqref="H86:H1048576">
    <cfRule type="cellIs" dxfId="2885" priority="5281" operator="lessThan">
      <formula>0</formula>
    </cfRule>
  </conditionalFormatting>
  <conditionalFormatting sqref="H86:H1048576">
    <cfRule type="cellIs" dxfId="2884" priority="5280" operator="lessThan">
      <formula>0</formula>
    </cfRule>
  </conditionalFormatting>
  <conditionalFormatting sqref="H86:H1048576">
    <cfRule type="cellIs" dxfId="2883" priority="5279" operator="lessThan">
      <formula>0</formula>
    </cfRule>
  </conditionalFormatting>
  <conditionalFormatting sqref="H86:H1048576">
    <cfRule type="cellIs" dxfId="2882" priority="5278" operator="lessThan">
      <formula>0</formula>
    </cfRule>
  </conditionalFormatting>
  <conditionalFormatting sqref="H86:H1048576">
    <cfRule type="cellIs" dxfId="2881" priority="5277" operator="lessThan">
      <formula>0</formula>
    </cfRule>
  </conditionalFormatting>
  <conditionalFormatting sqref="H86:H1048576">
    <cfRule type="cellIs" dxfId="2880" priority="5276" operator="lessThan">
      <formula>0</formula>
    </cfRule>
  </conditionalFormatting>
  <conditionalFormatting sqref="H86:H1048576">
    <cfRule type="cellIs" dxfId="2879" priority="5275" operator="lessThan">
      <formula>0</formula>
    </cfRule>
  </conditionalFormatting>
  <conditionalFormatting sqref="H86:H1048576">
    <cfRule type="cellIs" dxfId="2878" priority="5274" operator="lessThan">
      <formula>0</formula>
    </cfRule>
  </conditionalFormatting>
  <conditionalFormatting sqref="H86:H1048576">
    <cfRule type="cellIs" dxfId="2877" priority="5273" operator="lessThan">
      <formula>0</formula>
    </cfRule>
  </conditionalFormatting>
  <conditionalFormatting sqref="H86:H1048576">
    <cfRule type="cellIs" dxfId="2876" priority="5272" operator="lessThan">
      <formula>0</formula>
    </cfRule>
  </conditionalFormatting>
  <conditionalFormatting sqref="H86:H1048576">
    <cfRule type="cellIs" dxfId="2875" priority="5271" operator="lessThan">
      <formula>0</formula>
    </cfRule>
  </conditionalFormatting>
  <conditionalFormatting sqref="H86:H1048576">
    <cfRule type="cellIs" dxfId="2874" priority="5270" operator="lessThan">
      <formula>0</formula>
    </cfRule>
  </conditionalFormatting>
  <conditionalFormatting sqref="H86:H1048576">
    <cfRule type="cellIs" dxfId="2873" priority="5269" operator="lessThan">
      <formula>0</formula>
    </cfRule>
  </conditionalFormatting>
  <conditionalFormatting sqref="H86:H1048576">
    <cfRule type="cellIs" dxfId="2872" priority="5268" operator="lessThan">
      <formula>0</formula>
    </cfRule>
  </conditionalFormatting>
  <conditionalFormatting sqref="H86:H1048576">
    <cfRule type="cellIs" dxfId="2871" priority="5267" operator="lessThan">
      <formula>0</formula>
    </cfRule>
  </conditionalFormatting>
  <conditionalFormatting sqref="H86:H1048576">
    <cfRule type="cellIs" dxfId="2870" priority="5266" operator="lessThan">
      <formula>0</formula>
    </cfRule>
  </conditionalFormatting>
  <conditionalFormatting sqref="H86:H1048576">
    <cfRule type="cellIs" dxfId="2869" priority="5265" operator="lessThan">
      <formula>0</formula>
    </cfRule>
  </conditionalFormatting>
  <conditionalFormatting sqref="H86:H1048576">
    <cfRule type="cellIs" dxfId="2868" priority="5264" operator="lessThan">
      <formula>0</formula>
    </cfRule>
  </conditionalFormatting>
  <conditionalFormatting sqref="H86:H1048576">
    <cfRule type="cellIs" dxfId="2867" priority="5263" operator="lessThan">
      <formula>0</formula>
    </cfRule>
  </conditionalFormatting>
  <conditionalFormatting sqref="H86:H1048576">
    <cfRule type="cellIs" dxfId="2866" priority="5262" operator="lessThan">
      <formula>0</formula>
    </cfRule>
  </conditionalFormatting>
  <conditionalFormatting sqref="H86:H1048576">
    <cfRule type="cellIs" dxfId="2865" priority="5261" operator="lessThan">
      <formula>0</formula>
    </cfRule>
  </conditionalFormatting>
  <conditionalFormatting sqref="H86:H1048576">
    <cfRule type="cellIs" dxfId="2864" priority="5260" operator="lessThan">
      <formula>0</formula>
    </cfRule>
  </conditionalFormatting>
  <conditionalFormatting sqref="H86:H1048576">
    <cfRule type="cellIs" dxfId="2863" priority="5259" operator="lessThan">
      <formula>0</formula>
    </cfRule>
  </conditionalFormatting>
  <conditionalFormatting sqref="H86:H1048576">
    <cfRule type="cellIs" dxfId="2862" priority="5258" operator="lessThan">
      <formula>0</formula>
    </cfRule>
  </conditionalFormatting>
  <conditionalFormatting sqref="H86:H1048576">
    <cfRule type="cellIs" dxfId="2861" priority="5257" operator="lessThan">
      <formula>0</formula>
    </cfRule>
  </conditionalFormatting>
  <conditionalFormatting sqref="H86:H1048576">
    <cfRule type="cellIs" dxfId="2860" priority="5256" operator="lessThan">
      <formula>0</formula>
    </cfRule>
  </conditionalFormatting>
  <conditionalFormatting sqref="H86:H1048576">
    <cfRule type="cellIs" dxfId="2859" priority="5255" operator="lessThan">
      <formula>0</formula>
    </cfRule>
  </conditionalFormatting>
  <conditionalFormatting sqref="H86:H1048576">
    <cfRule type="cellIs" dxfId="2858" priority="5254" operator="lessThan">
      <formula>0</formula>
    </cfRule>
  </conditionalFormatting>
  <conditionalFormatting sqref="H86:H1048576">
    <cfRule type="cellIs" dxfId="2857" priority="5253" operator="lessThan">
      <formula>0</formula>
    </cfRule>
  </conditionalFormatting>
  <conditionalFormatting sqref="H86:H1048576">
    <cfRule type="cellIs" dxfId="2856" priority="5252" operator="lessThan">
      <formula>0</formula>
    </cfRule>
  </conditionalFormatting>
  <conditionalFormatting sqref="H86:H1048576">
    <cfRule type="cellIs" dxfId="2855" priority="5251" operator="lessThan">
      <formula>0</formula>
    </cfRule>
  </conditionalFormatting>
  <conditionalFormatting sqref="H86:H1048576">
    <cfRule type="cellIs" dxfId="2854" priority="5250" operator="lessThan">
      <formula>0</formula>
    </cfRule>
  </conditionalFormatting>
  <conditionalFormatting sqref="H86:H1048576">
    <cfRule type="cellIs" dxfId="2853" priority="5249" operator="lessThan">
      <formula>0</formula>
    </cfRule>
  </conditionalFormatting>
  <conditionalFormatting sqref="H86:H1048576">
    <cfRule type="cellIs" dxfId="2852" priority="5248" operator="lessThan">
      <formula>0</formula>
    </cfRule>
  </conditionalFormatting>
  <conditionalFormatting sqref="H86:H1048576">
    <cfRule type="cellIs" dxfId="2851" priority="5247" operator="lessThan">
      <formula>0</formula>
    </cfRule>
  </conditionalFormatting>
  <conditionalFormatting sqref="H86:H1048576">
    <cfRule type="cellIs" dxfId="2850" priority="5246" operator="lessThan">
      <formula>0</formula>
    </cfRule>
  </conditionalFormatting>
  <conditionalFormatting sqref="H86:H1048576">
    <cfRule type="cellIs" dxfId="2849" priority="5245" operator="lessThan">
      <formula>0</formula>
    </cfRule>
  </conditionalFormatting>
  <conditionalFormatting sqref="H86:H1048576">
    <cfRule type="cellIs" dxfId="2848" priority="5244" operator="lessThan">
      <formula>0</formula>
    </cfRule>
  </conditionalFormatting>
  <conditionalFormatting sqref="H86:H1048576">
    <cfRule type="cellIs" dxfId="2847" priority="5243" operator="lessThan">
      <formula>0</formula>
    </cfRule>
  </conditionalFormatting>
  <conditionalFormatting sqref="H86:H1048576">
    <cfRule type="cellIs" dxfId="2846" priority="5242" operator="lessThan">
      <formula>0</formula>
    </cfRule>
  </conditionalFormatting>
  <conditionalFormatting sqref="H86:H1048576">
    <cfRule type="cellIs" dxfId="2845" priority="5241" operator="lessThan">
      <formula>0</formula>
    </cfRule>
  </conditionalFormatting>
  <conditionalFormatting sqref="H86:H1048576">
    <cfRule type="cellIs" dxfId="2844" priority="5240" operator="lessThan">
      <formula>0</formula>
    </cfRule>
  </conditionalFormatting>
  <conditionalFormatting sqref="H86:H1048576">
    <cfRule type="cellIs" dxfId="2843" priority="5239" operator="lessThan">
      <formula>0</formula>
    </cfRule>
  </conditionalFormatting>
  <conditionalFormatting sqref="H86:H1048576">
    <cfRule type="cellIs" dxfId="2842" priority="5238" operator="lessThan">
      <formula>0</formula>
    </cfRule>
  </conditionalFormatting>
  <conditionalFormatting sqref="H86:H1048576">
    <cfRule type="cellIs" dxfId="2841" priority="5237" operator="lessThan">
      <formula>0</formula>
    </cfRule>
  </conditionalFormatting>
  <conditionalFormatting sqref="H86:H1048576">
    <cfRule type="cellIs" dxfId="2840" priority="5236" operator="lessThan">
      <formula>0</formula>
    </cfRule>
  </conditionalFormatting>
  <conditionalFormatting sqref="H86:H1048576">
    <cfRule type="cellIs" dxfId="2839" priority="5235" operator="lessThan">
      <formula>0</formula>
    </cfRule>
  </conditionalFormatting>
  <conditionalFormatting sqref="H86:H1048576">
    <cfRule type="cellIs" dxfId="2838" priority="5234" operator="lessThan">
      <formula>0</formula>
    </cfRule>
  </conditionalFormatting>
  <conditionalFormatting sqref="H86:H1048576">
    <cfRule type="cellIs" dxfId="2837" priority="5233" operator="lessThan">
      <formula>0</formula>
    </cfRule>
  </conditionalFormatting>
  <conditionalFormatting sqref="H86:H1048576">
    <cfRule type="cellIs" dxfId="2836" priority="5232" operator="lessThan">
      <formula>0</formula>
    </cfRule>
  </conditionalFormatting>
  <conditionalFormatting sqref="H86:H1048576">
    <cfRule type="cellIs" dxfId="2835" priority="5231" operator="lessThan">
      <formula>0</formula>
    </cfRule>
  </conditionalFormatting>
  <conditionalFormatting sqref="H86:H1048576">
    <cfRule type="cellIs" dxfId="2834" priority="5230" operator="lessThan">
      <formula>0</formula>
    </cfRule>
  </conditionalFormatting>
  <conditionalFormatting sqref="H86:H1048576">
    <cfRule type="cellIs" dxfId="2833" priority="5229" operator="lessThan">
      <formula>0</formula>
    </cfRule>
  </conditionalFormatting>
  <conditionalFormatting sqref="H86:H1048576">
    <cfRule type="cellIs" dxfId="2832" priority="5228" operator="lessThan">
      <formula>0</formula>
    </cfRule>
  </conditionalFormatting>
  <conditionalFormatting sqref="H86:H1048576">
    <cfRule type="cellIs" dxfId="2831" priority="5227" operator="lessThan">
      <formula>0</formula>
    </cfRule>
  </conditionalFormatting>
  <conditionalFormatting sqref="H86:H1048576">
    <cfRule type="cellIs" dxfId="2830" priority="5226" operator="lessThan">
      <formula>0</formula>
    </cfRule>
  </conditionalFormatting>
  <conditionalFormatting sqref="H86:H1048576">
    <cfRule type="cellIs" dxfId="2829" priority="5225" operator="lessThan">
      <formula>0</formula>
    </cfRule>
  </conditionalFormatting>
  <conditionalFormatting sqref="H86:H1048576">
    <cfRule type="cellIs" dxfId="2828" priority="5224" operator="lessThan">
      <formula>0</formula>
    </cfRule>
  </conditionalFormatting>
  <conditionalFormatting sqref="H86:H1048576">
    <cfRule type="cellIs" dxfId="2827" priority="5223" operator="lessThan">
      <formula>0</formula>
    </cfRule>
  </conditionalFormatting>
  <conditionalFormatting sqref="H86:H1048576">
    <cfRule type="cellIs" dxfId="2826" priority="5222" operator="lessThan">
      <formula>0</formula>
    </cfRule>
  </conditionalFormatting>
  <conditionalFormatting sqref="H86:H1048576">
    <cfRule type="cellIs" dxfId="2825" priority="5221" operator="lessThan">
      <formula>0</formula>
    </cfRule>
  </conditionalFormatting>
  <conditionalFormatting sqref="H86:H1048576">
    <cfRule type="cellIs" dxfId="2824" priority="5220" operator="lessThan">
      <formula>0</formula>
    </cfRule>
  </conditionalFormatting>
  <conditionalFormatting sqref="H86:H1048576">
    <cfRule type="cellIs" dxfId="2823" priority="5219" operator="lessThan">
      <formula>0</formula>
    </cfRule>
  </conditionalFormatting>
  <conditionalFormatting sqref="H86:H1048576">
    <cfRule type="cellIs" dxfId="2822" priority="5218" operator="lessThan">
      <formula>0</formula>
    </cfRule>
  </conditionalFormatting>
  <conditionalFormatting sqref="H86:H1048576">
    <cfRule type="cellIs" dxfId="2821" priority="5217" operator="lessThan">
      <formula>0</formula>
    </cfRule>
  </conditionalFormatting>
  <conditionalFormatting sqref="H86:H1048576">
    <cfRule type="cellIs" dxfId="2820" priority="5216" operator="lessThan">
      <formula>0</formula>
    </cfRule>
  </conditionalFormatting>
  <conditionalFormatting sqref="H86:H1048576">
    <cfRule type="cellIs" dxfId="2819" priority="5215" operator="lessThan">
      <formula>0</formula>
    </cfRule>
  </conditionalFormatting>
  <conditionalFormatting sqref="H86:H1048576">
    <cfRule type="cellIs" dxfId="2818" priority="5214" operator="lessThan">
      <formula>0</formula>
    </cfRule>
  </conditionalFormatting>
  <conditionalFormatting sqref="H86:H1048576">
    <cfRule type="cellIs" dxfId="2817" priority="5213" operator="lessThan">
      <formula>0</formula>
    </cfRule>
  </conditionalFormatting>
  <conditionalFormatting sqref="H86:H1048576">
    <cfRule type="cellIs" dxfId="2816" priority="5212" operator="lessThan">
      <formula>0</formula>
    </cfRule>
  </conditionalFormatting>
  <conditionalFormatting sqref="H86:H1048576">
    <cfRule type="cellIs" dxfId="2815" priority="5211" operator="lessThan">
      <formula>0</formula>
    </cfRule>
  </conditionalFormatting>
  <conditionalFormatting sqref="H86:H1048576">
    <cfRule type="cellIs" dxfId="2814" priority="5210" operator="lessThan">
      <formula>0</formula>
    </cfRule>
  </conditionalFormatting>
  <conditionalFormatting sqref="H86:H1048576">
    <cfRule type="cellIs" dxfId="2813" priority="5209" operator="lessThan">
      <formula>0</formula>
    </cfRule>
  </conditionalFormatting>
  <conditionalFormatting sqref="H86:H1048576">
    <cfRule type="cellIs" dxfId="2812" priority="5208" operator="lessThan">
      <formula>0</formula>
    </cfRule>
  </conditionalFormatting>
  <conditionalFormatting sqref="H86:H1048576">
    <cfRule type="cellIs" dxfId="2811" priority="5207" operator="lessThan">
      <formula>0</formula>
    </cfRule>
  </conditionalFormatting>
  <conditionalFormatting sqref="H86:H1048576">
    <cfRule type="cellIs" dxfId="2810" priority="5206" operator="lessThan">
      <formula>0</formula>
    </cfRule>
  </conditionalFormatting>
  <conditionalFormatting sqref="H86:H1048576">
    <cfRule type="cellIs" dxfId="2809" priority="5205" operator="lessThan">
      <formula>0</formula>
    </cfRule>
  </conditionalFormatting>
  <conditionalFormatting sqref="H86:H1048576">
    <cfRule type="cellIs" dxfId="2808" priority="5204" operator="lessThan">
      <formula>0</formula>
    </cfRule>
  </conditionalFormatting>
  <conditionalFormatting sqref="H86:H1048576">
    <cfRule type="cellIs" dxfId="2807" priority="5203" operator="lessThan">
      <formula>0</formula>
    </cfRule>
  </conditionalFormatting>
  <conditionalFormatting sqref="H86:H1048576">
    <cfRule type="cellIs" dxfId="2806" priority="5202" operator="lessThan">
      <formula>0</formula>
    </cfRule>
  </conditionalFormatting>
  <conditionalFormatting sqref="H86:H1048576">
    <cfRule type="cellIs" dxfId="2805" priority="5201" operator="lessThan">
      <formula>0</formula>
    </cfRule>
  </conditionalFormatting>
  <conditionalFormatting sqref="H86:H1048576">
    <cfRule type="cellIs" dxfId="2804" priority="5200" operator="lessThan">
      <formula>0</formula>
    </cfRule>
  </conditionalFormatting>
  <conditionalFormatting sqref="H86:H1048576">
    <cfRule type="cellIs" dxfId="2803" priority="5199" operator="lessThan">
      <formula>0</formula>
    </cfRule>
  </conditionalFormatting>
  <conditionalFormatting sqref="H86:H1048576">
    <cfRule type="cellIs" dxfId="2802" priority="5198" operator="lessThan">
      <formula>0</formula>
    </cfRule>
  </conditionalFormatting>
  <conditionalFormatting sqref="H86:H1048576">
    <cfRule type="cellIs" dxfId="2801" priority="5197" operator="lessThan">
      <formula>0</formula>
    </cfRule>
  </conditionalFormatting>
  <conditionalFormatting sqref="H86:H1048576">
    <cfRule type="cellIs" dxfId="2800" priority="5196" operator="lessThan">
      <formula>0</formula>
    </cfRule>
  </conditionalFormatting>
  <conditionalFormatting sqref="H10:H1048576">
    <cfRule type="cellIs" dxfId="2799" priority="5195" operator="lessThan">
      <formula>0</formula>
    </cfRule>
  </conditionalFormatting>
  <conditionalFormatting sqref="H10:H1048576">
    <cfRule type="cellIs" dxfId="2798" priority="5194" operator="lessThan">
      <formula>0</formula>
    </cfRule>
  </conditionalFormatting>
  <conditionalFormatting sqref="H10:H1048576">
    <cfRule type="cellIs" dxfId="2797" priority="5193" operator="lessThan">
      <formula>0</formula>
    </cfRule>
  </conditionalFormatting>
  <conditionalFormatting sqref="H10:H1048576">
    <cfRule type="cellIs" dxfId="2796" priority="5192" operator="lessThan">
      <formula>0</formula>
    </cfRule>
  </conditionalFormatting>
  <conditionalFormatting sqref="H10:H1048576">
    <cfRule type="cellIs" dxfId="2795" priority="5191" operator="lessThan">
      <formula>0</formula>
    </cfRule>
  </conditionalFormatting>
  <conditionalFormatting sqref="H10:H1048576">
    <cfRule type="cellIs" dxfId="2794" priority="5190" operator="lessThan">
      <formula>0</formula>
    </cfRule>
  </conditionalFormatting>
  <conditionalFormatting sqref="H10:H1048576">
    <cfRule type="cellIs" dxfId="2793" priority="5189" operator="lessThan">
      <formula>0</formula>
    </cfRule>
  </conditionalFormatting>
  <conditionalFormatting sqref="H10:H1048576">
    <cfRule type="cellIs" dxfId="2792" priority="5188" operator="lessThan">
      <formula>0</formula>
    </cfRule>
  </conditionalFormatting>
  <conditionalFormatting sqref="H10:H1048576">
    <cfRule type="cellIs" dxfId="2791" priority="5187" operator="lessThan">
      <formula>0</formula>
    </cfRule>
  </conditionalFormatting>
  <conditionalFormatting sqref="H10:H1048576">
    <cfRule type="cellIs" dxfId="2790" priority="5186" operator="lessThan">
      <formula>0</formula>
    </cfRule>
  </conditionalFormatting>
  <conditionalFormatting sqref="H10:H1048576">
    <cfRule type="cellIs" dxfId="2789" priority="5185" operator="lessThan">
      <formula>0</formula>
    </cfRule>
  </conditionalFormatting>
  <conditionalFormatting sqref="H10:H1048576">
    <cfRule type="cellIs" dxfId="2788" priority="5184" operator="lessThan">
      <formula>0</formula>
    </cfRule>
  </conditionalFormatting>
  <conditionalFormatting sqref="H10:H1048576">
    <cfRule type="cellIs" dxfId="2787" priority="5183" operator="lessThan">
      <formula>0</formula>
    </cfRule>
  </conditionalFormatting>
  <conditionalFormatting sqref="H10:H1048576">
    <cfRule type="cellIs" dxfId="2786" priority="5182" operator="lessThan">
      <formula>0</formula>
    </cfRule>
  </conditionalFormatting>
  <conditionalFormatting sqref="H10:H1048576">
    <cfRule type="cellIs" dxfId="2785" priority="5181" operator="lessThan">
      <formula>0</formula>
    </cfRule>
  </conditionalFormatting>
  <conditionalFormatting sqref="H10:H1048576">
    <cfRule type="cellIs" dxfId="2784" priority="5180" operator="lessThan">
      <formula>0</formula>
    </cfRule>
  </conditionalFormatting>
  <conditionalFormatting sqref="H10:H1048576">
    <cfRule type="cellIs" dxfId="2783" priority="5179" operator="lessThan">
      <formula>0</formula>
    </cfRule>
  </conditionalFormatting>
  <conditionalFormatting sqref="H10:H1048576">
    <cfRule type="cellIs" dxfId="2782" priority="5178" operator="lessThan">
      <formula>0</formula>
    </cfRule>
  </conditionalFormatting>
  <conditionalFormatting sqref="H10:H1048576">
    <cfRule type="cellIs" dxfId="2781" priority="5177" operator="lessThan">
      <formula>0</formula>
    </cfRule>
  </conditionalFormatting>
  <conditionalFormatting sqref="H10:H1048576">
    <cfRule type="cellIs" dxfId="2780" priority="5176" operator="lessThan">
      <formula>0</formula>
    </cfRule>
  </conditionalFormatting>
  <conditionalFormatting sqref="H10:H1048576">
    <cfRule type="cellIs" dxfId="2779" priority="5175" operator="lessThan">
      <formula>0</formula>
    </cfRule>
  </conditionalFormatting>
  <conditionalFormatting sqref="H10:H1048576">
    <cfRule type="cellIs" dxfId="2778" priority="5174" operator="lessThan">
      <formula>0</formula>
    </cfRule>
  </conditionalFormatting>
  <conditionalFormatting sqref="H10:H1048576">
    <cfRule type="cellIs" dxfId="2777" priority="5173" operator="lessThan">
      <formula>0</formula>
    </cfRule>
  </conditionalFormatting>
  <conditionalFormatting sqref="H10:H1048576">
    <cfRule type="cellIs" dxfId="2776" priority="5172" operator="lessThan">
      <formula>0</formula>
    </cfRule>
  </conditionalFormatting>
  <conditionalFormatting sqref="H10:H1048576">
    <cfRule type="cellIs" dxfId="2775" priority="5171" operator="lessThan">
      <formula>0</formula>
    </cfRule>
  </conditionalFormatting>
  <conditionalFormatting sqref="H10:H1048576">
    <cfRule type="cellIs" dxfId="2774" priority="5170" operator="lessThan">
      <formula>0</formula>
    </cfRule>
  </conditionalFormatting>
  <conditionalFormatting sqref="H10:H1048576">
    <cfRule type="cellIs" dxfId="2773" priority="5169" operator="lessThan">
      <formula>0</formula>
    </cfRule>
  </conditionalFormatting>
  <conditionalFormatting sqref="H10:H1048576">
    <cfRule type="cellIs" dxfId="2772" priority="5168" operator="lessThan">
      <formula>0</formula>
    </cfRule>
  </conditionalFormatting>
  <conditionalFormatting sqref="H10:H1048576">
    <cfRule type="cellIs" dxfId="2771" priority="5167" operator="lessThan">
      <formula>0</formula>
    </cfRule>
  </conditionalFormatting>
  <conditionalFormatting sqref="H10:H1048576">
    <cfRule type="cellIs" dxfId="2770" priority="5166" operator="lessThan">
      <formula>0</formula>
    </cfRule>
  </conditionalFormatting>
  <conditionalFormatting sqref="H10:H1048576">
    <cfRule type="cellIs" dxfId="2769" priority="5165" operator="lessThan">
      <formula>0</formula>
    </cfRule>
  </conditionalFormatting>
  <conditionalFormatting sqref="H10:H1048576">
    <cfRule type="cellIs" dxfId="2768" priority="5164" operator="lessThan">
      <formula>0</formula>
    </cfRule>
  </conditionalFormatting>
  <conditionalFormatting sqref="H10:H1048576">
    <cfRule type="cellIs" dxfId="2767" priority="5163" operator="lessThan">
      <formula>0</formula>
    </cfRule>
  </conditionalFormatting>
  <conditionalFormatting sqref="H10:H1048576">
    <cfRule type="cellIs" dxfId="2766" priority="5162" operator="lessThan">
      <formula>0</formula>
    </cfRule>
  </conditionalFormatting>
  <conditionalFormatting sqref="H10:H1048576">
    <cfRule type="cellIs" dxfId="2765" priority="5161" operator="lessThan">
      <formula>0</formula>
    </cfRule>
  </conditionalFormatting>
  <conditionalFormatting sqref="H10:H1048576">
    <cfRule type="cellIs" dxfId="2764" priority="5160" operator="lessThan">
      <formula>0</formula>
    </cfRule>
  </conditionalFormatting>
  <conditionalFormatting sqref="H10:H1048576">
    <cfRule type="cellIs" dxfId="2763" priority="5159" operator="lessThan">
      <formula>0</formula>
    </cfRule>
  </conditionalFormatting>
  <conditionalFormatting sqref="H10:H1048576">
    <cfRule type="cellIs" dxfId="2762" priority="5158" operator="lessThan">
      <formula>0</formula>
    </cfRule>
  </conditionalFormatting>
  <conditionalFormatting sqref="H10:H1048576">
    <cfRule type="cellIs" dxfId="2761" priority="5157" operator="lessThan">
      <formula>0</formula>
    </cfRule>
  </conditionalFormatting>
  <conditionalFormatting sqref="H10:H1048576">
    <cfRule type="cellIs" dxfId="2760" priority="5156" operator="lessThan">
      <formula>0</formula>
    </cfRule>
  </conditionalFormatting>
  <conditionalFormatting sqref="H10:H1048576">
    <cfRule type="cellIs" dxfId="2759" priority="5155" operator="lessThan">
      <formula>0</formula>
    </cfRule>
  </conditionalFormatting>
  <conditionalFormatting sqref="H10:H1048576">
    <cfRule type="cellIs" dxfId="2758" priority="5154" operator="lessThan">
      <formula>0</formula>
    </cfRule>
  </conditionalFormatting>
  <conditionalFormatting sqref="H10:H1048576">
    <cfRule type="cellIs" dxfId="2757" priority="5153" operator="lessThan">
      <formula>0</formula>
    </cfRule>
  </conditionalFormatting>
  <conditionalFormatting sqref="H10:H1048576">
    <cfRule type="cellIs" dxfId="2756" priority="5152" operator="lessThan">
      <formula>0</formula>
    </cfRule>
  </conditionalFormatting>
  <conditionalFormatting sqref="H10:H1048576">
    <cfRule type="cellIs" dxfId="2755" priority="5151" operator="lessThan">
      <formula>0</formula>
    </cfRule>
  </conditionalFormatting>
  <conditionalFormatting sqref="H10:H1048576">
    <cfRule type="cellIs" dxfId="2754" priority="5150" operator="lessThan">
      <formula>0</formula>
    </cfRule>
  </conditionalFormatting>
  <conditionalFormatting sqref="H10:H1048576">
    <cfRule type="cellIs" dxfId="2753" priority="5149" operator="lessThan">
      <formula>0</formula>
    </cfRule>
  </conditionalFormatting>
  <conditionalFormatting sqref="H10:H1048576">
    <cfRule type="cellIs" dxfId="2752" priority="5148" operator="lessThan">
      <formula>0</formula>
    </cfRule>
  </conditionalFormatting>
  <conditionalFormatting sqref="H10:H1048576">
    <cfRule type="cellIs" dxfId="2751" priority="5147" operator="lessThan">
      <formula>0</formula>
    </cfRule>
  </conditionalFormatting>
  <conditionalFormatting sqref="H10:H1048576">
    <cfRule type="cellIs" dxfId="2750" priority="5146" operator="lessThan">
      <formula>0</formula>
    </cfRule>
  </conditionalFormatting>
  <conditionalFormatting sqref="H10:H1048576">
    <cfRule type="cellIs" dxfId="2749" priority="5145" operator="lessThan">
      <formula>0</formula>
    </cfRule>
  </conditionalFormatting>
  <conditionalFormatting sqref="H10:H1048576">
    <cfRule type="cellIs" dxfId="2748" priority="5144" operator="lessThan">
      <formula>0</formula>
    </cfRule>
  </conditionalFormatting>
  <conditionalFormatting sqref="H10:H1048576">
    <cfRule type="cellIs" dxfId="2747" priority="5143" operator="lessThan">
      <formula>0</formula>
    </cfRule>
  </conditionalFormatting>
  <conditionalFormatting sqref="H10:H1048576">
    <cfRule type="cellIs" dxfId="2746" priority="5142" operator="lessThan">
      <formula>0</formula>
    </cfRule>
  </conditionalFormatting>
  <conditionalFormatting sqref="H10:H1048576">
    <cfRule type="cellIs" dxfId="2745" priority="5141" operator="lessThan">
      <formula>0</formula>
    </cfRule>
  </conditionalFormatting>
  <conditionalFormatting sqref="H10:H1048576">
    <cfRule type="cellIs" dxfId="2744" priority="5140" operator="lessThan">
      <formula>0</formula>
    </cfRule>
  </conditionalFormatting>
  <conditionalFormatting sqref="H10:H1048576">
    <cfRule type="cellIs" dxfId="2743" priority="5139" operator="lessThan">
      <formula>0</formula>
    </cfRule>
  </conditionalFormatting>
  <conditionalFormatting sqref="H10:H1048576">
    <cfRule type="cellIs" dxfId="2742" priority="5138" operator="lessThan">
      <formula>0</formula>
    </cfRule>
  </conditionalFormatting>
  <conditionalFormatting sqref="H10:H1048576">
    <cfRule type="cellIs" dxfId="2741" priority="5137" operator="lessThan">
      <formula>0</formula>
    </cfRule>
  </conditionalFormatting>
  <conditionalFormatting sqref="H10:H1048576">
    <cfRule type="cellIs" dxfId="2740" priority="5136" operator="lessThan">
      <formula>0</formula>
    </cfRule>
  </conditionalFormatting>
  <conditionalFormatting sqref="H10:H1048576">
    <cfRule type="cellIs" dxfId="2739" priority="5135" operator="lessThan">
      <formula>0</formula>
    </cfRule>
  </conditionalFormatting>
  <conditionalFormatting sqref="H10:H1048576">
    <cfRule type="cellIs" dxfId="2738" priority="5134" operator="lessThan">
      <formula>0</formula>
    </cfRule>
  </conditionalFormatting>
  <conditionalFormatting sqref="H10:H1048576">
    <cfRule type="cellIs" dxfId="2737" priority="5133" operator="lessThan">
      <formula>0</formula>
    </cfRule>
  </conditionalFormatting>
  <conditionalFormatting sqref="H10:H1048576">
    <cfRule type="cellIs" dxfId="2736" priority="5132" operator="lessThan">
      <formula>0</formula>
    </cfRule>
  </conditionalFormatting>
  <conditionalFormatting sqref="H10:H1048576">
    <cfRule type="cellIs" dxfId="2735" priority="5131" operator="lessThan">
      <formula>0</formula>
    </cfRule>
  </conditionalFormatting>
  <conditionalFormatting sqref="H10:H1048576">
    <cfRule type="cellIs" dxfId="2734" priority="5130" operator="lessThan">
      <formula>0</formula>
    </cfRule>
  </conditionalFormatting>
  <conditionalFormatting sqref="H10:H1048576">
    <cfRule type="cellIs" dxfId="2733" priority="5129" operator="lessThan">
      <formula>0</formula>
    </cfRule>
  </conditionalFormatting>
  <conditionalFormatting sqref="H10:H1048576">
    <cfRule type="cellIs" dxfId="2732" priority="5128" operator="lessThan">
      <formula>0</formula>
    </cfRule>
  </conditionalFormatting>
  <conditionalFormatting sqref="H10:H1048576">
    <cfRule type="cellIs" dxfId="2731" priority="5127" operator="lessThan">
      <formula>0</formula>
    </cfRule>
  </conditionalFormatting>
  <conditionalFormatting sqref="H10:H1048576">
    <cfRule type="cellIs" dxfId="2730" priority="5126" operator="lessThan">
      <formula>0</formula>
    </cfRule>
  </conditionalFormatting>
  <conditionalFormatting sqref="H10:H1048576">
    <cfRule type="cellIs" dxfId="2729" priority="5125" operator="lessThan">
      <formula>0</formula>
    </cfRule>
  </conditionalFormatting>
  <conditionalFormatting sqref="H10:H1048576">
    <cfRule type="cellIs" dxfId="2728" priority="5124" operator="lessThan">
      <formula>0</formula>
    </cfRule>
  </conditionalFormatting>
  <conditionalFormatting sqref="H10:H1048576">
    <cfRule type="cellIs" dxfId="2727" priority="5123" operator="lessThan">
      <formula>0</formula>
    </cfRule>
  </conditionalFormatting>
  <conditionalFormatting sqref="H10:H1048576">
    <cfRule type="cellIs" dxfId="2726" priority="5122" operator="lessThan">
      <formula>0</formula>
    </cfRule>
  </conditionalFormatting>
  <conditionalFormatting sqref="H10:H1048576">
    <cfRule type="cellIs" dxfId="2725" priority="5121" operator="lessThan">
      <formula>0</formula>
    </cfRule>
  </conditionalFormatting>
  <conditionalFormatting sqref="H10:H1048576">
    <cfRule type="cellIs" dxfId="2724" priority="5120" operator="lessThan">
      <formula>0</formula>
    </cfRule>
  </conditionalFormatting>
  <conditionalFormatting sqref="H10:H1048576">
    <cfRule type="cellIs" dxfId="2723" priority="5119" operator="lessThan">
      <formula>0</formula>
    </cfRule>
  </conditionalFormatting>
  <conditionalFormatting sqref="H10:H1048576">
    <cfRule type="cellIs" dxfId="2722" priority="5118" operator="lessThan">
      <formula>0</formula>
    </cfRule>
  </conditionalFormatting>
  <conditionalFormatting sqref="H10:H1048576">
    <cfRule type="cellIs" dxfId="2721" priority="5117" operator="lessThan">
      <formula>0</formula>
    </cfRule>
  </conditionalFormatting>
  <conditionalFormatting sqref="H10:H1048576">
    <cfRule type="cellIs" dxfId="2720" priority="5116" operator="lessThan">
      <formula>0</formula>
    </cfRule>
  </conditionalFormatting>
  <conditionalFormatting sqref="H10:H1048576">
    <cfRule type="cellIs" dxfId="2719" priority="5115" operator="lessThan">
      <formula>0</formula>
    </cfRule>
  </conditionalFormatting>
  <conditionalFormatting sqref="H10:H1048576">
    <cfRule type="cellIs" dxfId="2718" priority="5114" operator="lessThan">
      <formula>0</formula>
    </cfRule>
  </conditionalFormatting>
  <conditionalFormatting sqref="H10:H1048576">
    <cfRule type="cellIs" dxfId="2717" priority="5113" operator="lessThan">
      <formula>0</formula>
    </cfRule>
  </conditionalFormatting>
  <conditionalFormatting sqref="H10:H1048576">
    <cfRule type="cellIs" dxfId="2716" priority="5112" operator="lessThan">
      <formula>0</formula>
    </cfRule>
  </conditionalFormatting>
  <conditionalFormatting sqref="H10:H1048576">
    <cfRule type="cellIs" dxfId="2715" priority="5111" operator="lessThan">
      <formula>0</formula>
    </cfRule>
  </conditionalFormatting>
  <conditionalFormatting sqref="H10:H1048576">
    <cfRule type="cellIs" dxfId="2714" priority="5110" operator="lessThan">
      <formula>0</formula>
    </cfRule>
  </conditionalFormatting>
  <conditionalFormatting sqref="H10:H1048576">
    <cfRule type="cellIs" dxfId="2713" priority="5109" operator="lessThan">
      <formula>0</formula>
    </cfRule>
  </conditionalFormatting>
  <conditionalFormatting sqref="H10:H1048576">
    <cfRule type="cellIs" dxfId="2712" priority="5108" operator="lessThan">
      <formula>0</formula>
    </cfRule>
  </conditionalFormatting>
  <conditionalFormatting sqref="H10:H1048576">
    <cfRule type="cellIs" dxfId="2711" priority="5107" operator="lessThan">
      <formula>0</formula>
    </cfRule>
  </conditionalFormatting>
  <conditionalFormatting sqref="H10:H1048576">
    <cfRule type="cellIs" dxfId="2710" priority="5106" operator="lessThan">
      <formula>0</formula>
    </cfRule>
  </conditionalFormatting>
  <conditionalFormatting sqref="H10:H1048576">
    <cfRule type="cellIs" dxfId="2709" priority="5105" operator="lessThan">
      <formula>0</formula>
    </cfRule>
  </conditionalFormatting>
  <conditionalFormatting sqref="H10:H1048576">
    <cfRule type="cellIs" dxfId="2708" priority="5104" operator="lessThan">
      <formula>0</formula>
    </cfRule>
  </conditionalFormatting>
  <conditionalFormatting sqref="H10:H1048576">
    <cfRule type="cellIs" dxfId="2707" priority="5103" operator="lessThan">
      <formula>0</formula>
    </cfRule>
  </conditionalFormatting>
  <conditionalFormatting sqref="H10:H1048576">
    <cfRule type="cellIs" dxfId="2706" priority="5102" operator="lessThan">
      <formula>0</formula>
    </cfRule>
  </conditionalFormatting>
  <conditionalFormatting sqref="H10:H1048576">
    <cfRule type="cellIs" dxfId="2705" priority="5101" operator="lessThan">
      <formula>0</formula>
    </cfRule>
  </conditionalFormatting>
  <conditionalFormatting sqref="H10:H1048576">
    <cfRule type="cellIs" dxfId="2704" priority="5100" operator="lessThan">
      <formula>0</formula>
    </cfRule>
  </conditionalFormatting>
  <conditionalFormatting sqref="H10:H1048576">
    <cfRule type="cellIs" dxfId="2703" priority="5099" operator="lessThan">
      <formula>0</formula>
    </cfRule>
  </conditionalFormatting>
  <conditionalFormatting sqref="H10:H1048576">
    <cfRule type="cellIs" dxfId="2702" priority="5098" operator="lessThan">
      <formula>0</formula>
    </cfRule>
  </conditionalFormatting>
  <conditionalFormatting sqref="H10:H1048576">
    <cfRule type="cellIs" dxfId="2701" priority="5097" operator="lessThan">
      <formula>0</formula>
    </cfRule>
  </conditionalFormatting>
  <conditionalFormatting sqref="H10:H1048576">
    <cfRule type="cellIs" dxfId="2700" priority="5096" operator="lessThan">
      <formula>0</formula>
    </cfRule>
  </conditionalFormatting>
  <conditionalFormatting sqref="H10:H1048576">
    <cfRule type="cellIs" dxfId="2699" priority="5095" operator="lessThan">
      <formula>0</formula>
    </cfRule>
  </conditionalFormatting>
  <conditionalFormatting sqref="H10:H1048576">
    <cfRule type="cellIs" dxfId="2698" priority="5094" operator="lessThan">
      <formula>0</formula>
    </cfRule>
  </conditionalFormatting>
  <conditionalFormatting sqref="H10:H1048576">
    <cfRule type="cellIs" dxfId="2697" priority="5093" operator="lessThan">
      <formula>0</formula>
    </cfRule>
  </conditionalFormatting>
  <conditionalFormatting sqref="H10:H1048576">
    <cfRule type="cellIs" dxfId="2696" priority="5092" operator="lessThan">
      <formula>0</formula>
    </cfRule>
  </conditionalFormatting>
  <conditionalFormatting sqref="H10:H1048576">
    <cfRule type="cellIs" dxfId="2695" priority="5091" operator="lessThan">
      <formula>0</formula>
    </cfRule>
  </conditionalFormatting>
  <conditionalFormatting sqref="H10:H1048576">
    <cfRule type="cellIs" dxfId="2694" priority="5090" operator="lessThan">
      <formula>0</formula>
    </cfRule>
  </conditionalFormatting>
  <conditionalFormatting sqref="H10:H1048576">
    <cfRule type="cellIs" dxfId="2693" priority="5089" operator="lessThan">
      <formula>0</formula>
    </cfRule>
  </conditionalFormatting>
  <conditionalFormatting sqref="H10:H1048576">
    <cfRule type="cellIs" dxfId="2692" priority="5088" operator="lessThan">
      <formula>0</formula>
    </cfRule>
  </conditionalFormatting>
  <conditionalFormatting sqref="H10:H1048576">
    <cfRule type="cellIs" dxfId="2691" priority="5087" operator="lessThan">
      <formula>0</formula>
    </cfRule>
  </conditionalFormatting>
  <conditionalFormatting sqref="H10:H1048576">
    <cfRule type="cellIs" dxfId="2690" priority="5086" operator="lessThan">
      <formula>0</formula>
    </cfRule>
  </conditionalFormatting>
  <conditionalFormatting sqref="H10:H1048576">
    <cfRule type="cellIs" dxfId="2689" priority="5085" operator="lessThan">
      <formula>0</formula>
    </cfRule>
  </conditionalFormatting>
  <conditionalFormatting sqref="H10:H1048576">
    <cfRule type="cellIs" dxfId="2688" priority="5084" operator="lessThan">
      <formula>0</formula>
    </cfRule>
  </conditionalFormatting>
  <conditionalFormatting sqref="H10:H1048576">
    <cfRule type="cellIs" dxfId="2687" priority="5083" operator="lessThan">
      <formula>0</formula>
    </cfRule>
  </conditionalFormatting>
  <conditionalFormatting sqref="H10:H1048576">
    <cfRule type="cellIs" dxfId="2686" priority="5082" operator="lessThan">
      <formula>0</formula>
    </cfRule>
  </conditionalFormatting>
  <conditionalFormatting sqref="H10:H1048576">
    <cfRule type="cellIs" dxfId="2685" priority="5081" operator="lessThan">
      <formula>0</formula>
    </cfRule>
  </conditionalFormatting>
  <conditionalFormatting sqref="H10:H1048576">
    <cfRule type="cellIs" dxfId="2684" priority="5080" operator="lessThan">
      <formula>0</formula>
    </cfRule>
  </conditionalFormatting>
  <conditionalFormatting sqref="H10:H1048576">
    <cfRule type="cellIs" dxfId="2683" priority="5079" operator="lessThan">
      <formula>0</formula>
    </cfRule>
  </conditionalFormatting>
  <conditionalFormatting sqref="H10:H1048576">
    <cfRule type="cellIs" dxfId="2682" priority="5078" operator="lessThan">
      <formula>0</formula>
    </cfRule>
  </conditionalFormatting>
  <conditionalFormatting sqref="H10:H1048576">
    <cfRule type="cellIs" dxfId="2681" priority="5077" operator="lessThan">
      <formula>0</formula>
    </cfRule>
  </conditionalFormatting>
  <conditionalFormatting sqref="H10:H1048576">
    <cfRule type="cellIs" dxfId="2680" priority="5076" operator="lessThan">
      <formula>0</formula>
    </cfRule>
  </conditionalFormatting>
  <conditionalFormatting sqref="H10:H1048576">
    <cfRule type="cellIs" dxfId="2679" priority="5075" operator="lessThan">
      <formula>0</formula>
    </cfRule>
  </conditionalFormatting>
  <conditionalFormatting sqref="H10:H1048576">
    <cfRule type="cellIs" dxfId="2678" priority="5074" operator="lessThan">
      <formula>0</formula>
    </cfRule>
  </conditionalFormatting>
  <conditionalFormatting sqref="H10:H1048576">
    <cfRule type="cellIs" dxfId="2677" priority="5073" operator="lessThan">
      <formula>0</formula>
    </cfRule>
  </conditionalFormatting>
  <conditionalFormatting sqref="H10:H1048576">
    <cfRule type="cellIs" dxfId="2676" priority="5072" operator="lessThan">
      <formula>0</formula>
    </cfRule>
  </conditionalFormatting>
  <conditionalFormatting sqref="H10:H1048576">
    <cfRule type="cellIs" dxfId="2675" priority="5071" operator="lessThan">
      <formula>0</formula>
    </cfRule>
  </conditionalFormatting>
  <conditionalFormatting sqref="H10:H1048576">
    <cfRule type="cellIs" dxfId="2674" priority="5070" operator="lessThan">
      <formula>0</formula>
    </cfRule>
  </conditionalFormatting>
  <conditionalFormatting sqref="H10:H1048576">
    <cfRule type="cellIs" dxfId="2673" priority="5069" operator="lessThan">
      <formula>0</formula>
    </cfRule>
  </conditionalFormatting>
  <conditionalFormatting sqref="H10:H1048576">
    <cfRule type="cellIs" dxfId="2672" priority="5068" operator="lessThan">
      <formula>0</formula>
    </cfRule>
  </conditionalFormatting>
  <conditionalFormatting sqref="H10:H1048576">
    <cfRule type="cellIs" dxfId="2671" priority="5067" operator="lessThan">
      <formula>0</formula>
    </cfRule>
  </conditionalFormatting>
  <conditionalFormatting sqref="H10:H1048576">
    <cfRule type="cellIs" dxfId="2670" priority="5066" operator="lessThan">
      <formula>0</formula>
    </cfRule>
  </conditionalFormatting>
  <conditionalFormatting sqref="H10:H1048576">
    <cfRule type="cellIs" dxfId="2669" priority="5065" operator="lessThan">
      <formula>0</formula>
    </cfRule>
  </conditionalFormatting>
  <conditionalFormatting sqref="H10:H1048576">
    <cfRule type="cellIs" dxfId="2668" priority="5064" operator="lessThan">
      <formula>0</formula>
    </cfRule>
  </conditionalFormatting>
  <conditionalFormatting sqref="H10:H1048576">
    <cfRule type="cellIs" dxfId="2667" priority="5063" operator="lessThan">
      <formula>0</formula>
    </cfRule>
  </conditionalFormatting>
  <conditionalFormatting sqref="H10:H1048576">
    <cfRule type="cellIs" dxfId="2666" priority="5062" operator="lessThan">
      <formula>0</formula>
    </cfRule>
  </conditionalFormatting>
  <conditionalFormatting sqref="H10:H1048576">
    <cfRule type="cellIs" dxfId="2665" priority="5061" operator="lessThan">
      <formula>0</formula>
    </cfRule>
  </conditionalFormatting>
  <conditionalFormatting sqref="H10:H1048576">
    <cfRule type="cellIs" dxfId="2664" priority="5060" operator="lessThan">
      <formula>0</formula>
    </cfRule>
  </conditionalFormatting>
  <conditionalFormatting sqref="H10:H1048576">
    <cfRule type="cellIs" dxfId="2663" priority="5059" operator="lessThan">
      <formula>0</formula>
    </cfRule>
  </conditionalFormatting>
  <conditionalFormatting sqref="H10:H1048576">
    <cfRule type="cellIs" dxfId="2662" priority="5058" operator="lessThan">
      <formula>0</formula>
    </cfRule>
  </conditionalFormatting>
  <conditionalFormatting sqref="H10:H1048576">
    <cfRule type="cellIs" dxfId="2661" priority="5057" operator="lessThan">
      <formula>0</formula>
    </cfRule>
  </conditionalFormatting>
  <conditionalFormatting sqref="H10:H1048576">
    <cfRule type="cellIs" dxfId="2660" priority="5056" operator="lessThan">
      <formula>0</formula>
    </cfRule>
  </conditionalFormatting>
  <conditionalFormatting sqref="H10:H1048576">
    <cfRule type="cellIs" dxfId="2659" priority="5055" operator="lessThan">
      <formula>0</formula>
    </cfRule>
  </conditionalFormatting>
  <conditionalFormatting sqref="H10:H1048576">
    <cfRule type="cellIs" dxfId="2658" priority="5054" operator="lessThan">
      <formula>0</formula>
    </cfRule>
  </conditionalFormatting>
  <conditionalFormatting sqref="H10:H1048576">
    <cfRule type="cellIs" dxfId="2657" priority="5053" operator="lessThan">
      <formula>0</formula>
    </cfRule>
  </conditionalFormatting>
  <conditionalFormatting sqref="H10:H1048576">
    <cfRule type="cellIs" dxfId="2656" priority="5052" operator="lessThan">
      <formula>0</formula>
    </cfRule>
  </conditionalFormatting>
  <conditionalFormatting sqref="H10:H1048576">
    <cfRule type="cellIs" dxfId="2655" priority="5051" operator="lessThan">
      <formula>0</formula>
    </cfRule>
  </conditionalFormatting>
  <conditionalFormatting sqref="H10:H1048576">
    <cfRule type="cellIs" dxfId="2654" priority="5050" operator="lessThan">
      <formula>0</formula>
    </cfRule>
  </conditionalFormatting>
  <conditionalFormatting sqref="H10:H1048576">
    <cfRule type="cellIs" dxfId="2653" priority="5049" operator="lessThan">
      <formula>0</formula>
    </cfRule>
  </conditionalFormatting>
  <conditionalFormatting sqref="H10:H1048576">
    <cfRule type="cellIs" dxfId="2652" priority="5048" operator="lessThan">
      <formula>0</formula>
    </cfRule>
  </conditionalFormatting>
  <conditionalFormatting sqref="H10:H1048576">
    <cfRule type="cellIs" dxfId="2651" priority="5047" operator="lessThan">
      <formula>0</formula>
    </cfRule>
  </conditionalFormatting>
  <conditionalFormatting sqref="H10:H1048576">
    <cfRule type="cellIs" dxfId="2650" priority="5046" operator="lessThan">
      <formula>0</formula>
    </cfRule>
  </conditionalFormatting>
  <conditionalFormatting sqref="H10:H1048576">
    <cfRule type="cellIs" dxfId="2649" priority="5045" operator="lessThan">
      <formula>0</formula>
    </cfRule>
  </conditionalFormatting>
  <conditionalFormatting sqref="H10:H1048576">
    <cfRule type="cellIs" dxfId="2648" priority="5044" operator="lessThan">
      <formula>0</formula>
    </cfRule>
  </conditionalFormatting>
  <conditionalFormatting sqref="H10:H1048576">
    <cfRule type="cellIs" dxfId="2647" priority="5043" operator="lessThan">
      <formula>0</formula>
    </cfRule>
  </conditionalFormatting>
  <conditionalFormatting sqref="H10:H1048576">
    <cfRule type="cellIs" dxfId="2646" priority="5042" operator="lessThan">
      <formula>0</formula>
    </cfRule>
  </conditionalFormatting>
  <conditionalFormatting sqref="H10:H1048576">
    <cfRule type="cellIs" dxfId="2645" priority="5041" operator="lessThan">
      <formula>0</formula>
    </cfRule>
  </conditionalFormatting>
  <conditionalFormatting sqref="H10:H1048576">
    <cfRule type="cellIs" dxfId="2644" priority="5040" operator="lessThan">
      <formula>0</formula>
    </cfRule>
  </conditionalFormatting>
  <conditionalFormatting sqref="H10:H1048576">
    <cfRule type="cellIs" dxfId="2643" priority="5039" operator="lessThan">
      <formula>0</formula>
    </cfRule>
  </conditionalFormatting>
  <conditionalFormatting sqref="H10:H1048576">
    <cfRule type="cellIs" dxfId="2642" priority="5038" operator="lessThan">
      <formula>0</formula>
    </cfRule>
  </conditionalFormatting>
  <conditionalFormatting sqref="H10:H1048576">
    <cfRule type="cellIs" dxfId="2641" priority="5037" operator="lessThan">
      <formula>0</formula>
    </cfRule>
  </conditionalFormatting>
  <conditionalFormatting sqref="H10:H1048576">
    <cfRule type="cellIs" dxfId="2640" priority="5036" operator="lessThan">
      <formula>0</formula>
    </cfRule>
  </conditionalFormatting>
  <conditionalFormatting sqref="H10:H1048576">
    <cfRule type="cellIs" dxfId="2639" priority="5035" operator="lessThan">
      <formula>0</formula>
    </cfRule>
  </conditionalFormatting>
  <conditionalFormatting sqref="H10:H1048576">
    <cfRule type="cellIs" dxfId="2638" priority="5034" operator="lessThan">
      <formula>0</formula>
    </cfRule>
  </conditionalFormatting>
  <conditionalFormatting sqref="H10:H1048576">
    <cfRule type="cellIs" dxfId="2637" priority="5033" operator="lessThan">
      <formula>0</formula>
    </cfRule>
  </conditionalFormatting>
  <conditionalFormatting sqref="H10:H1048576">
    <cfRule type="cellIs" dxfId="2636" priority="5032" operator="lessThan">
      <formula>0</formula>
    </cfRule>
  </conditionalFormatting>
  <conditionalFormatting sqref="H10:H1048576">
    <cfRule type="cellIs" dxfId="2635" priority="5031" operator="lessThan">
      <formula>0</formula>
    </cfRule>
  </conditionalFormatting>
  <conditionalFormatting sqref="H10:H1048576">
    <cfRule type="cellIs" dxfId="2634" priority="5030" operator="lessThan">
      <formula>0</formula>
    </cfRule>
  </conditionalFormatting>
  <conditionalFormatting sqref="H10:H1048576">
    <cfRule type="cellIs" dxfId="2633" priority="5029" operator="lessThan">
      <formula>0</formula>
    </cfRule>
  </conditionalFormatting>
  <conditionalFormatting sqref="H10:H1048576">
    <cfRule type="cellIs" dxfId="2632" priority="5028" operator="lessThan">
      <formula>0</formula>
    </cfRule>
  </conditionalFormatting>
  <conditionalFormatting sqref="H10:H1048576">
    <cfRule type="cellIs" dxfId="2631" priority="5027" operator="lessThan">
      <formula>0</formula>
    </cfRule>
  </conditionalFormatting>
  <conditionalFormatting sqref="H10:H1048576">
    <cfRule type="cellIs" dxfId="2630" priority="5026" operator="lessThan">
      <formula>0</formula>
    </cfRule>
  </conditionalFormatting>
  <conditionalFormatting sqref="H10:H1048576">
    <cfRule type="cellIs" dxfId="2629" priority="5025" operator="lessThan">
      <formula>0</formula>
    </cfRule>
  </conditionalFormatting>
  <conditionalFormatting sqref="H10:H1048576">
    <cfRule type="cellIs" dxfId="2628" priority="5024" operator="lessThan">
      <formula>0</formula>
    </cfRule>
  </conditionalFormatting>
  <conditionalFormatting sqref="H10:H1048576">
    <cfRule type="cellIs" dxfId="2627" priority="5023" operator="lessThan">
      <formula>0</formula>
    </cfRule>
  </conditionalFormatting>
  <conditionalFormatting sqref="H10:H1048576">
    <cfRule type="cellIs" dxfId="2626" priority="5022" operator="lessThan">
      <formula>0</formula>
    </cfRule>
  </conditionalFormatting>
  <conditionalFormatting sqref="H10:H1048576">
    <cfRule type="cellIs" dxfId="2625" priority="5021" operator="lessThan">
      <formula>0</formula>
    </cfRule>
  </conditionalFormatting>
  <conditionalFormatting sqref="H10:H1048576">
    <cfRule type="cellIs" dxfId="2624" priority="5020" operator="lessThan">
      <formula>0</formula>
    </cfRule>
  </conditionalFormatting>
  <conditionalFormatting sqref="H10:H1048576">
    <cfRule type="cellIs" dxfId="2623" priority="5019" operator="lessThan">
      <formula>0</formula>
    </cfRule>
  </conditionalFormatting>
  <conditionalFormatting sqref="H10:H1048576">
    <cfRule type="cellIs" dxfId="2622" priority="5018" operator="lessThan">
      <formula>0</formula>
    </cfRule>
  </conditionalFormatting>
  <conditionalFormatting sqref="H10:H1048576">
    <cfRule type="cellIs" dxfId="2621" priority="5017" operator="lessThan">
      <formula>0</formula>
    </cfRule>
  </conditionalFormatting>
  <conditionalFormatting sqref="H10:H1048576">
    <cfRule type="cellIs" dxfId="2620" priority="5016" operator="lessThan">
      <formula>0</formula>
    </cfRule>
  </conditionalFormatting>
  <conditionalFormatting sqref="H10:H1048576">
    <cfRule type="cellIs" dxfId="2619" priority="5015" operator="lessThan">
      <formula>0</formula>
    </cfRule>
  </conditionalFormatting>
  <conditionalFormatting sqref="H10:H1048576">
    <cfRule type="cellIs" dxfId="2618" priority="5014" operator="lessThan">
      <formula>0</formula>
    </cfRule>
  </conditionalFormatting>
  <conditionalFormatting sqref="H10:H1048576">
    <cfRule type="cellIs" dxfId="2617" priority="5013" operator="lessThan">
      <formula>0</formula>
    </cfRule>
  </conditionalFormatting>
  <conditionalFormatting sqref="H10:H1048576">
    <cfRule type="cellIs" dxfId="2616" priority="5012" operator="lessThan">
      <formula>0</formula>
    </cfRule>
  </conditionalFormatting>
  <conditionalFormatting sqref="H10:H1048576">
    <cfRule type="cellIs" dxfId="2615" priority="5011" operator="lessThan">
      <formula>0</formula>
    </cfRule>
  </conditionalFormatting>
  <conditionalFormatting sqref="H10:H1048576">
    <cfRule type="cellIs" dxfId="2614" priority="5010" operator="lessThan">
      <formula>0</formula>
    </cfRule>
  </conditionalFormatting>
  <conditionalFormatting sqref="H10:H1048576">
    <cfRule type="cellIs" dxfId="2613" priority="5009" operator="lessThan">
      <formula>0</formula>
    </cfRule>
  </conditionalFormatting>
  <conditionalFormatting sqref="H10:H1048576">
    <cfRule type="cellIs" dxfId="2612" priority="5008" operator="lessThan">
      <formula>0</formula>
    </cfRule>
  </conditionalFormatting>
  <conditionalFormatting sqref="H10:H1048576">
    <cfRule type="cellIs" dxfId="2611" priority="5007" operator="lessThan">
      <formula>0</formula>
    </cfRule>
  </conditionalFormatting>
  <conditionalFormatting sqref="H10:H1048576">
    <cfRule type="cellIs" dxfId="2610" priority="5006" operator="lessThan">
      <formula>0</formula>
    </cfRule>
  </conditionalFormatting>
  <conditionalFormatting sqref="H10:H1048576">
    <cfRule type="cellIs" dxfId="2609" priority="5005" operator="lessThan">
      <formula>0</formula>
    </cfRule>
  </conditionalFormatting>
  <conditionalFormatting sqref="H10:H1048576">
    <cfRule type="cellIs" dxfId="2608" priority="5004" operator="lessThan">
      <formula>0</formula>
    </cfRule>
  </conditionalFormatting>
  <conditionalFormatting sqref="H10:H1048576">
    <cfRule type="cellIs" dxfId="2607" priority="5003" operator="lessThan">
      <formula>0</formula>
    </cfRule>
  </conditionalFormatting>
  <conditionalFormatting sqref="H10:H1048576">
    <cfRule type="cellIs" dxfId="2606" priority="5002" operator="lessThan">
      <formula>0</formula>
    </cfRule>
  </conditionalFormatting>
  <conditionalFormatting sqref="H10:H1048576">
    <cfRule type="cellIs" dxfId="2605" priority="5001" operator="lessThan">
      <formula>0</formula>
    </cfRule>
  </conditionalFormatting>
  <conditionalFormatting sqref="H10:H1048576">
    <cfRule type="cellIs" dxfId="2604" priority="5000" operator="lessThan">
      <formula>0</formula>
    </cfRule>
  </conditionalFormatting>
  <conditionalFormatting sqref="H10:H1048576">
    <cfRule type="cellIs" dxfId="2603" priority="4999" operator="lessThan">
      <formula>0</formula>
    </cfRule>
  </conditionalFormatting>
  <conditionalFormatting sqref="H10:H1048576">
    <cfRule type="cellIs" dxfId="2602" priority="4998" operator="lessThan">
      <formula>0</formula>
    </cfRule>
  </conditionalFormatting>
  <conditionalFormatting sqref="H10:H1048576">
    <cfRule type="cellIs" dxfId="2601" priority="4997" operator="lessThan">
      <formula>0</formula>
    </cfRule>
  </conditionalFormatting>
  <conditionalFormatting sqref="H10:H1048576">
    <cfRule type="cellIs" dxfId="2600" priority="4996" operator="lessThan">
      <formula>0</formula>
    </cfRule>
  </conditionalFormatting>
  <conditionalFormatting sqref="H10:H1048576">
    <cfRule type="cellIs" dxfId="2599" priority="4995" operator="lessThan">
      <formula>0</formula>
    </cfRule>
  </conditionalFormatting>
  <conditionalFormatting sqref="H10:H1048576">
    <cfRule type="cellIs" dxfId="2598" priority="4994" operator="lessThan">
      <formula>0</formula>
    </cfRule>
  </conditionalFormatting>
  <conditionalFormatting sqref="H10:H1048576">
    <cfRule type="cellIs" dxfId="2597" priority="4993" operator="lessThan">
      <formula>0</formula>
    </cfRule>
  </conditionalFormatting>
  <conditionalFormatting sqref="H10:H1048576">
    <cfRule type="cellIs" dxfId="2596" priority="4992" operator="lessThan">
      <formula>0</formula>
    </cfRule>
  </conditionalFormatting>
  <conditionalFormatting sqref="H10:H1048576">
    <cfRule type="cellIs" dxfId="2595" priority="4991" operator="lessThan">
      <formula>0</formula>
    </cfRule>
  </conditionalFormatting>
  <conditionalFormatting sqref="H10:H1048576">
    <cfRule type="cellIs" dxfId="2594" priority="4990" operator="lessThan">
      <formula>0</formula>
    </cfRule>
  </conditionalFormatting>
  <conditionalFormatting sqref="H10:H1048576">
    <cfRule type="cellIs" dxfId="2593" priority="4989" operator="lessThan">
      <formula>0</formula>
    </cfRule>
  </conditionalFormatting>
  <conditionalFormatting sqref="H10:H1048576">
    <cfRule type="cellIs" dxfId="2592" priority="4988" operator="lessThan">
      <formula>0</formula>
    </cfRule>
  </conditionalFormatting>
  <conditionalFormatting sqref="H10:H1048576">
    <cfRule type="cellIs" dxfId="2591" priority="4987" operator="lessThan">
      <formula>0</formula>
    </cfRule>
  </conditionalFormatting>
  <conditionalFormatting sqref="H10:H1048576">
    <cfRule type="cellIs" dxfId="2590" priority="4986" operator="lessThan">
      <formula>0</formula>
    </cfRule>
  </conditionalFormatting>
  <conditionalFormatting sqref="H10:H1048576">
    <cfRule type="cellIs" dxfId="2589" priority="4985" operator="lessThan">
      <formula>0</formula>
    </cfRule>
  </conditionalFormatting>
  <conditionalFormatting sqref="H10:H1048576">
    <cfRule type="cellIs" dxfId="2588" priority="4984" operator="lessThan">
      <formula>0</formula>
    </cfRule>
  </conditionalFormatting>
  <conditionalFormatting sqref="H10:H1048576">
    <cfRule type="cellIs" dxfId="2587" priority="4983" operator="lessThan">
      <formula>0</formula>
    </cfRule>
  </conditionalFormatting>
  <conditionalFormatting sqref="H10:H1048576">
    <cfRule type="cellIs" dxfId="2586" priority="4982" operator="lessThan">
      <formula>0</formula>
    </cfRule>
  </conditionalFormatting>
  <conditionalFormatting sqref="H10:H1048576">
    <cfRule type="cellIs" dxfId="2585" priority="4981" operator="lessThan">
      <formula>0</formula>
    </cfRule>
  </conditionalFormatting>
  <conditionalFormatting sqref="H10:H1048576">
    <cfRule type="cellIs" dxfId="2584" priority="4980" operator="lessThan">
      <formula>0</formula>
    </cfRule>
  </conditionalFormatting>
  <conditionalFormatting sqref="H10:H1048576">
    <cfRule type="cellIs" dxfId="2583" priority="4979" operator="lessThan">
      <formula>0</formula>
    </cfRule>
  </conditionalFormatting>
  <conditionalFormatting sqref="H10:H1048576">
    <cfRule type="cellIs" dxfId="2582" priority="4978" operator="lessThan">
      <formula>0</formula>
    </cfRule>
  </conditionalFormatting>
  <conditionalFormatting sqref="H10:H1048576">
    <cfRule type="cellIs" dxfId="2581" priority="4977" operator="lessThan">
      <formula>0</formula>
    </cfRule>
  </conditionalFormatting>
  <conditionalFormatting sqref="H10:H1048576">
    <cfRule type="cellIs" dxfId="2580" priority="4976" operator="lessThan">
      <formula>0</formula>
    </cfRule>
  </conditionalFormatting>
  <conditionalFormatting sqref="H10:H1048576">
    <cfRule type="cellIs" dxfId="2579" priority="4975" operator="lessThan">
      <formula>0</formula>
    </cfRule>
  </conditionalFormatting>
  <conditionalFormatting sqref="H10:H1048576">
    <cfRule type="cellIs" dxfId="2578" priority="4974" operator="lessThan">
      <formula>0</formula>
    </cfRule>
  </conditionalFormatting>
  <conditionalFormatting sqref="H10:H1048576">
    <cfRule type="cellIs" dxfId="2577" priority="4973" operator="lessThan">
      <formula>0</formula>
    </cfRule>
  </conditionalFormatting>
  <conditionalFormatting sqref="H10:H1048576">
    <cfRule type="cellIs" dxfId="2576" priority="4972" operator="lessThan">
      <formula>0</formula>
    </cfRule>
  </conditionalFormatting>
  <conditionalFormatting sqref="H10:H1048576">
    <cfRule type="cellIs" dxfId="2575" priority="4971" operator="lessThan">
      <formula>0</formula>
    </cfRule>
  </conditionalFormatting>
  <conditionalFormatting sqref="H10:H1048576">
    <cfRule type="cellIs" dxfId="2574" priority="4970" operator="lessThan">
      <formula>0</formula>
    </cfRule>
  </conditionalFormatting>
  <conditionalFormatting sqref="H10:H1048576">
    <cfRule type="cellIs" dxfId="2573" priority="4969" operator="lessThan">
      <formula>0</formula>
    </cfRule>
  </conditionalFormatting>
  <conditionalFormatting sqref="H10:H1048576">
    <cfRule type="cellIs" dxfId="2572" priority="4968" operator="lessThan">
      <formula>0</formula>
    </cfRule>
  </conditionalFormatting>
  <conditionalFormatting sqref="H10:H1048576">
    <cfRule type="cellIs" dxfId="2571" priority="4967" operator="lessThan">
      <formula>0</formula>
    </cfRule>
  </conditionalFormatting>
  <conditionalFormatting sqref="H10:H1048576">
    <cfRule type="cellIs" dxfId="2570" priority="4966" operator="lessThan">
      <formula>0</formula>
    </cfRule>
  </conditionalFormatting>
  <conditionalFormatting sqref="H10:H1048576">
    <cfRule type="cellIs" dxfId="2569" priority="4965" operator="lessThan">
      <formula>0</formula>
    </cfRule>
  </conditionalFormatting>
  <conditionalFormatting sqref="H10:H1048576">
    <cfRule type="cellIs" dxfId="2568" priority="4964" operator="lessThan">
      <formula>0</formula>
    </cfRule>
  </conditionalFormatting>
  <conditionalFormatting sqref="H10:H1048576">
    <cfRule type="cellIs" dxfId="2567" priority="4963" operator="lessThan">
      <formula>0</formula>
    </cfRule>
  </conditionalFormatting>
  <conditionalFormatting sqref="H10:H1048576">
    <cfRule type="cellIs" dxfId="2566" priority="4962" operator="lessThan">
      <formula>0</formula>
    </cfRule>
  </conditionalFormatting>
  <conditionalFormatting sqref="H10:H1048576">
    <cfRule type="cellIs" dxfId="2565" priority="4961" operator="lessThan">
      <formula>0</formula>
    </cfRule>
  </conditionalFormatting>
  <conditionalFormatting sqref="H10:H1048576">
    <cfRule type="cellIs" dxfId="2564" priority="4960" operator="lessThan">
      <formula>0</formula>
    </cfRule>
  </conditionalFormatting>
  <conditionalFormatting sqref="H10:H1048576">
    <cfRule type="cellIs" dxfId="2563" priority="4959" operator="lessThan">
      <formula>0</formula>
    </cfRule>
  </conditionalFormatting>
  <conditionalFormatting sqref="H10:H1048576">
    <cfRule type="cellIs" dxfId="2562" priority="4958" operator="lessThan">
      <formula>0</formula>
    </cfRule>
  </conditionalFormatting>
  <conditionalFormatting sqref="H10:H1048576">
    <cfRule type="cellIs" dxfId="2561" priority="4957" operator="lessThan">
      <formula>0</formula>
    </cfRule>
  </conditionalFormatting>
  <conditionalFormatting sqref="H10:H1048576">
    <cfRule type="cellIs" dxfId="2560" priority="4956" operator="lessThan">
      <formula>0</formula>
    </cfRule>
  </conditionalFormatting>
  <conditionalFormatting sqref="H10:H1048576">
    <cfRule type="cellIs" dxfId="2559" priority="4955" operator="lessThan">
      <formula>0</formula>
    </cfRule>
  </conditionalFormatting>
  <conditionalFormatting sqref="H10:H1048576">
    <cfRule type="cellIs" dxfId="2558" priority="4954" operator="lessThan">
      <formula>0</formula>
    </cfRule>
  </conditionalFormatting>
  <conditionalFormatting sqref="H10:H1048576">
    <cfRule type="cellIs" dxfId="2557" priority="4953" operator="lessThan">
      <formula>0</formula>
    </cfRule>
  </conditionalFormatting>
  <conditionalFormatting sqref="H10:H1048576">
    <cfRule type="cellIs" dxfId="2556" priority="4952" operator="lessThan">
      <formula>0</formula>
    </cfRule>
  </conditionalFormatting>
  <conditionalFormatting sqref="H10:H1048576">
    <cfRule type="cellIs" dxfId="2555" priority="4951" operator="lessThan">
      <formula>0</formula>
    </cfRule>
  </conditionalFormatting>
  <conditionalFormatting sqref="H10:H1048576">
    <cfRule type="cellIs" dxfId="2554" priority="4950" operator="lessThan">
      <formula>0</formula>
    </cfRule>
  </conditionalFormatting>
  <conditionalFormatting sqref="H10:H1048576">
    <cfRule type="cellIs" dxfId="2553" priority="4949" operator="lessThan">
      <formula>0</formula>
    </cfRule>
  </conditionalFormatting>
  <conditionalFormatting sqref="H10:H1048576">
    <cfRule type="cellIs" dxfId="2552" priority="4948" operator="lessThan">
      <formula>0</formula>
    </cfRule>
  </conditionalFormatting>
  <conditionalFormatting sqref="H10:H1048576">
    <cfRule type="cellIs" dxfId="2551" priority="4947" operator="lessThan">
      <formula>0</formula>
    </cfRule>
  </conditionalFormatting>
  <conditionalFormatting sqref="H10:H1048576">
    <cfRule type="cellIs" dxfId="2550" priority="4946" operator="lessThan">
      <formula>0</formula>
    </cfRule>
  </conditionalFormatting>
  <conditionalFormatting sqref="H10:H1048576">
    <cfRule type="cellIs" dxfId="2549" priority="4945" operator="lessThan">
      <formula>0</formula>
    </cfRule>
  </conditionalFormatting>
  <conditionalFormatting sqref="H10:H1048576">
    <cfRule type="cellIs" dxfId="2548" priority="4944" operator="lessThan">
      <formula>0</formula>
    </cfRule>
  </conditionalFormatting>
  <conditionalFormatting sqref="H10:H1048576">
    <cfRule type="cellIs" dxfId="2547" priority="4943" operator="lessThan">
      <formula>0</formula>
    </cfRule>
  </conditionalFormatting>
  <conditionalFormatting sqref="H10:H1048576">
    <cfRule type="cellIs" dxfId="2546" priority="4942" operator="lessThan">
      <formula>0</formula>
    </cfRule>
  </conditionalFormatting>
  <conditionalFormatting sqref="H10:H1048576">
    <cfRule type="cellIs" dxfId="2545" priority="4941" operator="lessThan">
      <formula>0</formula>
    </cfRule>
  </conditionalFormatting>
  <conditionalFormatting sqref="H10:H1048576">
    <cfRule type="cellIs" dxfId="2544" priority="4940" operator="lessThan">
      <formula>0</formula>
    </cfRule>
  </conditionalFormatting>
  <conditionalFormatting sqref="H10:H1048576">
    <cfRule type="cellIs" dxfId="2543" priority="4939" operator="lessThan">
      <formula>0</formula>
    </cfRule>
  </conditionalFormatting>
  <conditionalFormatting sqref="H10:H1048576">
    <cfRule type="cellIs" dxfId="2542" priority="4938" operator="lessThan">
      <formula>0</formula>
    </cfRule>
  </conditionalFormatting>
  <conditionalFormatting sqref="H10:H1048576">
    <cfRule type="cellIs" dxfId="2541" priority="4937" operator="lessThan">
      <formula>0</formula>
    </cfRule>
  </conditionalFormatting>
  <conditionalFormatting sqref="H10:H1048576">
    <cfRule type="cellIs" dxfId="2540" priority="4936" operator="lessThan">
      <formula>0</formula>
    </cfRule>
  </conditionalFormatting>
  <conditionalFormatting sqref="H10:H1048576">
    <cfRule type="cellIs" dxfId="2539" priority="4935" operator="lessThan">
      <formula>0</formula>
    </cfRule>
  </conditionalFormatting>
  <conditionalFormatting sqref="H10:H1048576">
    <cfRule type="cellIs" dxfId="2538" priority="4934" operator="lessThan">
      <formula>0</formula>
    </cfRule>
  </conditionalFormatting>
  <conditionalFormatting sqref="H10:H1048576">
    <cfRule type="cellIs" dxfId="2537" priority="4933" operator="lessThan">
      <formula>0</formula>
    </cfRule>
  </conditionalFormatting>
  <conditionalFormatting sqref="H10:H1048576">
    <cfRule type="cellIs" dxfId="2536" priority="4932" operator="lessThan">
      <formula>0</formula>
    </cfRule>
  </conditionalFormatting>
  <conditionalFormatting sqref="H10:H1048576">
    <cfRule type="cellIs" dxfId="2535" priority="4931" operator="lessThan">
      <formula>0</formula>
    </cfRule>
  </conditionalFormatting>
  <conditionalFormatting sqref="H10:H1048576">
    <cfRule type="cellIs" dxfId="2534" priority="4930" operator="lessThan">
      <formula>0</formula>
    </cfRule>
  </conditionalFormatting>
  <conditionalFormatting sqref="H10:H1048576">
    <cfRule type="cellIs" dxfId="2533" priority="4929" operator="lessThan">
      <formula>0</formula>
    </cfRule>
  </conditionalFormatting>
  <conditionalFormatting sqref="H10:H1048576">
    <cfRule type="cellIs" dxfId="2532" priority="4928" operator="lessThan">
      <formula>0</formula>
    </cfRule>
  </conditionalFormatting>
  <conditionalFormatting sqref="H10:H1048576">
    <cfRule type="cellIs" dxfId="2531" priority="4927" operator="lessThan">
      <formula>0</formula>
    </cfRule>
  </conditionalFormatting>
  <conditionalFormatting sqref="H10:H1048576">
    <cfRule type="cellIs" dxfId="2530" priority="4926" operator="lessThan">
      <formula>0</formula>
    </cfRule>
  </conditionalFormatting>
  <conditionalFormatting sqref="H10:H1048576">
    <cfRule type="cellIs" dxfId="2529" priority="4925" operator="lessThan">
      <formula>0</formula>
    </cfRule>
  </conditionalFormatting>
  <conditionalFormatting sqref="H10:H1048576">
    <cfRule type="cellIs" dxfId="2528" priority="4924" operator="lessThan">
      <formula>0</formula>
    </cfRule>
  </conditionalFormatting>
  <conditionalFormatting sqref="H10:H1048576">
    <cfRule type="cellIs" dxfId="2527" priority="4923" operator="lessThan">
      <formula>0</formula>
    </cfRule>
  </conditionalFormatting>
  <conditionalFormatting sqref="H10:H1048576">
    <cfRule type="cellIs" dxfId="2526" priority="4922" operator="lessThan">
      <formula>0</formula>
    </cfRule>
  </conditionalFormatting>
  <conditionalFormatting sqref="H10:H1048576">
    <cfRule type="cellIs" dxfId="2525" priority="4921" operator="lessThan">
      <formula>0</formula>
    </cfRule>
  </conditionalFormatting>
  <conditionalFormatting sqref="H10:H1048576">
    <cfRule type="cellIs" dxfId="2524" priority="4920" operator="lessThan">
      <formula>0</formula>
    </cfRule>
  </conditionalFormatting>
  <conditionalFormatting sqref="H10:H1048576">
    <cfRule type="cellIs" dxfId="2523" priority="4919" operator="lessThan">
      <formula>0</formula>
    </cfRule>
  </conditionalFormatting>
  <conditionalFormatting sqref="H10:H1048576">
    <cfRule type="cellIs" dxfId="2522" priority="4918" operator="lessThan">
      <formula>0</formula>
    </cfRule>
  </conditionalFormatting>
  <conditionalFormatting sqref="H10:H1048576">
    <cfRule type="cellIs" dxfId="2521" priority="4917" operator="lessThan">
      <formula>0</formula>
    </cfRule>
  </conditionalFormatting>
  <conditionalFormatting sqref="H10:H1048576">
    <cfRule type="cellIs" dxfId="2520" priority="4916" operator="lessThan">
      <formula>0</formula>
    </cfRule>
  </conditionalFormatting>
  <conditionalFormatting sqref="H10:H1048576">
    <cfRule type="cellIs" dxfId="2519" priority="4915" operator="lessThan">
      <formula>0</formula>
    </cfRule>
  </conditionalFormatting>
  <conditionalFormatting sqref="H10:H1048576">
    <cfRule type="cellIs" dxfId="2518" priority="4914" operator="lessThan">
      <formula>0</formula>
    </cfRule>
  </conditionalFormatting>
  <conditionalFormatting sqref="H10:H1048576">
    <cfRule type="cellIs" dxfId="2517" priority="4913" operator="lessThan">
      <formula>0</formula>
    </cfRule>
  </conditionalFormatting>
  <conditionalFormatting sqref="H10:H1048576">
    <cfRule type="cellIs" dxfId="2516" priority="4912" operator="lessThan">
      <formula>0</formula>
    </cfRule>
  </conditionalFormatting>
  <conditionalFormatting sqref="H10:H1048576">
    <cfRule type="cellIs" dxfId="2515" priority="4911" operator="lessThan">
      <formula>0</formula>
    </cfRule>
  </conditionalFormatting>
  <conditionalFormatting sqref="H10:H1048576">
    <cfRule type="cellIs" dxfId="2514" priority="4910" operator="lessThan">
      <formula>0</formula>
    </cfRule>
  </conditionalFormatting>
  <conditionalFormatting sqref="H10:H1048576">
    <cfRule type="cellIs" dxfId="2513" priority="4909" operator="lessThan">
      <formula>0</formula>
    </cfRule>
  </conditionalFormatting>
  <conditionalFormatting sqref="H10:H1048576">
    <cfRule type="cellIs" dxfId="2512" priority="4908" operator="lessThan">
      <formula>0</formula>
    </cfRule>
  </conditionalFormatting>
  <conditionalFormatting sqref="H10:H1048576">
    <cfRule type="cellIs" dxfId="2511" priority="4907" operator="lessThan">
      <formula>0</formula>
    </cfRule>
  </conditionalFormatting>
  <conditionalFormatting sqref="H10:H1048576">
    <cfRule type="cellIs" dxfId="2510" priority="4906" operator="lessThan">
      <formula>0</formula>
    </cfRule>
  </conditionalFormatting>
  <conditionalFormatting sqref="H10:H1048576">
    <cfRule type="cellIs" dxfId="2509" priority="4905" operator="lessThan">
      <formula>0</formula>
    </cfRule>
  </conditionalFormatting>
  <conditionalFormatting sqref="H10:H1048576">
    <cfRule type="cellIs" dxfId="2508" priority="4904" operator="lessThan">
      <formula>0</formula>
    </cfRule>
  </conditionalFormatting>
  <conditionalFormatting sqref="H10:H1048576">
    <cfRule type="cellIs" dxfId="2507" priority="4903" operator="lessThan">
      <formula>0</formula>
    </cfRule>
  </conditionalFormatting>
  <conditionalFormatting sqref="H10:H1048576">
    <cfRule type="cellIs" dxfId="2506" priority="4902" operator="lessThan">
      <formula>0</formula>
    </cfRule>
  </conditionalFormatting>
  <conditionalFormatting sqref="H10:H1048576">
    <cfRule type="cellIs" dxfId="2505" priority="4901" operator="lessThan">
      <formula>0</formula>
    </cfRule>
  </conditionalFormatting>
  <conditionalFormatting sqref="H10:H1048576">
    <cfRule type="cellIs" dxfId="2504" priority="4900" operator="lessThan">
      <formula>0</formula>
    </cfRule>
  </conditionalFormatting>
  <conditionalFormatting sqref="H10:H1048576">
    <cfRule type="cellIs" dxfId="2503" priority="4899" operator="lessThan">
      <formula>0</formula>
    </cfRule>
  </conditionalFormatting>
  <conditionalFormatting sqref="H10:H1048576">
    <cfRule type="cellIs" dxfId="2502" priority="4898" operator="lessThan">
      <formula>0</formula>
    </cfRule>
  </conditionalFormatting>
  <conditionalFormatting sqref="H10:H1048576">
    <cfRule type="cellIs" dxfId="2501" priority="4897" operator="lessThan">
      <formula>0</formula>
    </cfRule>
  </conditionalFormatting>
  <conditionalFormatting sqref="H10:H1048576">
    <cfRule type="cellIs" dxfId="2500" priority="4896" operator="lessThan">
      <formula>0</formula>
    </cfRule>
  </conditionalFormatting>
  <conditionalFormatting sqref="H10:H1048576">
    <cfRule type="cellIs" dxfId="2499" priority="4895" operator="lessThan">
      <formula>0</formula>
    </cfRule>
  </conditionalFormatting>
  <conditionalFormatting sqref="H10:H1048576">
    <cfRule type="cellIs" dxfId="2498" priority="4894" operator="lessThan">
      <formula>0</formula>
    </cfRule>
  </conditionalFormatting>
  <conditionalFormatting sqref="H10:H1048576">
    <cfRule type="cellIs" dxfId="2497" priority="4893" operator="lessThan">
      <formula>0</formula>
    </cfRule>
  </conditionalFormatting>
  <conditionalFormatting sqref="H10:H1048576">
    <cfRule type="cellIs" dxfId="2496" priority="4892" operator="lessThan">
      <formula>0</formula>
    </cfRule>
  </conditionalFormatting>
  <conditionalFormatting sqref="H10:H1048576">
    <cfRule type="cellIs" dxfId="2495" priority="4891" operator="lessThan">
      <formula>0</formula>
    </cfRule>
  </conditionalFormatting>
  <conditionalFormatting sqref="H10:H1048576">
    <cfRule type="cellIs" dxfId="2494" priority="4890" operator="lessThan">
      <formula>0</formula>
    </cfRule>
  </conditionalFormatting>
  <conditionalFormatting sqref="H10:H1048576">
    <cfRule type="cellIs" dxfId="2493" priority="4889" operator="lessThan">
      <formula>0</formula>
    </cfRule>
  </conditionalFormatting>
  <conditionalFormatting sqref="H10:H1048576">
    <cfRule type="cellIs" dxfId="2492" priority="4888" operator="lessThan">
      <formula>0</formula>
    </cfRule>
  </conditionalFormatting>
  <conditionalFormatting sqref="H10:H1048576">
    <cfRule type="cellIs" dxfId="2491" priority="4887" operator="lessThan">
      <formula>0</formula>
    </cfRule>
  </conditionalFormatting>
  <conditionalFormatting sqref="H10:H1048576">
    <cfRule type="cellIs" dxfId="2490" priority="4886" operator="lessThan">
      <formula>0</formula>
    </cfRule>
  </conditionalFormatting>
  <conditionalFormatting sqref="H10:H1048576">
    <cfRule type="cellIs" dxfId="2489" priority="4885" operator="lessThan">
      <formula>0</formula>
    </cfRule>
  </conditionalFormatting>
  <conditionalFormatting sqref="H10:H1048576">
    <cfRule type="cellIs" dxfId="2488" priority="4884" operator="lessThan">
      <formula>0</formula>
    </cfRule>
  </conditionalFormatting>
  <conditionalFormatting sqref="H10:H1048576">
    <cfRule type="cellIs" dxfId="2487" priority="4883" operator="lessThan">
      <formula>0</formula>
    </cfRule>
  </conditionalFormatting>
  <conditionalFormatting sqref="H10:H1048576">
    <cfRule type="cellIs" dxfId="2486" priority="4882" operator="lessThan">
      <formula>0</formula>
    </cfRule>
  </conditionalFormatting>
  <conditionalFormatting sqref="H10:H1048576">
    <cfRule type="cellIs" dxfId="2485" priority="4881" operator="lessThan">
      <formula>0</formula>
    </cfRule>
  </conditionalFormatting>
  <conditionalFormatting sqref="H10:H1048576">
    <cfRule type="cellIs" dxfId="2484" priority="4880" operator="lessThan">
      <formula>0</formula>
    </cfRule>
  </conditionalFormatting>
  <conditionalFormatting sqref="H10:H1048576">
    <cfRule type="cellIs" dxfId="2483" priority="4879" operator="lessThan">
      <formula>0</formula>
    </cfRule>
  </conditionalFormatting>
  <conditionalFormatting sqref="H10:H1048576">
    <cfRule type="cellIs" dxfId="2482" priority="4878" operator="lessThan">
      <formula>0</formula>
    </cfRule>
  </conditionalFormatting>
  <conditionalFormatting sqref="H10:H1048576">
    <cfRule type="cellIs" dxfId="2481" priority="4877" operator="lessThan">
      <formula>0</formula>
    </cfRule>
  </conditionalFormatting>
  <conditionalFormatting sqref="H10:H1048576">
    <cfRule type="cellIs" dxfId="2480" priority="4876" operator="lessThan">
      <formula>0</formula>
    </cfRule>
  </conditionalFormatting>
  <conditionalFormatting sqref="H10:H1048576">
    <cfRule type="cellIs" dxfId="2479" priority="4875" operator="lessThan">
      <formula>0</formula>
    </cfRule>
  </conditionalFormatting>
  <conditionalFormatting sqref="H10:H1048576">
    <cfRule type="cellIs" dxfId="2478" priority="4874" operator="lessThan">
      <formula>0</formula>
    </cfRule>
  </conditionalFormatting>
  <conditionalFormatting sqref="H10:H1048576">
    <cfRule type="cellIs" dxfId="2477" priority="4873" operator="lessThan">
      <formula>0</formula>
    </cfRule>
  </conditionalFormatting>
  <conditionalFormatting sqref="H10:H1048576">
    <cfRule type="cellIs" dxfId="2476" priority="4872" operator="lessThan">
      <formula>0</formula>
    </cfRule>
  </conditionalFormatting>
  <conditionalFormatting sqref="H10:H1048576">
    <cfRule type="cellIs" dxfId="2475" priority="4871" operator="lessThan">
      <formula>0</formula>
    </cfRule>
  </conditionalFormatting>
  <conditionalFormatting sqref="H10:H1048576">
    <cfRule type="cellIs" dxfId="2474" priority="4870" operator="lessThan">
      <formula>0</formula>
    </cfRule>
  </conditionalFormatting>
  <conditionalFormatting sqref="H10:H1048576">
    <cfRule type="cellIs" dxfId="2473" priority="4869" operator="lessThan">
      <formula>0</formula>
    </cfRule>
  </conditionalFormatting>
  <conditionalFormatting sqref="H10:H1048576">
    <cfRule type="cellIs" dxfId="2472" priority="4868" operator="lessThan">
      <formula>0</formula>
    </cfRule>
  </conditionalFormatting>
  <conditionalFormatting sqref="H10:H1048576">
    <cfRule type="cellIs" dxfId="2471" priority="4867" operator="lessThan">
      <formula>0</formula>
    </cfRule>
  </conditionalFormatting>
  <conditionalFormatting sqref="H10:H1048576">
    <cfRule type="cellIs" dxfId="2470" priority="4866" operator="lessThan">
      <formula>0</formula>
    </cfRule>
  </conditionalFormatting>
  <conditionalFormatting sqref="H10:H1048576">
    <cfRule type="cellIs" dxfId="2469" priority="4865" operator="lessThan">
      <formula>0</formula>
    </cfRule>
  </conditionalFormatting>
  <conditionalFormatting sqref="H10:H1048576">
    <cfRule type="cellIs" dxfId="2468" priority="4864" operator="lessThan">
      <formula>0</formula>
    </cfRule>
  </conditionalFormatting>
  <conditionalFormatting sqref="H10:H1048576">
    <cfRule type="cellIs" dxfId="2467" priority="4863" operator="lessThan">
      <formula>0</formula>
    </cfRule>
  </conditionalFormatting>
  <conditionalFormatting sqref="H10:H1048576">
    <cfRule type="cellIs" dxfId="2466" priority="4862" operator="lessThan">
      <formula>0</formula>
    </cfRule>
  </conditionalFormatting>
  <conditionalFormatting sqref="H10:H1048576">
    <cfRule type="cellIs" dxfId="2465" priority="4861" operator="lessThan">
      <formula>0</formula>
    </cfRule>
  </conditionalFormatting>
  <conditionalFormatting sqref="H10:H1048576">
    <cfRule type="cellIs" dxfId="2464" priority="4860" operator="lessThan">
      <formula>0</formula>
    </cfRule>
  </conditionalFormatting>
  <conditionalFormatting sqref="H10:H1048576">
    <cfRule type="cellIs" dxfId="2463" priority="4859" operator="lessThan">
      <formula>0</formula>
    </cfRule>
  </conditionalFormatting>
  <conditionalFormatting sqref="H10:H1048576">
    <cfRule type="cellIs" dxfId="2462" priority="4858" operator="lessThan">
      <formula>0</formula>
    </cfRule>
  </conditionalFormatting>
  <conditionalFormatting sqref="H10:H1048576">
    <cfRule type="cellIs" dxfId="2461" priority="4857" operator="lessThan">
      <formula>0</formula>
    </cfRule>
  </conditionalFormatting>
  <conditionalFormatting sqref="H10:H1048576">
    <cfRule type="cellIs" dxfId="2460" priority="4856" operator="lessThan">
      <formula>0</formula>
    </cfRule>
  </conditionalFormatting>
  <conditionalFormatting sqref="H10:H1048576">
    <cfRule type="cellIs" dxfId="2459" priority="4855" operator="lessThan">
      <formula>0</formula>
    </cfRule>
  </conditionalFormatting>
  <conditionalFormatting sqref="H10:H1048576">
    <cfRule type="cellIs" dxfId="2458" priority="4854" operator="lessThan">
      <formula>0</formula>
    </cfRule>
  </conditionalFormatting>
  <conditionalFormatting sqref="H10:H1048576">
    <cfRule type="cellIs" dxfId="2457" priority="4853" operator="lessThan">
      <formula>0</formula>
    </cfRule>
  </conditionalFormatting>
  <conditionalFormatting sqref="H10:H1048576">
    <cfRule type="cellIs" dxfId="2456" priority="4852" operator="lessThan">
      <formula>0</formula>
    </cfRule>
  </conditionalFormatting>
  <conditionalFormatting sqref="H10:H1048576">
    <cfRule type="cellIs" dxfId="2455" priority="4851" operator="lessThan">
      <formula>0</formula>
    </cfRule>
  </conditionalFormatting>
  <conditionalFormatting sqref="H10:H1048576">
    <cfRule type="cellIs" dxfId="2454" priority="4850" operator="lessThan">
      <formula>0</formula>
    </cfRule>
  </conditionalFormatting>
  <conditionalFormatting sqref="H10:H1048576">
    <cfRule type="cellIs" dxfId="2453" priority="4849" operator="lessThan">
      <formula>0</formula>
    </cfRule>
  </conditionalFormatting>
  <conditionalFormatting sqref="H10:H1048576">
    <cfRule type="cellIs" dxfId="2452" priority="4848" operator="lessThan">
      <formula>0</formula>
    </cfRule>
  </conditionalFormatting>
  <conditionalFormatting sqref="H10:H1048576">
    <cfRule type="cellIs" dxfId="2451" priority="4847" operator="lessThan">
      <formula>0</formula>
    </cfRule>
  </conditionalFormatting>
  <conditionalFormatting sqref="H10:H1048576">
    <cfRule type="cellIs" dxfId="2450" priority="4846" operator="lessThan">
      <formula>0</formula>
    </cfRule>
  </conditionalFormatting>
  <conditionalFormatting sqref="H10:H1048576">
    <cfRule type="cellIs" dxfId="2449" priority="4845" operator="lessThan">
      <formula>0</formula>
    </cfRule>
  </conditionalFormatting>
  <conditionalFormatting sqref="H10:H1048576">
    <cfRule type="cellIs" dxfId="2448" priority="4844" operator="lessThan">
      <formula>0</formula>
    </cfRule>
  </conditionalFormatting>
  <conditionalFormatting sqref="H10:H1048576">
    <cfRule type="cellIs" dxfId="2447" priority="4843" operator="lessThan">
      <formula>0</formula>
    </cfRule>
  </conditionalFormatting>
  <conditionalFormatting sqref="H10:H1048576">
    <cfRule type="cellIs" dxfId="2446" priority="4842" operator="lessThan">
      <formula>0</formula>
    </cfRule>
  </conditionalFormatting>
  <conditionalFormatting sqref="H10:H1048576">
    <cfRule type="cellIs" dxfId="2445" priority="4841" operator="lessThan">
      <formula>0</formula>
    </cfRule>
  </conditionalFormatting>
  <conditionalFormatting sqref="H10:H1048576">
    <cfRule type="cellIs" dxfId="2444" priority="4840" operator="lessThan">
      <formula>0</formula>
    </cfRule>
  </conditionalFormatting>
  <conditionalFormatting sqref="H10:H1048576">
    <cfRule type="cellIs" dxfId="2443" priority="4839" operator="lessThan">
      <formula>0</formula>
    </cfRule>
  </conditionalFormatting>
  <conditionalFormatting sqref="H10:H1048576">
    <cfRule type="cellIs" dxfId="2442" priority="4838" operator="lessThan">
      <formula>0</formula>
    </cfRule>
  </conditionalFormatting>
  <conditionalFormatting sqref="H10:H1048576">
    <cfRule type="cellIs" dxfId="2441" priority="4837" operator="lessThan">
      <formula>0</formula>
    </cfRule>
  </conditionalFormatting>
  <conditionalFormatting sqref="H10:H1048576">
    <cfRule type="cellIs" dxfId="2440" priority="4836" operator="lessThan">
      <formula>0</formula>
    </cfRule>
  </conditionalFormatting>
  <conditionalFormatting sqref="H10:H1048576">
    <cfRule type="cellIs" dxfId="2439" priority="4835" operator="lessThan">
      <formula>0</formula>
    </cfRule>
  </conditionalFormatting>
  <conditionalFormatting sqref="H10:H1048576">
    <cfRule type="cellIs" dxfId="2438" priority="4834" operator="lessThan">
      <formula>0</formula>
    </cfRule>
  </conditionalFormatting>
  <conditionalFormatting sqref="H10:H1048576">
    <cfRule type="cellIs" dxfId="2437" priority="4833" operator="lessThan">
      <formula>0</formula>
    </cfRule>
  </conditionalFormatting>
  <conditionalFormatting sqref="H10:H1048576">
    <cfRule type="cellIs" dxfId="2436" priority="4832" operator="lessThan">
      <formula>0</formula>
    </cfRule>
  </conditionalFormatting>
  <conditionalFormatting sqref="H10:H1048576">
    <cfRule type="cellIs" dxfId="2435" priority="4831" operator="lessThan">
      <formula>0</formula>
    </cfRule>
  </conditionalFormatting>
  <conditionalFormatting sqref="H10:H1048576">
    <cfRule type="cellIs" dxfId="2434" priority="4830" operator="lessThan">
      <formula>0</formula>
    </cfRule>
  </conditionalFormatting>
  <conditionalFormatting sqref="H10:H1048576">
    <cfRule type="cellIs" dxfId="2433" priority="4829" operator="lessThan">
      <formula>0</formula>
    </cfRule>
  </conditionalFormatting>
  <conditionalFormatting sqref="H10:H1048576">
    <cfRule type="cellIs" dxfId="2432" priority="4828" operator="lessThan">
      <formula>0</formula>
    </cfRule>
  </conditionalFormatting>
  <conditionalFormatting sqref="H10:H1048576">
    <cfRule type="cellIs" dxfId="2431" priority="4827" operator="lessThan">
      <formula>0</formula>
    </cfRule>
  </conditionalFormatting>
  <conditionalFormatting sqref="H10:H1048576">
    <cfRule type="cellIs" dxfId="2430" priority="4826" operator="lessThan">
      <formula>0</formula>
    </cfRule>
  </conditionalFormatting>
  <conditionalFormatting sqref="H10:H1048576">
    <cfRule type="cellIs" dxfId="2429" priority="4825" operator="lessThan">
      <formula>0</formula>
    </cfRule>
  </conditionalFormatting>
  <conditionalFormatting sqref="H10:H1048576">
    <cfRule type="cellIs" dxfId="2428" priority="4824" operator="lessThan">
      <formula>0</formula>
    </cfRule>
  </conditionalFormatting>
  <conditionalFormatting sqref="H10:H1048576">
    <cfRule type="cellIs" dxfId="2427" priority="4823" operator="lessThan">
      <formula>0</formula>
    </cfRule>
  </conditionalFormatting>
  <conditionalFormatting sqref="H10:H1048576">
    <cfRule type="cellIs" dxfId="2426" priority="4822" operator="lessThan">
      <formula>0</formula>
    </cfRule>
  </conditionalFormatting>
  <conditionalFormatting sqref="H10:H1048576">
    <cfRule type="cellIs" dxfId="2425" priority="4821" operator="lessThan">
      <formula>0</formula>
    </cfRule>
  </conditionalFormatting>
  <conditionalFormatting sqref="H10:H1048576">
    <cfRule type="cellIs" dxfId="2424" priority="4820" operator="lessThan">
      <formula>0</formula>
    </cfRule>
  </conditionalFormatting>
  <conditionalFormatting sqref="H10:H1048576">
    <cfRule type="cellIs" dxfId="2423" priority="4819" operator="lessThan">
      <formula>0</formula>
    </cfRule>
  </conditionalFormatting>
  <conditionalFormatting sqref="H10:H1048576">
    <cfRule type="cellIs" dxfId="2422" priority="4818" operator="lessThan">
      <formula>0</formula>
    </cfRule>
  </conditionalFormatting>
  <conditionalFormatting sqref="H10:H1048576">
    <cfRule type="cellIs" dxfId="2421" priority="4817" operator="lessThan">
      <formula>0</formula>
    </cfRule>
  </conditionalFormatting>
  <conditionalFormatting sqref="H10:H1048576">
    <cfRule type="cellIs" dxfId="2420" priority="4816" operator="lessThan">
      <formula>0</formula>
    </cfRule>
  </conditionalFormatting>
  <conditionalFormatting sqref="H10:H1048576">
    <cfRule type="cellIs" dxfId="2419" priority="4815" operator="lessThan">
      <formula>0</formula>
    </cfRule>
  </conditionalFormatting>
  <conditionalFormatting sqref="H10:H1048576">
    <cfRule type="cellIs" dxfId="2418" priority="4814" operator="lessThan">
      <formula>0</formula>
    </cfRule>
  </conditionalFormatting>
  <conditionalFormatting sqref="H10:H1048576">
    <cfRule type="cellIs" dxfId="2417" priority="4813" operator="lessThan">
      <formula>0</formula>
    </cfRule>
  </conditionalFormatting>
  <conditionalFormatting sqref="H10:H1048576">
    <cfRule type="cellIs" dxfId="2416" priority="4812" operator="lessThan">
      <formula>0</formula>
    </cfRule>
  </conditionalFormatting>
  <conditionalFormatting sqref="H10:H1048576">
    <cfRule type="cellIs" dxfId="2415" priority="4811" operator="lessThan">
      <formula>0</formula>
    </cfRule>
  </conditionalFormatting>
  <conditionalFormatting sqref="H10:H1048576">
    <cfRule type="cellIs" dxfId="2414" priority="4810" operator="lessThan">
      <formula>0</formula>
    </cfRule>
  </conditionalFormatting>
  <conditionalFormatting sqref="H10:H1048576">
    <cfRule type="cellIs" dxfId="2413" priority="4809" operator="lessThan">
      <formula>0</formula>
    </cfRule>
  </conditionalFormatting>
  <conditionalFormatting sqref="H10:H1048576">
    <cfRule type="cellIs" dxfId="2412" priority="4808" operator="lessThan">
      <formula>0</formula>
    </cfRule>
  </conditionalFormatting>
  <conditionalFormatting sqref="H10:H1048576">
    <cfRule type="cellIs" dxfId="2411" priority="4807" operator="lessThan">
      <formula>0</formula>
    </cfRule>
  </conditionalFormatting>
  <conditionalFormatting sqref="H10:H1048576">
    <cfRule type="cellIs" dxfId="2410" priority="4806" operator="lessThan">
      <formula>0</formula>
    </cfRule>
  </conditionalFormatting>
  <conditionalFormatting sqref="H10:H1048576">
    <cfRule type="cellIs" dxfId="2409" priority="4805" operator="lessThan">
      <formula>0</formula>
    </cfRule>
  </conditionalFormatting>
  <conditionalFormatting sqref="H10:H1048576">
    <cfRule type="cellIs" dxfId="2408" priority="4804" operator="lessThan">
      <formula>0</formula>
    </cfRule>
  </conditionalFormatting>
  <conditionalFormatting sqref="H10:H1048576">
    <cfRule type="cellIs" dxfId="2407" priority="4803" operator="lessThan">
      <formula>0</formula>
    </cfRule>
  </conditionalFormatting>
  <conditionalFormatting sqref="H10:H1048576">
    <cfRule type="cellIs" dxfId="2406" priority="4802" operator="lessThan">
      <formula>0</formula>
    </cfRule>
  </conditionalFormatting>
  <conditionalFormatting sqref="H10:H1048576">
    <cfRule type="cellIs" dxfId="2405" priority="4801" operator="lessThan">
      <formula>0</formula>
    </cfRule>
  </conditionalFormatting>
  <conditionalFormatting sqref="H10:H1048576">
    <cfRule type="cellIs" dxfId="2404" priority="4800" operator="lessThan">
      <formula>0</formula>
    </cfRule>
  </conditionalFormatting>
  <conditionalFormatting sqref="H10:H1048576">
    <cfRule type="cellIs" dxfId="2403" priority="4799" operator="lessThan">
      <formula>0</formula>
    </cfRule>
  </conditionalFormatting>
  <conditionalFormatting sqref="H10:H1048576">
    <cfRule type="cellIs" dxfId="2402" priority="4798" operator="lessThan">
      <formula>0</formula>
    </cfRule>
  </conditionalFormatting>
  <conditionalFormatting sqref="H10:H1048576">
    <cfRule type="cellIs" dxfId="2401" priority="4797" operator="lessThan">
      <formula>0</formula>
    </cfRule>
  </conditionalFormatting>
  <conditionalFormatting sqref="H10:H1048576">
    <cfRule type="cellIs" dxfId="2400" priority="4796" operator="lessThan">
      <formula>0</formula>
    </cfRule>
  </conditionalFormatting>
  <conditionalFormatting sqref="H10:H1048576">
    <cfRule type="cellIs" dxfId="2399" priority="4795" operator="lessThan">
      <formula>0</formula>
    </cfRule>
  </conditionalFormatting>
  <conditionalFormatting sqref="H10:H1048576">
    <cfRule type="cellIs" dxfId="2398" priority="4794" operator="lessThan">
      <formula>0</formula>
    </cfRule>
  </conditionalFormatting>
  <conditionalFormatting sqref="H10:H1048576">
    <cfRule type="cellIs" dxfId="2397" priority="4793" operator="lessThan">
      <formula>0</formula>
    </cfRule>
  </conditionalFormatting>
  <conditionalFormatting sqref="H10:H1048576">
    <cfRule type="cellIs" dxfId="2396" priority="4792" operator="lessThan">
      <formula>0</formula>
    </cfRule>
  </conditionalFormatting>
  <conditionalFormatting sqref="H10:H1048576">
    <cfRule type="cellIs" dxfId="2395" priority="4791" operator="lessThan">
      <formula>0</formula>
    </cfRule>
  </conditionalFormatting>
  <conditionalFormatting sqref="H10:H1048576">
    <cfRule type="cellIs" dxfId="2394" priority="4790" operator="lessThan">
      <formula>0</formula>
    </cfRule>
  </conditionalFormatting>
  <conditionalFormatting sqref="H10:H1048576">
    <cfRule type="cellIs" dxfId="2393" priority="4789" operator="lessThan">
      <formula>0</formula>
    </cfRule>
  </conditionalFormatting>
  <conditionalFormatting sqref="H10:H1048576">
    <cfRule type="cellIs" dxfId="2392" priority="4788" operator="lessThan">
      <formula>0</formula>
    </cfRule>
  </conditionalFormatting>
  <conditionalFormatting sqref="H10:H1048576">
    <cfRule type="cellIs" dxfId="2391" priority="4787" operator="lessThan">
      <formula>0</formula>
    </cfRule>
  </conditionalFormatting>
  <conditionalFormatting sqref="H10:H1048576">
    <cfRule type="cellIs" dxfId="2390" priority="4786" operator="lessThan">
      <formula>0</formula>
    </cfRule>
  </conditionalFormatting>
  <conditionalFormatting sqref="H10:H1048576">
    <cfRule type="cellIs" dxfId="2389" priority="4785" operator="lessThan">
      <formula>0</formula>
    </cfRule>
  </conditionalFormatting>
  <conditionalFormatting sqref="H10:H1048576">
    <cfRule type="cellIs" dxfId="2388" priority="4784" operator="lessThan">
      <formula>0</formula>
    </cfRule>
  </conditionalFormatting>
  <conditionalFormatting sqref="H10:H1048576">
    <cfRule type="cellIs" dxfId="2387" priority="4783" operator="lessThan">
      <formula>0</formula>
    </cfRule>
  </conditionalFormatting>
  <conditionalFormatting sqref="H10:H1048576">
    <cfRule type="cellIs" dxfId="2386" priority="4782" operator="lessThan">
      <formula>0</formula>
    </cfRule>
  </conditionalFormatting>
  <conditionalFormatting sqref="H10:H1048576">
    <cfRule type="cellIs" dxfId="2385" priority="4781" operator="lessThan">
      <formula>0</formula>
    </cfRule>
  </conditionalFormatting>
  <conditionalFormatting sqref="H10:H1048576">
    <cfRule type="cellIs" dxfId="2384" priority="4780" operator="lessThan">
      <formula>0</formula>
    </cfRule>
  </conditionalFormatting>
  <conditionalFormatting sqref="H10:H1048576">
    <cfRule type="cellIs" dxfId="2383" priority="4779" operator="lessThan">
      <formula>0</formula>
    </cfRule>
  </conditionalFormatting>
  <conditionalFormatting sqref="H10:H1048576">
    <cfRule type="cellIs" dxfId="2382" priority="4778" operator="lessThan">
      <formula>0</formula>
    </cfRule>
  </conditionalFormatting>
  <conditionalFormatting sqref="H10:H1048576">
    <cfRule type="cellIs" dxfId="2381" priority="4777" operator="lessThan">
      <formula>0</formula>
    </cfRule>
  </conditionalFormatting>
  <conditionalFormatting sqref="H10:H1048576">
    <cfRule type="cellIs" dxfId="2380" priority="4776" operator="lessThan">
      <formula>0</formula>
    </cfRule>
  </conditionalFormatting>
  <conditionalFormatting sqref="H10:H1048576">
    <cfRule type="cellIs" dxfId="2379" priority="4775" operator="lessThan">
      <formula>0</formula>
    </cfRule>
  </conditionalFormatting>
  <conditionalFormatting sqref="H10:H1048576">
    <cfRule type="cellIs" dxfId="2378" priority="4774" operator="lessThan">
      <formula>0</formula>
    </cfRule>
  </conditionalFormatting>
  <conditionalFormatting sqref="H10:H1048576">
    <cfRule type="cellIs" dxfId="2377" priority="4773" operator="lessThan">
      <formula>0</formula>
    </cfRule>
  </conditionalFormatting>
  <conditionalFormatting sqref="H10:H1048576">
    <cfRule type="cellIs" dxfId="2376" priority="4772" operator="lessThan">
      <formula>0</formula>
    </cfRule>
  </conditionalFormatting>
  <conditionalFormatting sqref="H10:H1048576">
    <cfRule type="cellIs" dxfId="2375" priority="4771" operator="lessThan">
      <formula>0</formula>
    </cfRule>
  </conditionalFormatting>
  <conditionalFormatting sqref="H10:H1048576">
    <cfRule type="cellIs" dxfId="2374" priority="4770" operator="lessThan">
      <formula>0</formula>
    </cfRule>
  </conditionalFormatting>
  <conditionalFormatting sqref="H10:H1048576">
    <cfRule type="cellIs" dxfId="2373" priority="4769" operator="lessThan">
      <formula>0</formula>
    </cfRule>
  </conditionalFormatting>
  <conditionalFormatting sqref="H10:H1048576">
    <cfRule type="cellIs" dxfId="2372" priority="4768" operator="lessThan">
      <formula>0</formula>
    </cfRule>
  </conditionalFormatting>
  <conditionalFormatting sqref="H10:H1048576">
    <cfRule type="cellIs" dxfId="2371" priority="4767" operator="lessThan">
      <formula>0</formula>
    </cfRule>
  </conditionalFormatting>
  <conditionalFormatting sqref="H10:H1048576">
    <cfRule type="cellIs" dxfId="2370" priority="4766" operator="lessThan">
      <formula>0</formula>
    </cfRule>
  </conditionalFormatting>
  <conditionalFormatting sqref="H10:H1048576">
    <cfRule type="cellIs" dxfId="2369" priority="4765" operator="lessThan">
      <formula>0</formula>
    </cfRule>
  </conditionalFormatting>
  <conditionalFormatting sqref="H10:H1048576">
    <cfRule type="cellIs" dxfId="2368" priority="4764" operator="lessThan">
      <formula>0</formula>
    </cfRule>
  </conditionalFormatting>
  <conditionalFormatting sqref="H10:H1048576">
    <cfRule type="cellIs" dxfId="2367" priority="4763" operator="lessThan">
      <formula>0</formula>
    </cfRule>
  </conditionalFormatting>
  <conditionalFormatting sqref="H10:H1048576">
    <cfRule type="cellIs" dxfId="2366" priority="4762" operator="lessThan">
      <formula>0</formula>
    </cfRule>
  </conditionalFormatting>
  <conditionalFormatting sqref="H10:H1048576">
    <cfRule type="cellIs" dxfId="2365" priority="4761" operator="lessThan">
      <formula>0</formula>
    </cfRule>
  </conditionalFormatting>
  <conditionalFormatting sqref="H10:H1048576">
    <cfRule type="cellIs" dxfId="2364" priority="4760" operator="lessThan">
      <formula>0</formula>
    </cfRule>
  </conditionalFormatting>
  <conditionalFormatting sqref="H10:H1048576">
    <cfRule type="cellIs" dxfId="2363" priority="4759" operator="lessThan">
      <formula>0</formula>
    </cfRule>
  </conditionalFormatting>
  <conditionalFormatting sqref="H10:H1048576">
    <cfRule type="cellIs" dxfId="2362" priority="4758" operator="lessThan">
      <formula>0</formula>
    </cfRule>
  </conditionalFormatting>
  <conditionalFormatting sqref="H10:H1048576">
    <cfRule type="cellIs" dxfId="2361" priority="4757" operator="lessThan">
      <formula>0</formula>
    </cfRule>
  </conditionalFormatting>
  <conditionalFormatting sqref="H10:H1048576">
    <cfRule type="cellIs" dxfId="2360" priority="4756" operator="lessThan">
      <formula>0</formula>
    </cfRule>
  </conditionalFormatting>
  <conditionalFormatting sqref="H10:H1048576">
    <cfRule type="cellIs" dxfId="2359" priority="4755" operator="lessThan">
      <formula>0</formula>
    </cfRule>
  </conditionalFormatting>
  <conditionalFormatting sqref="H10:H1048576">
    <cfRule type="cellIs" dxfId="2358" priority="4754" operator="lessThan">
      <formula>0</formula>
    </cfRule>
  </conditionalFormatting>
  <conditionalFormatting sqref="H10:H1048576">
    <cfRule type="cellIs" dxfId="2357" priority="4753" operator="lessThan">
      <formula>0</formula>
    </cfRule>
  </conditionalFormatting>
  <conditionalFormatting sqref="H10:H1048576">
    <cfRule type="cellIs" dxfId="2356" priority="4752" operator="lessThan">
      <formula>0</formula>
    </cfRule>
  </conditionalFormatting>
  <conditionalFormatting sqref="H10:H1048576">
    <cfRule type="cellIs" dxfId="2355" priority="4751" operator="lessThan">
      <formula>0</formula>
    </cfRule>
  </conditionalFormatting>
  <conditionalFormatting sqref="H10:H1048576">
    <cfRule type="cellIs" dxfId="2354" priority="4750" operator="lessThan">
      <formula>0</formula>
    </cfRule>
  </conditionalFormatting>
  <conditionalFormatting sqref="H10:H1048576">
    <cfRule type="cellIs" dxfId="2353" priority="4749" operator="lessThan">
      <formula>0</formula>
    </cfRule>
  </conditionalFormatting>
  <conditionalFormatting sqref="H10:H1048576">
    <cfRule type="cellIs" dxfId="2352" priority="4748" operator="lessThan">
      <formula>0</formula>
    </cfRule>
  </conditionalFormatting>
  <conditionalFormatting sqref="H10:H1048576">
    <cfRule type="cellIs" dxfId="2351" priority="4747" operator="lessThan">
      <formula>0</formula>
    </cfRule>
  </conditionalFormatting>
  <conditionalFormatting sqref="H10:H1048576">
    <cfRule type="cellIs" dxfId="2350" priority="4746" operator="lessThan">
      <formula>0</formula>
    </cfRule>
  </conditionalFormatting>
  <conditionalFormatting sqref="H10:H1048576">
    <cfRule type="cellIs" dxfId="2349" priority="4745" operator="lessThan">
      <formula>0</formula>
    </cfRule>
  </conditionalFormatting>
  <conditionalFormatting sqref="H10:H1048576">
    <cfRule type="cellIs" dxfId="2348" priority="4744" operator="lessThan">
      <formula>0</formula>
    </cfRule>
  </conditionalFormatting>
  <conditionalFormatting sqref="H10:H1048576">
    <cfRule type="cellIs" dxfId="2347" priority="4743" operator="lessThan">
      <formula>0</formula>
    </cfRule>
  </conditionalFormatting>
  <conditionalFormatting sqref="H10:H1048576">
    <cfRule type="cellIs" dxfId="2346" priority="4742" operator="lessThan">
      <formula>0</formula>
    </cfRule>
  </conditionalFormatting>
  <conditionalFormatting sqref="H10:H1048576">
    <cfRule type="cellIs" dxfId="2345" priority="4741" operator="lessThan">
      <formula>0</formula>
    </cfRule>
  </conditionalFormatting>
  <conditionalFormatting sqref="H10:H1048576">
    <cfRule type="cellIs" dxfId="2344" priority="4740" operator="lessThan">
      <formula>0</formula>
    </cfRule>
  </conditionalFormatting>
  <conditionalFormatting sqref="H10:H1048576">
    <cfRule type="cellIs" dxfId="2343" priority="4739" operator="lessThan">
      <formula>0</formula>
    </cfRule>
  </conditionalFormatting>
  <conditionalFormatting sqref="H10:H1048576">
    <cfRule type="cellIs" dxfId="2342" priority="4738" operator="lessThan">
      <formula>0</formula>
    </cfRule>
  </conditionalFormatting>
  <conditionalFormatting sqref="H10:H1048576">
    <cfRule type="cellIs" dxfId="2341" priority="4737" operator="lessThan">
      <formula>0</formula>
    </cfRule>
  </conditionalFormatting>
  <conditionalFormatting sqref="H10:H1048576">
    <cfRule type="cellIs" dxfId="2340" priority="4736" operator="lessThan">
      <formula>0</formula>
    </cfRule>
  </conditionalFormatting>
  <conditionalFormatting sqref="H10:H1048576">
    <cfRule type="cellIs" dxfId="2339" priority="4735" operator="lessThan">
      <formula>0</formula>
    </cfRule>
  </conditionalFormatting>
  <conditionalFormatting sqref="H10:H1048576">
    <cfRule type="cellIs" dxfId="2338" priority="4734" operator="lessThan">
      <formula>0</formula>
    </cfRule>
  </conditionalFormatting>
  <conditionalFormatting sqref="H10:H1048576">
    <cfRule type="cellIs" dxfId="2337" priority="4733" operator="lessThan">
      <formula>0</formula>
    </cfRule>
  </conditionalFormatting>
  <conditionalFormatting sqref="H10:H1048576">
    <cfRule type="cellIs" dxfId="2336" priority="4732" operator="lessThan">
      <formula>0</formula>
    </cfRule>
  </conditionalFormatting>
  <conditionalFormatting sqref="H10:H1048576">
    <cfRule type="cellIs" dxfId="2335" priority="4731" operator="lessThan">
      <formula>0</formula>
    </cfRule>
  </conditionalFormatting>
  <conditionalFormatting sqref="H10:H1048576">
    <cfRule type="cellIs" dxfId="2334" priority="4730" operator="lessThan">
      <formula>0</formula>
    </cfRule>
  </conditionalFormatting>
  <conditionalFormatting sqref="H10:H1048576">
    <cfRule type="cellIs" dxfId="2333" priority="4729" operator="lessThan">
      <formula>0</formula>
    </cfRule>
  </conditionalFormatting>
  <conditionalFormatting sqref="H10:H1048576">
    <cfRule type="cellIs" dxfId="2332" priority="4728" operator="lessThan">
      <formula>0</formula>
    </cfRule>
  </conditionalFormatting>
  <conditionalFormatting sqref="H10:H1048576">
    <cfRule type="cellIs" dxfId="2331" priority="4727" operator="lessThan">
      <formula>0</formula>
    </cfRule>
  </conditionalFormatting>
  <conditionalFormatting sqref="H10:H1048576">
    <cfRule type="cellIs" dxfId="2330" priority="4726" operator="lessThan">
      <formula>0</formula>
    </cfRule>
  </conditionalFormatting>
  <conditionalFormatting sqref="H10:H1048576">
    <cfRule type="cellIs" dxfId="2329" priority="4725" operator="lessThan">
      <formula>0</formula>
    </cfRule>
  </conditionalFormatting>
  <conditionalFormatting sqref="H10:H1048576">
    <cfRule type="cellIs" dxfId="2328" priority="4724" operator="lessThan">
      <formula>0</formula>
    </cfRule>
  </conditionalFormatting>
  <conditionalFormatting sqref="H10:H1048576">
    <cfRule type="cellIs" dxfId="2327" priority="4723" operator="lessThan">
      <formula>0</formula>
    </cfRule>
  </conditionalFormatting>
  <conditionalFormatting sqref="H10:H1048576">
    <cfRule type="cellIs" dxfId="2326" priority="4722" operator="lessThan">
      <formula>0</formula>
    </cfRule>
  </conditionalFormatting>
  <conditionalFormatting sqref="H10:H1048576">
    <cfRule type="cellIs" dxfId="2325" priority="4721" operator="lessThan">
      <formula>0</formula>
    </cfRule>
  </conditionalFormatting>
  <conditionalFormatting sqref="H10:H1048576">
    <cfRule type="cellIs" dxfId="2324" priority="4720" operator="lessThan">
      <formula>0</formula>
    </cfRule>
  </conditionalFormatting>
  <conditionalFormatting sqref="H10:H1048576">
    <cfRule type="cellIs" dxfId="2323" priority="4719" operator="lessThan">
      <formula>0</formula>
    </cfRule>
  </conditionalFormatting>
  <conditionalFormatting sqref="H10:H1048576">
    <cfRule type="cellIs" dxfId="2322" priority="4718" operator="lessThan">
      <formula>0</formula>
    </cfRule>
  </conditionalFormatting>
  <conditionalFormatting sqref="H10:H1048576">
    <cfRule type="cellIs" dxfId="2321" priority="4717" operator="lessThan">
      <formula>0</formula>
    </cfRule>
  </conditionalFormatting>
  <conditionalFormatting sqref="H10:H1048576">
    <cfRule type="cellIs" dxfId="2320" priority="4716" operator="lessThan">
      <formula>0</formula>
    </cfRule>
  </conditionalFormatting>
  <conditionalFormatting sqref="H10:H1048576">
    <cfRule type="cellIs" dxfId="2319" priority="4715" operator="lessThan">
      <formula>0</formula>
    </cfRule>
  </conditionalFormatting>
  <conditionalFormatting sqref="H10:H1048576">
    <cfRule type="cellIs" dxfId="2318" priority="4714" operator="lessThan">
      <formula>0</formula>
    </cfRule>
  </conditionalFormatting>
  <conditionalFormatting sqref="H10:H1048576">
    <cfRule type="cellIs" dxfId="2317" priority="4713" operator="lessThan">
      <formula>0</formula>
    </cfRule>
  </conditionalFormatting>
  <conditionalFormatting sqref="H10:H1048576">
    <cfRule type="cellIs" dxfId="2316" priority="4712" operator="lessThan">
      <formula>0</formula>
    </cfRule>
  </conditionalFormatting>
  <conditionalFormatting sqref="H10:H1048576">
    <cfRule type="cellIs" dxfId="2315" priority="4711" operator="lessThan">
      <formula>0</formula>
    </cfRule>
  </conditionalFormatting>
  <conditionalFormatting sqref="H10:H1048576">
    <cfRule type="cellIs" dxfId="2314" priority="4710" operator="lessThan">
      <formula>0</formula>
    </cfRule>
  </conditionalFormatting>
  <conditionalFormatting sqref="H10:H1048576">
    <cfRule type="cellIs" dxfId="2313" priority="4709" operator="lessThan">
      <formula>0</formula>
    </cfRule>
  </conditionalFormatting>
  <conditionalFormatting sqref="H10:H1048576">
    <cfRule type="cellIs" dxfId="2312" priority="4708" operator="lessThan">
      <formula>0</formula>
    </cfRule>
  </conditionalFormatting>
  <conditionalFormatting sqref="H10:H1048576">
    <cfRule type="cellIs" dxfId="2311" priority="4707" operator="lessThan">
      <formula>0</formula>
    </cfRule>
  </conditionalFormatting>
  <conditionalFormatting sqref="H10:H1048576">
    <cfRule type="cellIs" dxfId="2310" priority="4706" operator="lessThan">
      <formula>0</formula>
    </cfRule>
  </conditionalFormatting>
  <conditionalFormatting sqref="H10:H1048576">
    <cfRule type="cellIs" dxfId="2309" priority="4705" operator="lessThan">
      <formula>0</formula>
    </cfRule>
  </conditionalFormatting>
  <conditionalFormatting sqref="H10:H1048576">
    <cfRule type="cellIs" dxfId="2308" priority="4704" operator="lessThan">
      <formula>0</formula>
    </cfRule>
  </conditionalFormatting>
  <conditionalFormatting sqref="H10:H1048576">
    <cfRule type="cellIs" dxfId="2307" priority="4703" operator="lessThan">
      <formula>0</formula>
    </cfRule>
  </conditionalFormatting>
  <conditionalFormatting sqref="H10:H1048576">
    <cfRule type="cellIs" dxfId="2306" priority="4702" operator="lessThan">
      <formula>0</formula>
    </cfRule>
  </conditionalFormatting>
  <conditionalFormatting sqref="H10:H1048576">
    <cfRule type="cellIs" dxfId="2305" priority="4701" operator="lessThan">
      <formula>0</formula>
    </cfRule>
  </conditionalFormatting>
  <conditionalFormatting sqref="H10:H1048576">
    <cfRule type="cellIs" dxfId="2304" priority="4700" operator="lessThan">
      <formula>0</formula>
    </cfRule>
  </conditionalFormatting>
  <conditionalFormatting sqref="H10:H1048576">
    <cfRule type="cellIs" dxfId="2303" priority="4699" operator="lessThan">
      <formula>0</formula>
    </cfRule>
  </conditionalFormatting>
  <conditionalFormatting sqref="H10:H1048576">
    <cfRule type="cellIs" dxfId="2302" priority="4698" operator="lessThan">
      <formula>0</formula>
    </cfRule>
  </conditionalFormatting>
  <conditionalFormatting sqref="H10:H1048576">
    <cfRule type="cellIs" dxfId="2301" priority="4697" operator="lessThan">
      <formula>0</formula>
    </cfRule>
  </conditionalFormatting>
  <conditionalFormatting sqref="H10:H1048576">
    <cfRule type="cellIs" dxfId="2300" priority="4696" operator="lessThan">
      <formula>0</formula>
    </cfRule>
  </conditionalFormatting>
  <conditionalFormatting sqref="H10:H1048576">
    <cfRule type="cellIs" dxfId="2299" priority="4695" operator="lessThan">
      <formula>0</formula>
    </cfRule>
  </conditionalFormatting>
  <conditionalFormatting sqref="H10:H1048576">
    <cfRule type="cellIs" dxfId="2298" priority="4694" operator="lessThan">
      <formula>0</formula>
    </cfRule>
  </conditionalFormatting>
  <conditionalFormatting sqref="H10:H1048576">
    <cfRule type="cellIs" dxfId="2297" priority="4693" operator="lessThan">
      <formula>0</formula>
    </cfRule>
  </conditionalFormatting>
  <conditionalFormatting sqref="H10:H1048576">
    <cfRule type="cellIs" dxfId="2296" priority="4692" operator="lessThan">
      <formula>0</formula>
    </cfRule>
  </conditionalFormatting>
  <conditionalFormatting sqref="H10:H1048576">
    <cfRule type="cellIs" dxfId="2295" priority="4691" operator="lessThan">
      <formula>0</formula>
    </cfRule>
  </conditionalFormatting>
  <conditionalFormatting sqref="H10:H1048576">
    <cfRule type="cellIs" dxfId="2294" priority="4690" operator="lessThan">
      <formula>0</formula>
    </cfRule>
  </conditionalFormatting>
  <conditionalFormatting sqref="H10:H1048576">
    <cfRule type="cellIs" dxfId="2293" priority="4689" operator="lessThan">
      <formula>0</formula>
    </cfRule>
  </conditionalFormatting>
  <conditionalFormatting sqref="H10:H1048576">
    <cfRule type="cellIs" dxfId="2292" priority="4688" operator="lessThan">
      <formula>0</formula>
    </cfRule>
  </conditionalFormatting>
  <conditionalFormatting sqref="H10:H1048576">
    <cfRule type="cellIs" dxfId="2291" priority="4687" operator="lessThan">
      <formula>0</formula>
    </cfRule>
  </conditionalFormatting>
  <conditionalFormatting sqref="H10:H1048576">
    <cfRule type="cellIs" dxfId="2290" priority="4686" operator="lessThan">
      <formula>0</formula>
    </cfRule>
  </conditionalFormatting>
  <conditionalFormatting sqref="H10:H1048576">
    <cfRule type="cellIs" dxfId="2289" priority="4685" operator="lessThan">
      <formula>0</formula>
    </cfRule>
  </conditionalFormatting>
  <conditionalFormatting sqref="H10:H1048576">
    <cfRule type="cellIs" dxfId="2288" priority="4684" operator="lessThan">
      <formula>0</formula>
    </cfRule>
  </conditionalFormatting>
  <conditionalFormatting sqref="H10:H1048576">
    <cfRule type="cellIs" dxfId="2287" priority="4683" operator="lessThan">
      <formula>0</formula>
    </cfRule>
  </conditionalFormatting>
  <conditionalFormatting sqref="H10:H1048576">
    <cfRule type="cellIs" dxfId="2286" priority="4682" operator="lessThan">
      <formula>0</formula>
    </cfRule>
  </conditionalFormatting>
  <conditionalFormatting sqref="H10:H1048576">
    <cfRule type="cellIs" dxfId="2285" priority="4681" operator="lessThan">
      <formula>0</formula>
    </cfRule>
  </conditionalFormatting>
  <conditionalFormatting sqref="H10:H1048576">
    <cfRule type="cellIs" dxfId="2284" priority="4680" operator="lessThan">
      <formula>0</formula>
    </cfRule>
  </conditionalFormatting>
  <conditionalFormatting sqref="H10:H1048576">
    <cfRule type="cellIs" dxfId="2283" priority="4679" operator="lessThan">
      <formula>0</formula>
    </cfRule>
  </conditionalFormatting>
  <conditionalFormatting sqref="H10:H1048576">
    <cfRule type="cellIs" dxfId="2282" priority="4678" operator="lessThan">
      <formula>0</formula>
    </cfRule>
  </conditionalFormatting>
  <conditionalFormatting sqref="H10:H1048576">
    <cfRule type="cellIs" dxfId="2281" priority="4677" operator="lessThan">
      <formula>0</formula>
    </cfRule>
  </conditionalFormatting>
  <conditionalFormatting sqref="H10:H1048576">
    <cfRule type="cellIs" dxfId="2280" priority="4676" operator="lessThan">
      <formula>0</formula>
    </cfRule>
  </conditionalFormatting>
  <conditionalFormatting sqref="H10:H1048576">
    <cfRule type="cellIs" dxfId="2279" priority="4675" operator="lessThan">
      <formula>0</formula>
    </cfRule>
  </conditionalFormatting>
  <conditionalFormatting sqref="H10:H1048576">
    <cfRule type="cellIs" dxfId="2278" priority="4674" operator="lessThan">
      <formula>0</formula>
    </cfRule>
  </conditionalFormatting>
  <conditionalFormatting sqref="H10:H1048576">
    <cfRule type="cellIs" dxfId="2277" priority="4673" operator="lessThan">
      <formula>0</formula>
    </cfRule>
  </conditionalFormatting>
  <conditionalFormatting sqref="H10:H1048576">
    <cfRule type="cellIs" dxfId="2276" priority="4672" operator="lessThan">
      <formula>0</formula>
    </cfRule>
  </conditionalFormatting>
  <conditionalFormatting sqref="H10:H1048576">
    <cfRule type="cellIs" dxfId="2275" priority="4671" operator="lessThan">
      <formula>0</formula>
    </cfRule>
  </conditionalFormatting>
  <conditionalFormatting sqref="H10:H1048576">
    <cfRule type="cellIs" dxfId="2274" priority="4670" operator="lessThan">
      <formula>0</formula>
    </cfRule>
  </conditionalFormatting>
  <conditionalFormatting sqref="H10:H1048576">
    <cfRule type="cellIs" dxfId="2273" priority="4669" operator="lessThan">
      <formula>0</formula>
    </cfRule>
  </conditionalFormatting>
  <conditionalFormatting sqref="H10:H1048576">
    <cfRule type="cellIs" dxfId="2272" priority="4668" operator="lessThan">
      <formula>0</formula>
    </cfRule>
  </conditionalFormatting>
  <conditionalFormatting sqref="H10:H1048576">
    <cfRule type="cellIs" dxfId="2271" priority="4667" operator="lessThan">
      <formula>0</formula>
    </cfRule>
  </conditionalFormatting>
  <conditionalFormatting sqref="H10:H1048576">
    <cfRule type="cellIs" dxfId="2270" priority="4666" operator="lessThan">
      <formula>0</formula>
    </cfRule>
  </conditionalFormatting>
  <conditionalFormatting sqref="H10:H1048576">
    <cfRule type="cellIs" dxfId="2269" priority="4665" operator="lessThan">
      <formula>0</formula>
    </cfRule>
  </conditionalFormatting>
  <conditionalFormatting sqref="H10:H1048576">
    <cfRule type="cellIs" dxfId="2268" priority="4664" operator="lessThan">
      <formula>0</formula>
    </cfRule>
  </conditionalFormatting>
  <conditionalFormatting sqref="H10:H1048576">
    <cfRule type="cellIs" dxfId="2267" priority="4663" operator="lessThan">
      <formula>0</formula>
    </cfRule>
  </conditionalFormatting>
  <conditionalFormatting sqref="H10:H1048576">
    <cfRule type="cellIs" dxfId="2266" priority="4662" operator="lessThan">
      <formula>0</formula>
    </cfRule>
  </conditionalFormatting>
  <conditionalFormatting sqref="H10:H1048576">
    <cfRule type="cellIs" dxfId="2265" priority="4661" operator="lessThan">
      <formula>0</formula>
    </cfRule>
  </conditionalFormatting>
  <conditionalFormatting sqref="H10:H1048576">
    <cfRule type="cellIs" dxfId="2264" priority="4660" operator="lessThan">
      <formula>0</formula>
    </cfRule>
  </conditionalFormatting>
  <conditionalFormatting sqref="H10:H1048576">
    <cfRule type="cellIs" dxfId="2263" priority="4659" operator="lessThan">
      <formula>0</formula>
    </cfRule>
  </conditionalFormatting>
  <conditionalFormatting sqref="H10:H1048576">
    <cfRule type="cellIs" dxfId="2262" priority="4658" operator="lessThan">
      <formula>0</formula>
    </cfRule>
  </conditionalFormatting>
  <conditionalFormatting sqref="H10:H1048576">
    <cfRule type="cellIs" dxfId="2261" priority="4657" operator="lessThan">
      <formula>0</formula>
    </cfRule>
  </conditionalFormatting>
  <conditionalFormatting sqref="H10:H1048576">
    <cfRule type="cellIs" dxfId="2260" priority="4656" operator="lessThan">
      <formula>0</formula>
    </cfRule>
  </conditionalFormatting>
  <conditionalFormatting sqref="H10:H1048576">
    <cfRule type="cellIs" dxfId="2259" priority="4655" operator="lessThan">
      <formula>0</formula>
    </cfRule>
  </conditionalFormatting>
  <conditionalFormatting sqref="H10:H1048576">
    <cfRule type="cellIs" dxfId="2258" priority="4654" operator="lessThan">
      <formula>0</formula>
    </cfRule>
  </conditionalFormatting>
  <conditionalFormatting sqref="H10:H1048576">
    <cfRule type="cellIs" dxfId="2257" priority="4653" operator="lessThan">
      <formula>0</formula>
    </cfRule>
  </conditionalFormatting>
  <conditionalFormatting sqref="H10:H1048576">
    <cfRule type="cellIs" dxfId="2256" priority="4652" operator="lessThan">
      <formula>0</formula>
    </cfRule>
  </conditionalFormatting>
  <conditionalFormatting sqref="H10:H1048576">
    <cfRule type="cellIs" dxfId="2255" priority="4651" operator="lessThan">
      <formula>0</formula>
    </cfRule>
  </conditionalFormatting>
  <conditionalFormatting sqref="H10:H1048576">
    <cfRule type="cellIs" dxfId="2254" priority="4650" operator="lessThan">
      <formula>0</formula>
    </cfRule>
  </conditionalFormatting>
  <conditionalFormatting sqref="H10:H1048576">
    <cfRule type="cellIs" dxfId="2253" priority="4649" operator="lessThan">
      <formula>0</formula>
    </cfRule>
  </conditionalFormatting>
  <conditionalFormatting sqref="H10:H1048576">
    <cfRule type="cellIs" dxfId="2252" priority="4648" operator="lessThan">
      <formula>0</formula>
    </cfRule>
  </conditionalFormatting>
  <conditionalFormatting sqref="H10:H1048576">
    <cfRule type="cellIs" dxfId="2251" priority="4647" operator="lessThan">
      <formula>0</formula>
    </cfRule>
  </conditionalFormatting>
  <conditionalFormatting sqref="H10:H1048576">
    <cfRule type="cellIs" dxfId="2250" priority="4646" operator="lessThan">
      <formula>0</formula>
    </cfRule>
  </conditionalFormatting>
  <conditionalFormatting sqref="H10:H1048576">
    <cfRule type="cellIs" dxfId="2249" priority="4645" operator="lessThan">
      <formula>0</formula>
    </cfRule>
  </conditionalFormatting>
  <conditionalFormatting sqref="H10:H1048576">
    <cfRule type="cellIs" dxfId="2248" priority="4644" operator="lessThan">
      <formula>0</formula>
    </cfRule>
  </conditionalFormatting>
  <conditionalFormatting sqref="H10:H1048576">
    <cfRule type="cellIs" dxfId="2247" priority="4643" operator="lessThan">
      <formula>0</formula>
    </cfRule>
  </conditionalFormatting>
  <conditionalFormatting sqref="H10:H1048576">
    <cfRule type="cellIs" dxfId="2246" priority="4642" operator="lessThan">
      <formula>0</formula>
    </cfRule>
  </conditionalFormatting>
  <conditionalFormatting sqref="H10:H1048576">
    <cfRule type="cellIs" dxfId="2245" priority="4641" operator="lessThan">
      <formula>0</formula>
    </cfRule>
  </conditionalFormatting>
  <conditionalFormatting sqref="H10:H1048576">
    <cfRule type="cellIs" dxfId="2244" priority="4640" operator="lessThan">
      <formula>0</formula>
    </cfRule>
  </conditionalFormatting>
  <conditionalFormatting sqref="H10:H1048576">
    <cfRule type="cellIs" dxfId="2243" priority="4639" operator="lessThan">
      <formula>0</formula>
    </cfRule>
  </conditionalFormatting>
  <conditionalFormatting sqref="H10:H1048576">
    <cfRule type="cellIs" dxfId="2242" priority="4638" operator="lessThan">
      <formula>0</formula>
    </cfRule>
  </conditionalFormatting>
  <conditionalFormatting sqref="H10:H1048576">
    <cfRule type="cellIs" dxfId="2241" priority="4637" operator="lessThan">
      <formula>0</formula>
    </cfRule>
  </conditionalFormatting>
  <conditionalFormatting sqref="H10:H1048576">
    <cfRule type="cellIs" dxfId="2240" priority="4636" operator="lessThan">
      <formula>0</formula>
    </cfRule>
  </conditionalFormatting>
  <conditionalFormatting sqref="H10:H1048576">
    <cfRule type="cellIs" dxfId="2239" priority="4635" operator="lessThan">
      <formula>0</formula>
    </cfRule>
  </conditionalFormatting>
  <conditionalFormatting sqref="H10:H1048576">
    <cfRule type="cellIs" dxfId="2238" priority="4634" operator="lessThan">
      <formula>0</formula>
    </cfRule>
  </conditionalFormatting>
  <conditionalFormatting sqref="H10:H1048576">
    <cfRule type="cellIs" dxfId="2237" priority="4633" operator="lessThan">
      <formula>0</formula>
    </cfRule>
  </conditionalFormatting>
  <conditionalFormatting sqref="H10:H1048576">
    <cfRule type="cellIs" dxfId="2236" priority="4632" operator="lessThan">
      <formula>0</formula>
    </cfRule>
  </conditionalFormatting>
  <conditionalFormatting sqref="H10:H1048576">
    <cfRule type="cellIs" dxfId="2235" priority="4631" operator="lessThan">
      <formula>0</formula>
    </cfRule>
  </conditionalFormatting>
  <conditionalFormatting sqref="H10:H1048576">
    <cfRule type="cellIs" dxfId="2234" priority="4630" operator="lessThan">
      <formula>0</formula>
    </cfRule>
  </conditionalFormatting>
  <conditionalFormatting sqref="H10:H1048576">
    <cfRule type="cellIs" dxfId="2233" priority="4629" operator="lessThan">
      <formula>0</formula>
    </cfRule>
  </conditionalFormatting>
  <conditionalFormatting sqref="H10:H1048576">
    <cfRule type="cellIs" dxfId="2232" priority="4628" operator="lessThan">
      <formula>0</formula>
    </cfRule>
  </conditionalFormatting>
  <conditionalFormatting sqref="H10:H1048576">
    <cfRule type="cellIs" dxfId="2231" priority="4627" operator="lessThan">
      <formula>0</formula>
    </cfRule>
  </conditionalFormatting>
  <conditionalFormatting sqref="H10:H1048576">
    <cfRule type="cellIs" dxfId="2230" priority="4626" operator="lessThan">
      <formula>0</formula>
    </cfRule>
  </conditionalFormatting>
  <conditionalFormatting sqref="H10:H1048576">
    <cfRule type="cellIs" dxfId="2229" priority="4625" operator="lessThan">
      <formula>0</formula>
    </cfRule>
  </conditionalFormatting>
  <conditionalFormatting sqref="H10:H1048576">
    <cfRule type="cellIs" dxfId="2228" priority="4624" operator="lessThan">
      <formula>0</formula>
    </cfRule>
  </conditionalFormatting>
  <conditionalFormatting sqref="H10:H1048576">
    <cfRule type="cellIs" dxfId="2227" priority="4623" operator="lessThan">
      <formula>0</formula>
    </cfRule>
  </conditionalFormatting>
  <conditionalFormatting sqref="H10:H1048576">
    <cfRule type="cellIs" dxfId="2226" priority="4622" operator="lessThan">
      <formula>0</formula>
    </cfRule>
  </conditionalFormatting>
  <conditionalFormatting sqref="H10:H1048576">
    <cfRule type="cellIs" dxfId="2225" priority="4621" operator="lessThan">
      <formula>0</formula>
    </cfRule>
  </conditionalFormatting>
  <conditionalFormatting sqref="H10:H1048576">
    <cfRule type="cellIs" dxfId="2224" priority="4620" operator="lessThan">
      <formula>0</formula>
    </cfRule>
  </conditionalFormatting>
  <conditionalFormatting sqref="H10:H1048576">
    <cfRule type="cellIs" dxfId="2223" priority="4619" operator="lessThan">
      <formula>0</formula>
    </cfRule>
  </conditionalFormatting>
  <conditionalFormatting sqref="H10:H1048576">
    <cfRule type="cellIs" dxfId="2222" priority="4618" operator="lessThan">
      <formula>0</formula>
    </cfRule>
  </conditionalFormatting>
  <conditionalFormatting sqref="H10:H1048576">
    <cfRule type="cellIs" dxfId="2221" priority="4617" operator="lessThan">
      <formula>0</formula>
    </cfRule>
  </conditionalFormatting>
  <conditionalFormatting sqref="H10:H1048576">
    <cfRule type="cellIs" dxfId="2220" priority="4616" operator="lessThan">
      <formula>0</formula>
    </cfRule>
  </conditionalFormatting>
  <conditionalFormatting sqref="H10:H1048576">
    <cfRule type="cellIs" dxfId="2219" priority="4615" operator="lessThan">
      <formula>0</formula>
    </cfRule>
  </conditionalFormatting>
  <conditionalFormatting sqref="H10:H1048576">
    <cfRule type="cellIs" dxfId="2218" priority="4614" operator="lessThan">
      <formula>0</formula>
    </cfRule>
  </conditionalFormatting>
  <conditionalFormatting sqref="H10:H1048576">
    <cfRule type="cellIs" dxfId="2217" priority="4613" operator="lessThan">
      <formula>0</formula>
    </cfRule>
  </conditionalFormatting>
  <conditionalFormatting sqref="H10:H1048576">
    <cfRule type="cellIs" dxfId="2216" priority="4612" operator="lessThan">
      <formula>0</formula>
    </cfRule>
  </conditionalFormatting>
  <conditionalFormatting sqref="H10:H1048576">
    <cfRule type="cellIs" dxfId="2215" priority="4611" operator="lessThan">
      <formula>0</formula>
    </cfRule>
  </conditionalFormatting>
  <conditionalFormatting sqref="H10:H1048576">
    <cfRule type="cellIs" dxfId="2214" priority="4610" operator="lessThan">
      <formula>0</formula>
    </cfRule>
  </conditionalFormatting>
  <conditionalFormatting sqref="H10:H1048576">
    <cfRule type="cellIs" dxfId="2213" priority="4609" operator="lessThan">
      <formula>0</formula>
    </cfRule>
  </conditionalFormatting>
  <conditionalFormatting sqref="H10:H1048576">
    <cfRule type="cellIs" dxfId="2212" priority="4608" operator="lessThan">
      <formula>0</formula>
    </cfRule>
  </conditionalFormatting>
  <conditionalFormatting sqref="H10:H1048576">
    <cfRule type="cellIs" dxfId="2211" priority="4607" operator="lessThan">
      <formula>0</formula>
    </cfRule>
  </conditionalFormatting>
  <conditionalFormatting sqref="H10:H1048576">
    <cfRule type="cellIs" dxfId="2210" priority="4606" operator="lessThan">
      <formula>0</formula>
    </cfRule>
  </conditionalFormatting>
  <conditionalFormatting sqref="H10:H1048576">
    <cfRule type="cellIs" dxfId="2209" priority="4605" operator="lessThan">
      <formula>0</formula>
    </cfRule>
  </conditionalFormatting>
  <conditionalFormatting sqref="H10:H1048576">
    <cfRule type="cellIs" dxfId="2208" priority="4604" operator="lessThan">
      <formula>0</formula>
    </cfRule>
  </conditionalFormatting>
  <conditionalFormatting sqref="H10:H1048576">
    <cfRule type="cellIs" dxfId="2207" priority="4603" operator="lessThan">
      <formula>0</formula>
    </cfRule>
  </conditionalFormatting>
  <conditionalFormatting sqref="H10:H1048576">
    <cfRule type="cellIs" dxfId="2206" priority="4602" operator="lessThan">
      <formula>0</formula>
    </cfRule>
  </conditionalFormatting>
  <conditionalFormatting sqref="H10:H1048576">
    <cfRule type="cellIs" dxfId="2205" priority="4601" operator="lessThan">
      <formula>0</formula>
    </cfRule>
  </conditionalFormatting>
  <conditionalFormatting sqref="H10:H1048576">
    <cfRule type="cellIs" dxfId="2204" priority="4600" operator="lessThan">
      <formula>0</formula>
    </cfRule>
  </conditionalFormatting>
  <conditionalFormatting sqref="H10:H1048576">
    <cfRule type="cellIs" dxfId="2203" priority="4599" operator="lessThan">
      <formula>0</formula>
    </cfRule>
  </conditionalFormatting>
  <conditionalFormatting sqref="H10:H1048576">
    <cfRule type="cellIs" dxfId="2202" priority="4598" operator="lessThan">
      <formula>0</formula>
    </cfRule>
  </conditionalFormatting>
  <conditionalFormatting sqref="H10:H1048576">
    <cfRule type="cellIs" dxfId="2201" priority="4597" operator="lessThan">
      <formula>0</formula>
    </cfRule>
  </conditionalFormatting>
  <conditionalFormatting sqref="H10:H1048576">
    <cfRule type="cellIs" dxfId="2200" priority="4596" operator="lessThan">
      <formula>0</formula>
    </cfRule>
  </conditionalFormatting>
  <conditionalFormatting sqref="H10:H1048576">
    <cfRule type="cellIs" dxfId="2199" priority="4595" operator="lessThan">
      <formula>0</formula>
    </cfRule>
  </conditionalFormatting>
  <conditionalFormatting sqref="H10:H1048576">
    <cfRule type="cellIs" dxfId="2198" priority="4594" operator="lessThan">
      <formula>0</formula>
    </cfRule>
  </conditionalFormatting>
  <conditionalFormatting sqref="H10:H1048576">
    <cfRule type="cellIs" dxfId="2197" priority="4593" operator="lessThan">
      <formula>0</formula>
    </cfRule>
  </conditionalFormatting>
  <conditionalFormatting sqref="H10:H1048576">
    <cfRule type="cellIs" dxfId="2196" priority="4592" operator="lessThan">
      <formula>0</formula>
    </cfRule>
  </conditionalFormatting>
  <conditionalFormatting sqref="H10:H1048576">
    <cfRule type="cellIs" dxfId="2195" priority="4591" operator="lessThan">
      <formula>0</formula>
    </cfRule>
  </conditionalFormatting>
  <conditionalFormatting sqref="H10:H1048576">
    <cfRule type="cellIs" dxfId="2194" priority="4590" operator="lessThan">
      <formula>0</formula>
    </cfRule>
  </conditionalFormatting>
  <conditionalFormatting sqref="H10:H1048576">
    <cfRule type="cellIs" dxfId="2193" priority="4589" operator="lessThan">
      <formula>0</formula>
    </cfRule>
  </conditionalFormatting>
  <conditionalFormatting sqref="H10:H1048576">
    <cfRule type="cellIs" dxfId="2192" priority="4588" operator="lessThan">
      <formula>0</formula>
    </cfRule>
  </conditionalFormatting>
  <conditionalFormatting sqref="H10:H1048576">
    <cfRule type="cellIs" dxfId="2191" priority="4587" operator="lessThan">
      <formula>0</formula>
    </cfRule>
  </conditionalFormatting>
  <conditionalFormatting sqref="H10:H1048576">
    <cfRule type="cellIs" dxfId="2190" priority="4586" operator="lessThan">
      <formula>0</formula>
    </cfRule>
  </conditionalFormatting>
  <conditionalFormatting sqref="H10:H1048576">
    <cfRule type="cellIs" dxfId="2189" priority="4585" operator="lessThan">
      <formula>0</formula>
    </cfRule>
  </conditionalFormatting>
  <conditionalFormatting sqref="H10:H1048576">
    <cfRule type="cellIs" dxfId="2188" priority="4584" operator="lessThan">
      <formula>0</formula>
    </cfRule>
  </conditionalFormatting>
  <conditionalFormatting sqref="H10:H1048576">
    <cfRule type="cellIs" dxfId="2187" priority="4583" operator="lessThan">
      <formula>0</formula>
    </cfRule>
  </conditionalFormatting>
  <conditionalFormatting sqref="H10:H1048576">
    <cfRule type="cellIs" dxfId="2186" priority="4582" operator="lessThan">
      <formula>0</formula>
    </cfRule>
  </conditionalFormatting>
  <conditionalFormatting sqref="H10:H1048576">
    <cfRule type="cellIs" dxfId="2185" priority="4581" operator="lessThan">
      <formula>0</formula>
    </cfRule>
  </conditionalFormatting>
  <conditionalFormatting sqref="H10:H1048576">
    <cfRule type="cellIs" dxfId="2184" priority="4580" operator="lessThan">
      <formula>0</formula>
    </cfRule>
  </conditionalFormatting>
  <conditionalFormatting sqref="H10:H1048576">
    <cfRule type="cellIs" dxfId="2183" priority="4579" operator="lessThan">
      <formula>0</formula>
    </cfRule>
  </conditionalFormatting>
  <conditionalFormatting sqref="H10:H1048576">
    <cfRule type="cellIs" dxfId="2182" priority="4578" operator="lessThan">
      <formula>0</formula>
    </cfRule>
  </conditionalFormatting>
  <conditionalFormatting sqref="H10:H1048576">
    <cfRule type="cellIs" dxfId="2181" priority="4577" operator="lessThan">
      <formula>0</formula>
    </cfRule>
  </conditionalFormatting>
  <conditionalFormatting sqref="H10:H1048576">
    <cfRule type="cellIs" dxfId="2180" priority="4576" operator="lessThan">
      <formula>0</formula>
    </cfRule>
  </conditionalFormatting>
  <conditionalFormatting sqref="H10:H1048576">
    <cfRule type="cellIs" dxfId="2179" priority="4575" operator="lessThan">
      <formula>0</formula>
    </cfRule>
  </conditionalFormatting>
  <conditionalFormatting sqref="H10:H1048576">
    <cfRule type="cellIs" dxfId="2178" priority="4574" operator="lessThan">
      <formula>0</formula>
    </cfRule>
  </conditionalFormatting>
  <conditionalFormatting sqref="H10:H1048576">
    <cfRule type="cellIs" dxfId="2177" priority="4573" operator="lessThan">
      <formula>0</formula>
    </cfRule>
  </conditionalFormatting>
  <conditionalFormatting sqref="H10:H1048576">
    <cfRule type="cellIs" dxfId="2176" priority="4572" operator="lessThan">
      <formula>0</formula>
    </cfRule>
  </conditionalFormatting>
  <conditionalFormatting sqref="H10:H1048576">
    <cfRule type="cellIs" dxfId="2175" priority="4571" operator="lessThan">
      <formula>0</formula>
    </cfRule>
  </conditionalFormatting>
  <conditionalFormatting sqref="H10:H1048576">
    <cfRule type="cellIs" dxfId="2174" priority="4570" operator="lessThan">
      <formula>0</formula>
    </cfRule>
  </conditionalFormatting>
  <conditionalFormatting sqref="H10:H1048576">
    <cfRule type="cellIs" dxfId="2173" priority="4569" operator="lessThan">
      <formula>0</formula>
    </cfRule>
  </conditionalFormatting>
  <conditionalFormatting sqref="H10:H1048576">
    <cfRule type="cellIs" dxfId="2172" priority="4568" operator="lessThan">
      <formula>0</formula>
    </cfRule>
  </conditionalFormatting>
  <conditionalFormatting sqref="H10:H1048576">
    <cfRule type="cellIs" dxfId="2171" priority="4567" operator="lessThan">
      <formula>0</formula>
    </cfRule>
  </conditionalFormatting>
  <conditionalFormatting sqref="H10:H1048576">
    <cfRule type="cellIs" dxfId="2170" priority="4566" operator="lessThan">
      <formula>0</formula>
    </cfRule>
  </conditionalFormatting>
  <conditionalFormatting sqref="H10:H1048576">
    <cfRule type="cellIs" dxfId="2169" priority="4565" operator="lessThan">
      <formula>0</formula>
    </cfRule>
  </conditionalFormatting>
  <conditionalFormatting sqref="H10:H1048576">
    <cfRule type="cellIs" dxfId="2168" priority="4564" operator="lessThan">
      <formula>0</formula>
    </cfRule>
  </conditionalFormatting>
  <conditionalFormatting sqref="H10:H1048576">
    <cfRule type="cellIs" dxfId="2167" priority="4563" operator="lessThan">
      <formula>0</formula>
    </cfRule>
  </conditionalFormatting>
  <conditionalFormatting sqref="H10:H1048576">
    <cfRule type="cellIs" dxfId="2166" priority="4562" operator="lessThan">
      <formula>0</formula>
    </cfRule>
  </conditionalFormatting>
  <conditionalFormatting sqref="H10:H1048576">
    <cfRule type="cellIs" dxfId="2165" priority="4561" operator="lessThan">
      <formula>0</formula>
    </cfRule>
  </conditionalFormatting>
  <conditionalFormatting sqref="H10:H1048576">
    <cfRule type="cellIs" dxfId="2164" priority="4560" operator="lessThan">
      <formula>0</formula>
    </cfRule>
  </conditionalFormatting>
  <conditionalFormatting sqref="H10:H1048576">
    <cfRule type="cellIs" dxfId="2163" priority="4559" operator="lessThan">
      <formula>0</formula>
    </cfRule>
  </conditionalFormatting>
  <conditionalFormatting sqref="H10:H1048576">
    <cfRule type="cellIs" dxfId="2162" priority="4558" operator="lessThan">
      <formula>0</formula>
    </cfRule>
  </conditionalFormatting>
  <conditionalFormatting sqref="H10:H1048576">
    <cfRule type="cellIs" dxfId="2161" priority="4557" operator="lessThan">
      <formula>0</formula>
    </cfRule>
  </conditionalFormatting>
  <conditionalFormatting sqref="H10:H1048576">
    <cfRule type="cellIs" dxfId="2160" priority="4556" operator="lessThan">
      <formula>0</formula>
    </cfRule>
  </conditionalFormatting>
  <conditionalFormatting sqref="H10:H1048576">
    <cfRule type="cellIs" dxfId="2159" priority="4555" operator="lessThan">
      <formula>0</formula>
    </cfRule>
  </conditionalFormatting>
  <conditionalFormatting sqref="H10:H1048576">
    <cfRule type="cellIs" dxfId="2158" priority="4554" operator="lessThan">
      <formula>0</formula>
    </cfRule>
  </conditionalFormatting>
  <conditionalFormatting sqref="H10:H1048576">
    <cfRule type="cellIs" dxfId="2157" priority="4553" operator="lessThan">
      <formula>0</formula>
    </cfRule>
  </conditionalFormatting>
  <conditionalFormatting sqref="H10:H1048576">
    <cfRule type="cellIs" dxfId="2156" priority="4552" operator="lessThan">
      <formula>0</formula>
    </cfRule>
  </conditionalFormatting>
  <conditionalFormatting sqref="H10:H1048576">
    <cfRule type="cellIs" dxfId="2155" priority="4551" operator="lessThan">
      <formula>0</formula>
    </cfRule>
  </conditionalFormatting>
  <conditionalFormatting sqref="H10:H1048576">
    <cfRule type="cellIs" dxfId="2154" priority="4550" operator="lessThan">
      <formula>0</formula>
    </cfRule>
  </conditionalFormatting>
  <conditionalFormatting sqref="H10:H1048576">
    <cfRule type="cellIs" dxfId="2153" priority="4549" operator="lessThan">
      <formula>0</formula>
    </cfRule>
  </conditionalFormatting>
  <conditionalFormatting sqref="H10:H1048576">
    <cfRule type="cellIs" dxfId="2152" priority="4548" operator="lessThan">
      <formula>0</formula>
    </cfRule>
  </conditionalFormatting>
  <conditionalFormatting sqref="H10:H1048576">
    <cfRule type="cellIs" dxfId="2151" priority="4547" operator="lessThan">
      <formula>0</formula>
    </cfRule>
  </conditionalFormatting>
  <conditionalFormatting sqref="H10:H1048576">
    <cfRule type="cellIs" dxfId="2150" priority="4546" operator="lessThan">
      <formula>0</formula>
    </cfRule>
  </conditionalFormatting>
  <conditionalFormatting sqref="H10:H1048576">
    <cfRule type="cellIs" dxfId="2149" priority="4545" operator="lessThan">
      <formula>0</formula>
    </cfRule>
  </conditionalFormatting>
  <conditionalFormatting sqref="H10:H1048576">
    <cfRule type="cellIs" dxfId="2148" priority="4544" operator="lessThan">
      <formula>0</formula>
    </cfRule>
  </conditionalFormatting>
  <conditionalFormatting sqref="H10:H1048576">
    <cfRule type="cellIs" dxfId="2147" priority="4543" operator="lessThan">
      <formula>0</formula>
    </cfRule>
  </conditionalFormatting>
  <conditionalFormatting sqref="H10:H1048576">
    <cfRule type="cellIs" dxfId="2146" priority="4542" operator="lessThan">
      <formula>0</formula>
    </cfRule>
  </conditionalFormatting>
  <conditionalFormatting sqref="H10:H1048576">
    <cfRule type="cellIs" dxfId="2145" priority="4541" operator="lessThan">
      <formula>0</formula>
    </cfRule>
  </conditionalFormatting>
  <conditionalFormatting sqref="H10:H1048576">
    <cfRule type="cellIs" dxfId="2144" priority="4540" operator="lessThan">
      <formula>0</formula>
    </cfRule>
  </conditionalFormatting>
  <conditionalFormatting sqref="H10:H1048576">
    <cfRule type="cellIs" dxfId="2143" priority="4539" operator="lessThan">
      <formula>0</formula>
    </cfRule>
  </conditionalFormatting>
  <conditionalFormatting sqref="H10:H1048576">
    <cfRule type="cellIs" dxfId="2142" priority="4538" operator="lessThan">
      <formula>0</formula>
    </cfRule>
  </conditionalFormatting>
  <conditionalFormatting sqref="H10:H1048576">
    <cfRule type="cellIs" dxfId="2141" priority="4537" operator="lessThan">
      <formula>0</formula>
    </cfRule>
  </conditionalFormatting>
  <conditionalFormatting sqref="H10:H1048576">
    <cfRule type="cellIs" dxfId="2140" priority="4536" operator="lessThan">
      <formula>0</formula>
    </cfRule>
  </conditionalFormatting>
  <conditionalFormatting sqref="H10:H1048576">
    <cfRule type="cellIs" dxfId="2139" priority="4535" operator="lessThan">
      <formula>0</formula>
    </cfRule>
  </conditionalFormatting>
  <conditionalFormatting sqref="H10:H1048576">
    <cfRule type="cellIs" dxfId="2138" priority="4534" operator="lessThan">
      <formula>0</formula>
    </cfRule>
  </conditionalFormatting>
  <conditionalFormatting sqref="H10:H1048576">
    <cfRule type="cellIs" dxfId="2137" priority="4533" operator="lessThan">
      <formula>0</formula>
    </cfRule>
  </conditionalFormatting>
  <conditionalFormatting sqref="H10:H1048576">
    <cfRule type="cellIs" dxfId="2136" priority="4532" operator="lessThan">
      <formula>0</formula>
    </cfRule>
  </conditionalFormatting>
  <conditionalFormatting sqref="H10:H1048576">
    <cfRule type="cellIs" dxfId="2135" priority="4531" operator="lessThan">
      <formula>0</formula>
    </cfRule>
  </conditionalFormatting>
  <conditionalFormatting sqref="H10:H1048576">
    <cfRule type="cellIs" dxfId="2134" priority="4530" operator="lessThan">
      <formula>0</formula>
    </cfRule>
  </conditionalFormatting>
  <conditionalFormatting sqref="H10:H1048576">
    <cfRule type="cellIs" dxfId="2133" priority="4529" operator="lessThan">
      <formula>0</formula>
    </cfRule>
  </conditionalFormatting>
  <conditionalFormatting sqref="H10:H1048576">
    <cfRule type="cellIs" dxfId="2132" priority="4528" operator="lessThan">
      <formula>0</formula>
    </cfRule>
  </conditionalFormatting>
  <conditionalFormatting sqref="H10:H1048576">
    <cfRule type="cellIs" dxfId="2131" priority="4527" operator="lessThan">
      <formula>0</formula>
    </cfRule>
  </conditionalFormatting>
  <conditionalFormatting sqref="H10:H1048576">
    <cfRule type="cellIs" dxfId="2130" priority="4526" operator="lessThan">
      <formula>0</formula>
    </cfRule>
  </conditionalFormatting>
  <conditionalFormatting sqref="H10:H1048576">
    <cfRule type="cellIs" dxfId="2129" priority="4525" operator="lessThan">
      <formula>0</formula>
    </cfRule>
  </conditionalFormatting>
  <conditionalFormatting sqref="H10:H1048576">
    <cfRule type="cellIs" dxfId="2128" priority="4524" operator="lessThan">
      <formula>0</formula>
    </cfRule>
  </conditionalFormatting>
  <conditionalFormatting sqref="H10:H1048576">
    <cfRule type="cellIs" dxfId="2127" priority="4523" operator="lessThan">
      <formula>0</formula>
    </cfRule>
  </conditionalFormatting>
  <conditionalFormatting sqref="H10:H1048576">
    <cfRule type="cellIs" dxfId="2126" priority="4522" operator="lessThan">
      <formula>0</formula>
    </cfRule>
  </conditionalFormatting>
  <conditionalFormatting sqref="H10:H1048576">
    <cfRule type="cellIs" dxfId="2125" priority="4521" operator="lessThan">
      <formula>0</formula>
    </cfRule>
  </conditionalFormatting>
  <conditionalFormatting sqref="H10:H1048576">
    <cfRule type="cellIs" dxfId="2124" priority="4520" operator="lessThan">
      <formula>0</formula>
    </cfRule>
  </conditionalFormatting>
  <conditionalFormatting sqref="H10:H1048576">
    <cfRule type="cellIs" dxfId="2123" priority="4519" operator="lessThan">
      <formula>0</formula>
    </cfRule>
  </conditionalFormatting>
  <conditionalFormatting sqref="H10:H1048576">
    <cfRule type="cellIs" dxfId="2122" priority="4518" operator="lessThan">
      <formula>0</formula>
    </cfRule>
  </conditionalFormatting>
  <conditionalFormatting sqref="H10:H1048576">
    <cfRule type="cellIs" dxfId="2121" priority="4517" operator="lessThan">
      <formula>0</formula>
    </cfRule>
  </conditionalFormatting>
  <conditionalFormatting sqref="H10:H1048576">
    <cfRule type="cellIs" dxfId="2120" priority="4516" operator="lessThan">
      <formula>0</formula>
    </cfRule>
  </conditionalFormatting>
  <conditionalFormatting sqref="H10:H1048576">
    <cfRule type="cellIs" dxfId="2119" priority="4515" operator="lessThan">
      <formula>0</formula>
    </cfRule>
  </conditionalFormatting>
  <conditionalFormatting sqref="H10:H1048576">
    <cfRule type="cellIs" dxfId="2118" priority="4514" operator="lessThan">
      <formula>0</formula>
    </cfRule>
  </conditionalFormatting>
  <conditionalFormatting sqref="H10:H1048576">
    <cfRule type="cellIs" dxfId="2117" priority="4513" operator="lessThan">
      <formula>0</formula>
    </cfRule>
  </conditionalFormatting>
  <conditionalFormatting sqref="H10:H1048576">
    <cfRule type="cellIs" dxfId="2116" priority="4512" operator="lessThan">
      <formula>0</formula>
    </cfRule>
  </conditionalFormatting>
  <conditionalFormatting sqref="H10:H1048576">
    <cfRule type="cellIs" dxfId="2115" priority="4511" operator="lessThan">
      <formula>0</formula>
    </cfRule>
  </conditionalFormatting>
  <conditionalFormatting sqref="H10:H1048576">
    <cfRule type="cellIs" dxfId="2114" priority="4510" operator="lessThan">
      <formula>0</formula>
    </cfRule>
  </conditionalFormatting>
  <conditionalFormatting sqref="H10:H1048576">
    <cfRule type="cellIs" dxfId="2113" priority="4509" operator="lessThan">
      <formula>0</formula>
    </cfRule>
  </conditionalFormatting>
  <conditionalFormatting sqref="H10:H1048576">
    <cfRule type="cellIs" dxfId="2112" priority="4508" operator="lessThan">
      <formula>0</formula>
    </cfRule>
  </conditionalFormatting>
  <conditionalFormatting sqref="H10:H1048576">
    <cfRule type="cellIs" dxfId="2111" priority="4507" operator="lessThan">
      <formula>0</formula>
    </cfRule>
  </conditionalFormatting>
  <conditionalFormatting sqref="H10:H1048576">
    <cfRule type="cellIs" dxfId="2110" priority="4506" operator="lessThan">
      <formula>0</formula>
    </cfRule>
  </conditionalFormatting>
  <conditionalFormatting sqref="H10:H1048576">
    <cfRule type="cellIs" dxfId="2109" priority="4505" operator="lessThan">
      <formula>0</formula>
    </cfRule>
  </conditionalFormatting>
  <conditionalFormatting sqref="H10:H1048576">
    <cfRule type="cellIs" dxfId="2108" priority="4504" operator="lessThan">
      <formula>0</formula>
    </cfRule>
  </conditionalFormatting>
  <conditionalFormatting sqref="H10:H1048576">
    <cfRule type="cellIs" dxfId="2107" priority="4503" operator="lessThan">
      <formula>0</formula>
    </cfRule>
  </conditionalFormatting>
  <conditionalFormatting sqref="H10:H1048576">
    <cfRule type="cellIs" dxfId="2106" priority="4502" operator="lessThan">
      <formula>0</formula>
    </cfRule>
  </conditionalFormatting>
  <conditionalFormatting sqref="H10:H1048576">
    <cfRule type="cellIs" dxfId="2105" priority="4501" operator="lessThan">
      <formula>0</formula>
    </cfRule>
  </conditionalFormatting>
  <conditionalFormatting sqref="H10:H1048576">
    <cfRule type="cellIs" dxfId="2104" priority="4500" operator="lessThan">
      <formula>0</formula>
    </cfRule>
  </conditionalFormatting>
  <conditionalFormatting sqref="H10:H1048576">
    <cfRule type="cellIs" dxfId="2103" priority="4499" operator="lessThan">
      <formula>0</formula>
    </cfRule>
  </conditionalFormatting>
  <conditionalFormatting sqref="H10:H1048576">
    <cfRule type="cellIs" dxfId="2102" priority="4498" operator="lessThan">
      <formula>0</formula>
    </cfRule>
  </conditionalFormatting>
  <conditionalFormatting sqref="H10:H1048576">
    <cfRule type="cellIs" dxfId="2101" priority="4497" operator="lessThan">
      <formula>0</formula>
    </cfRule>
  </conditionalFormatting>
  <conditionalFormatting sqref="H10:H1048576">
    <cfRule type="cellIs" dxfId="2100" priority="4496" operator="lessThan">
      <formula>0</formula>
    </cfRule>
  </conditionalFormatting>
  <conditionalFormatting sqref="H10:H1048576">
    <cfRule type="cellIs" dxfId="2099" priority="4495" operator="lessThan">
      <formula>0</formula>
    </cfRule>
  </conditionalFormatting>
  <conditionalFormatting sqref="H10:H1048576">
    <cfRule type="cellIs" dxfId="2098" priority="4494" operator="lessThan">
      <formula>0</formula>
    </cfRule>
  </conditionalFormatting>
  <conditionalFormatting sqref="H10:H1048576">
    <cfRule type="cellIs" dxfId="2097" priority="4493" operator="lessThan">
      <formula>0</formula>
    </cfRule>
  </conditionalFormatting>
  <conditionalFormatting sqref="H10:H1048576">
    <cfRule type="cellIs" dxfId="2096" priority="4492" operator="lessThan">
      <formula>0</formula>
    </cfRule>
  </conditionalFormatting>
  <conditionalFormatting sqref="H10:H1048576">
    <cfRule type="cellIs" dxfId="2095" priority="4491" operator="lessThan">
      <formula>0</formula>
    </cfRule>
  </conditionalFormatting>
  <conditionalFormatting sqref="H10:H1048576">
    <cfRule type="cellIs" dxfId="2094" priority="4490" operator="lessThan">
      <formula>0</formula>
    </cfRule>
  </conditionalFormatting>
  <conditionalFormatting sqref="H10:H1048576">
    <cfRule type="cellIs" dxfId="2093" priority="4489" operator="lessThan">
      <formula>0</formula>
    </cfRule>
  </conditionalFormatting>
  <conditionalFormatting sqref="H10:H1048576">
    <cfRule type="cellIs" dxfId="2092" priority="4488" operator="lessThan">
      <formula>0</formula>
    </cfRule>
  </conditionalFormatting>
  <conditionalFormatting sqref="H10:H1048576">
    <cfRule type="cellIs" dxfId="2091" priority="4487" operator="lessThan">
      <formula>0</formula>
    </cfRule>
  </conditionalFormatting>
  <conditionalFormatting sqref="H10:H1048576">
    <cfRule type="cellIs" dxfId="2090" priority="4486" operator="lessThan">
      <formula>0</formula>
    </cfRule>
  </conditionalFormatting>
  <conditionalFormatting sqref="H10:H1048576">
    <cfRule type="cellIs" dxfId="2089" priority="4485" operator="lessThan">
      <formula>0</formula>
    </cfRule>
  </conditionalFormatting>
  <conditionalFormatting sqref="H10:H1048576">
    <cfRule type="cellIs" dxfId="2088" priority="4484" operator="lessThan">
      <formula>0</formula>
    </cfRule>
  </conditionalFormatting>
  <conditionalFormatting sqref="H10:H1048576">
    <cfRule type="cellIs" dxfId="2087" priority="4483" operator="lessThan">
      <formula>0</formula>
    </cfRule>
  </conditionalFormatting>
  <conditionalFormatting sqref="H10:H1048576">
    <cfRule type="cellIs" dxfId="2086" priority="4482" operator="lessThan">
      <formula>0</formula>
    </cfRule>
  </conditionalFormatting>
  <conditionalFormatting sqref="H10:H1048576">
    <cfRule type="cellIs" dxfId="2085" priority="4481" operator="lessThan">
      <formula>0</formula>
    </cfRule>
  </conditionalFormatting>
  <conditionalFormatting sqref="H10:H1048576">
    <cfRule type="cellIs" dxfId="2084" priority="4480" operator="lessThan">
      <formula>0</formula>
    </cfRule>
  </conditionalFormatting>
  <conditionalFormatting sqref="H10:H1048576">
    <cfRule type="cellIs" dxfId="2083" priority="4479" operator="lessThan">
      <formula>0</formula>
    </cfRule>
  </conditionalFormatting>
  <conditionalFormatting sqref="H10:H1048576">
    <cfRule type="cellIs" dxfId="2082" priority="4478" operator="lessThan">
      <formula>0</formula>
    </cfRule>
  </conditionalFormatting>
  <conditionalFormatting sqref="H10:H1048576">
    <cfRule type="cellIs" dxfId="2081" priority="4477" operator="lessThan">
      <formula>0</formula>
    </cfRule>
  </conditionalFormatting>
  <conditionalFormatting sqref="H10:H1048576">
    <cfRule type="cellIs" dxfId="2080" priority="4476" operator="lessThan">
      <formula>0</formula>
    </cfRule>
  </conditionalFormatting>
  <conditionalFormatting sqref="H10:H1048576">
    <cfRule type="cellIs" dxfId="2079" priority="4475" operator="lessThan">
      <formula>0</formula>
    </cfRule>
  </conditionalFormatting>
  <conditionalFormatting sqref="H10:H1048576">
    <cfRule type="cellIs" dxfId="2078" priority="4474" operator="lessThan">
      <formula>0</formula>
    </cfRule>
  </conditionalFormatting>
  <conditionalFormatting sqref="H10:H1048576">
    <cfRule type="cellIs" dxfId="2077" priority="4473" operator="lessThan">
      <formula>0</formula>
    </cfRule>
  </conditionalFormatting>
  <conditionalFormatting sqref="H10:H1048576">
    <cfRule type="cellIs" dxfId="2076" priority="4472" operator="lessThan">
      <formula>0</formula>
    </cfRule>
  </conditionalFormatting>
  <conditionalFormatting sqref="H10:H1048576">
    <cfRule type="cellIs" dxfId="2075" priority="4471" operator="lessThan">
      <formula>0</formula>
    </cfRule>
  </conditionalFormatting>
  <conditionalFormatting sqref="H10:H1048576">
    <cfRule type="cellIs" dxfId="2074" priority="4470" operator="lessThan">
      <formula>0</formula>
    </cfRule>
  </conditionalFormatting>
  <conditionalFormatting sqref="H10:H1048576">
    <cfRule type="cellIs" dxfId="2073" priority="4469" operator="lessThan">
      <formula>0</formula>
    </cfRule>
  </conditionalFormatting>
  <conditionalFormatting sqref="H10:H1048576">
    <cfRule type="cellIs" dxfId="2072" priority="4468" operator="lessThan">
      <formula>0</formula>
    </cfRule>
  </conditionalFormatting>
  <conditionalFormatting sqref="H10:H1048576">
    <cfRule type="cellIs" dxfId="2071" priority="4467" operator="lessThan">
      <formula>0</formula>
    </cfRule>
  </conditionalFormatting>
  <conditionalFormatting sqref="H10:H1048576">
    <cfRule type="cellIs" dxfId="2070" priority="4466" operator="lessThan">
      <formula>0</formula>
    </cfRule>
  </conditionalFormatting>
  <conditionalFormatting sqref="H10:H1048576">
    <cfRule type="cellIs" dxfId="2069" priority="4465" operator="lessThan">
      <formula>0</formula>
    </cfRule>
  </conditionalFormatting>
  <conditionalFormatting sqref="H10:H1048576">
    <cfRule type="cellIs" dxfId="2068" priority="4464" operator="lessThan">
      <formula>0</formula>
    </cfRule>
  </conditionalFormatting>
  <conditionalFormatting sqref="H10:H1048576">
    <cfRule type="cellIs" dxfId="2067" priority="4463" operator="lessThan">
      <formula>0</formula>
    </cfRule>
  </conditionalFormatting>
  <conditionalFormatting sqref="H10:H1048576">
    <cfRule type="cellIs" dxfId="2066" priority="4462" operator="lessThan">
      <formula>0</formula>
    </cfRule>
  </conditionalFormatting>
  <conditionalFormatting sqref="H10:H1048576">
    <cfRule type="cellIs" dxfId="2065" priority="4461" operator="lessThan">
      <formula>0</formula>
    </cfRule>
  </conditionalFormatting>
  <conditionalFormatting sqref="H10:H1048576">
    <cfRule type="cellIs" dxfId="2064" priority="4460" operator="lessThan">
      <formula>0</formula>
    </cfRule>
  </conditionalFormatting>
  <conditionalFormatting sqref="H10:H1048576">
    <cfRule type="cellIs" dxfId="2063" priority="4459" operator="lessThan">
      <formula>0</formula>
    </cfRule>
  </conditionalFormatting>
  <conditionalFormatting sqref="H10:H1048576">
    <cfRule type="cellIs" dxfId="2062" priority="4458" operator="lessThan">
      <formula>0</formula>
    </cfRule>
  </conditionalFormatting>
  <conditionalFormatting sqref="H10:H1048576">
    <cfRule type="cellIs" dxfId="2061" priority="4457" operator="lessThan">
      <formula>0</formula>
    </cfRule>
  </conditionalFormatting>
  <conditionalFormatting sqref="H10:H1048576">
    <cfRule type="cellIs" dxfId="2060" priority="4456" operator="lessThan">
      <formula>0</formula>
    </cfRule>
  </conditionalFormatting>
  <conditionalFormatting sqref="H10:H1048576">
    <cfRule type="cellIs" dxfId="2059" priority="4455" operator="lessThan">
      <formula>0</formula>
    </cfRule>
  </conditionalFormatting>
  <conditionalFormatting sqref="H10:H1048576">
    <cfRule type="cellIs" dxfId="2058" priority="4454" operator="lessThan">
      <formula>0</formula>
    </cfRule>
  </conditionalFormatting>
  <conditionalFormatting sqref="H10:H1048576">
    <cfRule type="cellIs" dxfId="2057" priority="4453" operator="lessThan">
      <formula>0</formula>
    </cfRule>
  </conditionalFormatting>
  <conditionalFormatting sqref="H10:H1048576">
    <cfRule type="cellIs" dxfId="2056" priority="4452" operator="lessThan">
      <formula>0</formula>
    </cfRule>
  </conditionalFormatting>
  <conditionalFormatting sqref="H10:H1048576">
    <cfRule type="cellIs" dxfId="2055" priority="4451" operator="lessThan">
      <formula>0</formula>
    </cfRule>
  </conditionalFormatting>
  <conditionalFormatting sqref="H1:H1048576">
    <cfRule type="cellIs" dxfId="2054" priority="4450" operator="lessThan">
      <formula>0</formula>
    </cfRule>
  </conditionalFormatting>
  <conditionalFormatting sqref="H1:H1048576">
    <cfRule type="cellIs" dxfId="2053" priority="4449" operator="lessThan">
      <formula>0</formula>
    </cfRule>
  </conditionalFormatting>
  <conditionalFormatting sqref="H1:H1048576">
    <cfRule type="cellIs" dxfId="2052" priority="4448" operator="lessThan">
      <formula>0</formula>
    </cfRule>
  </conditionalFormatting>
  <conditionalFormatting sqref="H1:H1048576">
    <cfRule type="cellIs" dxfId="2051" priority="4447" operator="lessThan">
      <formula>0</formula>
    </cfRule>
  </conditionalFormatting>
  <conditionalFormatting sqref="H1:H1048576">
    <cfRule type="cellIs" dxfId="2050" priority="4446" operator="lessThan">
      <formula>0</formula>
    </cfRule>
  </conditionalFormatting>
  <conditionalFormatting sqref="H1:H1048576">
    <cfRule type="cellIs" dxfId="2049" priority="4445" operator="lessThan">
      <formula>0</formula>
    </cfRule>
  </conditionalFormatting>
  <conditionalFormatting sqref="H1:H1048576">
    <cfRule type="cellIs" dxfId="2048" priority="4444" operator="lessThan">
      <formula>0</formula>
    </cfRule>
  </conditionalFormatting>
  <conditionalFormatting sqref="H1:H1048576">
    <cfRule type="cellIs" dxfId="2047" priority="4443" operator="lessThan">
      <formula>0</formula>
    </cfRule>
  </conditionalFormatting>
  <conditionalFormatting sqref="H1:H1048576">
    <cfRule type="cellIs" dxfId="2046" priority="4442" operator="lessThan">
      <formula>0</formula>
    </cfRule>
  </conditionalFormatting>
  <conditionalFormatting sqref="H1:H1048576">
    <cfRule type="cellIs" dxfId="2045" priority="4441" operator="lessThan">
      <formula>0</formula>
    </cfRule>
  </conditionalFormatting>
  <conditionalFormatting sqref="H1:H1048576">
    <cfRule type="cellIs" dxfId="2044" priority="4440" operator="lessThan">
      <formula>0</formula>
    </cfRule>
  </conditionalFormatting>
  <conditionalFormatting sqref="H1:H1048576">
    <cfRule type="cellIs" dxfId="2043" priority="4439" operator="lessThan">
      <formula>0</formula>
    </cfRule>
  </conditionalFormatting>
  <conditionalFormatting sqref="H1:H1048576">
    <cfRule type="cellIs" dxfId="2042" priority="4438" operator="lessThan">
      <formula>0</formula>
    </cfRule>
  </conditionalFormatting>
  <conditionalFormatting sqref="H1:H1048576">
    <cfRule type="cellIs" dxfId="2041" priority="4437" operator="lessThan">
      <formula>0</formula>
    </cfRule>
  </conditionalFormatting>
  <conditionalFormatting sqref="H1:H1048576">
    <cfRule type="cellIs" dxfId="2040" priority="4436" operator="lessThan">
      <formula>0</formula>
    </cfRule>
  </conditionalFormatting>
  <conditionalFormatting sqref="H1:H1048576">
    <cfRule type="cellIs" dxfId="2039" priority="4435" operator="lessThan">
      <formula>0</formula>
    </cfRule>
  </conditionalFormatting>
  <conditionalFormatting sqref="H1:H1048576">
    <cfRule type="cellIs" dxfId="2038" priority="4434" operator="lessThan">
      <formula>0</formula>
    </cfRule>
  </conditionalFormatting>
  <conditionalFormatting sqref="H1:H1048576">
    <cfRule type="cellIs" dxfId="2037" priority="4433" operator="lessThan">
      <formula>0</formula>
    </cfRule>
  </conditionalFormatting>
  <conditionalFormatting sqref="H1:H1048576">
    <cfRule type="cellIs" dxfId="2036" priority="4432" operator="lessThan">
      <formula>0</formula>
    </cfRule>
  </conditionalFormatting>
  <conditionalFormatting sqref="H1:H1048576">
    <cfRule type="cellIs" dxfId="2035" priority="4431" operator="lessThan">
      <formula>0</formula>
    </cfRule>
  </conditionalFormatting>
  <conditionalFormatting sqref="H1:H1048576">
    <cfRule type="cellIs" dxfId="2034" priority="4430" operator="lessThan">
      <formula>0</formula>
    </cfRule>
  </conditionalFormatting>
  <conditionalFormatting sqref="H1:H1048576">
    <cfRule type="cellIs" dxfId="2033" priority="4429" operator="lessThan">
      <formula>0</formula>
    </cfRule>
  </conditionalFormatting>
  <conditionalFormatting sqref="H1:H1048576">
    <cfRule type="cellIs" dxfId="2032" priority="4428" operator="lessThan">
      <formula>0</formula>
    </cfRule>
  </conditionalFormatting>
  <conditionalFormatting sqref="H1:H1048576">
    <cfRule type="cellIs" dxfId="2031" priority="4427" operator="lessThan">
      <formula>0</formula>
    </cfRule>
  </conditionalFormatting>
  <conditionalFormatting sqref="H1:H1048576">
    <cfRule type="cellIs" dxfId="2030" priority="4426" operator="lessThan">
      <formula>0</formula>
    </cfRule>
  </conditionalFormatting>
  <conditionalFormatting sqref="H1:H1048576">
    <cfRule type="cellIs" dxfId="2029" priority="4425" operator="lessThan">
      <formula>0</formula>
    </cfRule>
  </conditionalFormatting>
  <conditionalFormatting sqref="H1:H1048576">
    <cfRule type="cellIs" dxfId="2028" priority="4424" operator="lessThan">
      <formula>0</formula>
    </cfRule>
  </conditionalFormatting>
  <conditionalFormatting sqref="H1:H1048576">
    <cfRule type="cellIs" dxfId="2027" priority="4423" operator="lessThan">
      <formula>0</formula>
    </cfRule>
  </conditionalFormatting>
  <conditionalFormatting sqref="H1:H1048576">
    <cfRule type="cellIs" dxfId="2026" priority="4422" operator="lessThan">
      <formula>0</formula>
    </cfRule>
  </conditionalFormatting>
  <conditionalFormatting sqref="H1:H1048576">
    <cfRule type="cellIs" dxfId="2025" priority="4421" operator="lessThan">
      <formula>0</formula>
    </cfRule>
  </conditionalFormatting>
  <conditionalFormatting sqref="H1:H1048576">
    <cfRule type="cellIs" dxfId="2024" priority="4420" operator="lessThan">
      <formula>0</formula>
    </cfRule>
  </conditionalFormatting>
  <conditionalFormatting sqref="H1:H1048576">
    <cfRule type="cellIs" dxfId="2023" priority="4419" operator="lessThan">
      <formula>0</formula>
    </cfRule>
  </conditionalFormatting>
  <conditionalFormatting sqref="H1:H1048576">
    <cfRule type="cellIs" dxfId="2022" priority="4418" operator="lessThan">
      <formula>0</formula>
    </cfRule>
  </conditionalFormatting>
  <conditionalFormatting sqref="H1:H1048576">
    <cfRule type="cellIs" dxfId="2021" priority="4417" operator="lessThan">
      <formula>0</formula>
    </cfRule>
  </conditionalFormatting>
  <conditionalFormatting sqref="H1:H1048576">
    <cfRule type="cellIs" dxfId="2020" priority="4416" operator="lessThan">
      <formula>0</formula>
    </cfRule>
  </conditionalFormatting>
  <conditionalFormatting sqref="H1:H1048576">
    <cfRule type="cellIs" dxfId="2019" priority="4415" operator="lessThan">
      <formula>0</formula>
    </cfRule>
  </conditionalFormatting>
  <conditionalFormatting sqref="H1:H1048576">
    <cfRule type="cellIs" dxfId="2018" priority="4414" operator="lessThan">
      <formula>0</formula>
    </cfRule>
  </conditionalFormatting>
  <conditionalFormatting sqref="H1:H1048576">
    <cfRule type="cellIs" dxfId="2017" priority="4413" operator="lessThan">
      <formula>0</formula>
    </cfRule>
  </conditionalFormatting>
  <conditionalFormatting sqref="H1:H1048576">
    <cfRule type="cellIs" dxfId="2016" priority="4412" operator="lessThan">
      <formula>0</formula>
    </cfRule>
  </conditionalFormatting>
  <conditionalFormatting sqref="H1:H1048576">
    <cfRule type="cellIs" dxfId="2015" priority="4411" operator="lessThan">
      <formula>0</formula>
    </cfRule>
  </conditionalFormatting>
  <conditionalFormatting sqref="H1:H1048576">
    <cfRule type="cellIs" dxfId="2014" priority="4410" operator="lessThan">
      <formula>0</formula>
    </cfRule>
  </conditionalFormatting>
  <conditionalFormatting sqref="H1:H1048576">
    <cfRule type="cellIs" dxfId="2013" priority="4409" operator="lessThan">
      <formula>0</formula>
    </cfRule>
  </conditionalFormatting>
  <conditionalFormatting sqref="H1:H1048576">
    <cfRule type="cellIs" dxfId="2012" priority="4408" operator="lessThan">
      <formula>0</formula>
    </cfRule>
  </conditionalFormatting>
  <conditionalFormatting sqref="H1:H1048576">
    <cfRule type="cellIs" dxfId="2011" priority="4407" operator="lessThan">
      <formula>0</formula>
    </cfRule>
  </conditionalFormatting>
  <conditionalFormatting sqref="H1:H1048576">
    <cfRule type="cellIs" dxfId="2010" priority="4406" operator="lessThan">
      <formula>0</formula>
    </cfRule>
  </conditionalFormatting>
  <conditionalFormatting sqref="H1:H1048576">
    <cfRule type="cellIs" dxfId="2009" priority="4405" operator="lessThan">
      <formula>0</formula>
    </cfRule>
  </conditionalFormatting>
  <conditionalFormatting sqref="H1:H1048576">
    <cfRule type="cellIs" dxfId="2008" priority="4404" operator="lessThan">
      <formula>0</formula>
    </cfRule>
  </conditionalFormatting>
  <conditionalFormatting sqref="H1:H1048576">
    <cfRule type="cellIs" dxfId="2007" priority="4403" operator="lessThan">
      <formula>0</formula>
    </cfRule>
  </conditionalFormatting>
  <conditionalFormatting sqref="H1:H1048576">
    <cfRule type="cellIs" dxfId="2006" priority="4402" operator="lessThan">
      <formula>0</formula>
    </cfRule>
  </conditionalFormatting>
  <conditionalFormatting sqref="H1:H1048576">
    <cfRule type="cellIs" dxfId="2005" priority="4401" operator="lessThan">
      <formula>0</formula>
    </cfRule>
  </conditionalFormatting>
  <conditionalFormatting sqref="H1:H1048576">
    <cfRule type="cellIs" dxfId="2004" priority="4400" operator="lessThan">
      <formula>0</formula>
    </cfRule>
  </conditionalFormatting>
  <conditionalFormatting sqref="H1:H1048576">
    <cfRule type="cellIs" dxfId="2003" priority="4399" operator="lessThan">
      <formula>0</formula>
    </cfRule>
  </conditionalFormatting>
  <conditionalFormatting sqref="H1:H1048576">
    <cfRule type="cellIs" dxfId="2002" priority="4398" operator="lessThan">
      <formula>0</formula>
    </cfRule>
  </conditionalFormatting>
  <conditionalFormatting sqref="H1:H1048576">
    <cfRule type="cellIs" dxfId="2001" priority="4397" operator="lessThan">
      <formula>0</formula>
    </cfRule>
  </conditionalFormatting>
  <conditionalFormatting sqref="H1:H1048576">
    <cfRule type="cellIs" dxfId="2000" priority="4396" operator="lessThan">
      <formula>0</formula>
    </cfRule>
  </conditionalFormatting>
  <conditionalFormatting sqref="H1:H1048576">
    <cfRule type="cellIs" dxfId="1999" priority="4395" operator="lessThan">
      <formula>0</formula>
    </cfRule>
  </conditionalFormatting>
  <conditionalFormatting sqref="H1:H1048576">
    <cfRule type="cellIs" dxfId="1998" priority="4394" operator="lessThan">
      <formula>0</formula>
    </cfRule>
  </conditionalFormatting>
  <conditionalFormatting sqref="H1:H1048576">
    <cfRule type="cellIs" dxfId="1997" priority="4393" operator="lessThan">
      <formula>0</formula>
    </cfRule>
  </conditionalFormatting>
  <conditionalFormatting sqref="H1:H1048576">
    <cfRule type="cellIs" dxfId="1996" priority="4392" operator="lessThan">
      <formula>0</formula>
    </cfRule>
  </conditionalFormatting>
  <conditionalFormatting sqref="H1:H1048576">
    <cfRule type="cellIs" dxfId="1995" priority="4391" operator="lessThan">
      <formula>0</formula>
    </cfRule>
  </conditionalFormatting>
  <conditionalFormatting sqref="H1:H1048576">
    <cfRule type="cellIs" dxfId="1994" priority="4390" operator="lessThan">
      <formula>0</formula>
    </cfRule>
  </conditionalFormatting>
  <conditionalFormatting sqref="H1:H1048576">
    <cfRule type="cellIs" dxfId="1993" priority="4389" operator="lessThan">
      <formula>0</formula>
    </cfRule>
  </conditionalFormatting>
  <conditionalFormatting sqref="H1:H1048576">
    <cfRule type="cellIs" dxfId="1992" priority="4388" operator="lessThan">
      <formula>0</formula>
    </cfRule>
  </conditionalFormatting>
  <conditionalFormatting sqref="H1:H1048576">
    <cfRule type="cellIs" dxfId="1991" priority="4387" operator="lessThan">
      <formula>0</formula>
    </cfRule>
  </conditionalFormatting>
  <conditionalFormatting sqref="H1:H1048576">
    <cfRule type="cellIs" dxfId="1990" priority="4386" operator="lessThan">
      <formula>0</formula>
    </cfRule>
  </conditionalFormatting>
  <conditionalFormatting sqref="H1:H1048576">
    <cfRule type="cellIs" dxfId="1989" priority="4385" operator="lessThan">
      <formula>0</formula>
    </cfRule>
  </conditionalFormatting>
  <conditionalFormatting sqref="H1:H1048576">
    <cfRule type="cellIs" dxfId="1988" priority="4384" operator="lessThan">
      <formula>0</formula>
    </cfRule>
  </conditionalFormatting>
  <conditionalFormatting sqref="H1:H1048576">
    <cfRule type="cellIs" dxfId="1987" priority="4383" operator="lessThan">
      <formula>0</formula>
    </cfRule>
  </conditionalFormatting>
  <conditionalFormatting sqref="H1:H1048576">
    <cfRule type="cellIs" dxfId="1986" priority="4382" operator="lessThan">
      <formula>0</formula>
    </cfRule>
  </conditionalFormatting>
  <conditionalFormatting sqref="H1:H1048576">
    <cfRule type="cellIs" dxfId="1985" priority="4381" operator="lessThan">
      <formula>0</formula>
    </cfRule>
  </conditionalFormatting>
  <conditionalFormatting sqref="H1:H1048576">
    <cfRule type="cellIs" dxfId="1984" priority="4380" operator="lessThan">
      <formula>0</formula>
    </cfRule>
  </conditionalFormatting>
  <conditionalFormatting sqref="H1:H1048576">
    <cfRule type="cellIs" dxfId="1983" priority="4379" operator="lessThan">
      <formula>0</formula>
    </cfRule>
  </conditionalFormatting>
  <conditionalFormatting sqref="H1:H1048576">
    <cfRule type="cellIs" dxfId="1982" priority="4378" operator="lessThan">
      <formula>0</formula>
    </cfRule>
  </conditionalFormatting>
  <conditionalFormatting sqref="H1:H1048576">
    <cfRule type="cellIs" dxfId="1981" priority="4377" operator="lessThan">
      <formula>0</formula>
    </cfRule>
  </conditionalFormatting>
  <conditionalFormatting sqref="H1:H1048576">
    <cfRule type="cellIs" dxfId="1980" priority="4376" operator="lessThan">
      <formula>0</formula>
    </cfRule>
  </conditionalFormatting>
  <conditionalFormatting sqref="H1:H1048576">
    <cfRule type="cellIs" dxfId="1979" priority="4375" operator="lessThan">
      <formula>0</formula>
    </cfRule>
  </conditionalFormatting>
  <conditionalFormatting sqref="H1:H1048576">
    <cfRule type="cellIs" dxfId="1978" priority="4374" operator="lessThan">
      <formula>0</formula>
    </cfRule>
  </conditionalFormatting>
  <conditionalFormatting sqref="H1:H1048576">
    <cfRule type="cellIs" dxfId="1977" priority="4373" operator="lessThan">
      <formula>0</formula>
    </cfRule>
  </conditionalFormatting>
  <conditionalFormatting sqref="H1:H1048576">
    <cfRule type="cellIs" dxfId="1976" priority="4372" operator="lessThan">
      <formula>0</formula>
    </cfRule>
  </conditionalFormatting>
  <conditionalFormatting sqref="H1:H1048576">
    <cfRule type="cellIs" dxfId="1975" priority="4371" operator="lessThan">
      <formula>0</formula>
    </cfRule>
  </conditionalFormatting>
  <conditionalFormatting sqref="H1:H1048576">
    <cfRule type="cellIs" dxfId="1974" priority="4370" operator="lessThan">
      <formula>0</formula>
    </cfRule>
  </conditionalFormatting>
  <conditionalFormatting sqref="H1:H1048576">
    <cfRule type="cellIs" dxfId="1973" priority="4369" operator="lessThan">
      <formula>0</formula>
    </cfRule>
  </conditionalFormatting>
  <conditionalFormatting sqref="H1:H1048576">
    <cfRule type="cellIs" dxfId="1972" priority="4368" operator="lessThan">
      <formula>0</formula>
    </cfRule>
  </conditionalFormatting>
  <conditionalFormatting sqref="H1:H1048576">
    <cfRule type="cellIs" dxfId="1971" priority="4367" operator="lessThan">
      <formula>0</formula>
    </cfRule>
  </conditionalFormatting>
  <conditionalFormatting sqref="H1:H1048576">
    <cfRule type="cellIs" dxfId="1970" priority="4366" operator="lessThan">
      <formula>0</formula>
    </cfRule>
  </conditionalFormatting>
  <conditionalFormatting sqref="H1:H1048576">
    <cfRule type="cellIs" dxfId="1969" priority="4365" operator="lessThan">
      <formula>0</formula>
    </cfRule>
  </conditionalFormatting>
  <conditionalFormatting sqref="H1:H1048576">
    <cfRule type="cellIs" dxfId="1968" priority="4364" operator="lessThan">
      <formula>0</formula>
    </cfRule>
  </conditionalFormatting>
  <conditionalFormatting sqref="H1:H1048576">
    <cfRule type="cellIs" dxfId="1967" priority="4363" operator="lessThan">
      <formula>0</formula>
    </cfRule>
  </conditionalFormatting>
  <conditionalFormatting sqref="H1:H1048576">
    <cfRule type="cellIs" dxfId="1966" priority="4362" operator="lessThan">
      <formula>0</formula>
    </cfRule>
  </conditionalFormatting>
  <conditionalFormatting sqref="H1:H1048576">
    <cfRule type="cellIs" dxfId="1965" priority="4361" operator="lessThan">
      <formula>0</formula>
    </cfRule>
  </conditionalFormatting>
  <conditionalFormatting sqref="H1:H1048576">
    <cfRule type="cellIs" dxfId="1964" priority="4360" operator="lessThan">
      <formula>0</formula>
    </cfRule>
  </conditionalFormatting>
  <conditionalFormatting sqref="H1:H1048576">
    <cfRule type="cellIs" dxfId="1963" priority="4359" operator="lessThan">
      <formula>0</formula>
    </cfRule>
  </conditionalFormatting>
  <conditionalFormatting sqref="H1:H1048576">
    <cfRule type="cellIs" dxfId="1962" priority="4358" operator="lessThan">
      <formula>0</formula>
    </cfRule>
  </conditionalFormatting>
  <conditionalFormatting sqref="H1:H1048576">
    <cfRule type="cellIs" dxfId="1961" priority="4357" operator="lessThan">
      <formula>0</formula>
    </cfRule>
  </conditionalFormatting>
  <conditionalFormatting sqref="H1:H1048576">
    <cfRule type="cellIs" dxfId="1960" priority="4356" operator="lessThan">
      <formula>0</formula>
    </cfRule>
  </conditionalFormatting>
  <conditionalFormatting sqref="H1:H1048576">
    <cfRule type="cellIs" dxfId="1959" priority="4355" operator="lessThan">
      <formula>0</formula>
    </cfRule>
  </conditionalFormatting>
  <conditionalFormatting sqref="H1:H1048576">
    <cfRule type="cellIs" dxfId="1958" priority="4354" operator="lessThan">
      <formula>0</formula>
    </cfRule>
  </conditionalFormatting>
  <conditionalFormatting sqref="H1:H1048576">
    <cfRule type="cellIs" dxfId="1957" priority="4353" operator="lessThan">
      <formula>0</formula>
    </cfRule>
  </conditionalFormatting>
  <conditionalFormatting sqref="H1:H1048576">
    <cfRule type="cellIs" dxfId="1956" priority="4352" operator="lessThan">
      <formula>0</formula>
    </cfRule>
  </conditionalFormatting>
  <conditionalFormatting sqref="H1:H1048576">
    <cfRule type="cellIs" dxfId="1955" priority="4351" operator="lessThan">
      <formula>0</formula>
    </cfRule>
  </conditionalFormatting>
  <conditionalFormatting sqref="H1:H1048576">
    <cfRule type="cellIs" dxfId="1954" priority="4350" operator="lessThan">
      <formula>0</formula>
    </cfRule>
  </conditionalFormatting>
  <conditionalFormatting sqref="H1:H1048576">
    <cfRule type="cellIs" dxfId="1953" priority="4349" operator="lessThan">
      <formula>0</formula>
    </cfRule>
  </conditionalFormatting>
  <conditionalFormatting sqref="H1:H1048576">
    <cfRule type="cellIs" dxfId="1952" priority="4348" operator="lessThan">
      <formula>0</formula>
    </cfRule>
  </conditionalFormatting>
  <conditionalFormatting sqref="H1:H1048576">
    <cfRule type="cellIs" dxfId="1951" priority="4347" operator="lessThan">
      <formula>0</formula>
    </cfRule>
  </conditionalFormatting>
  <conditionalFormatting sqref="H1:H1048576">
    <cfRule type="cellIs" dxfId="1950" priority="4346" operator="lessThan">
      <formula>0</formula>
    </cfRule>
  </conditionalFormatting>
  <conditionalFormatting sqref="H1:H1048576">
    <cfRule type="cellIs" dxfId="1949" priority="4345" operator="lessThan">
      <formula>0</formula>
    </cfRule>
  </conditionalFormatting>
  <conditionalFormatting sqref="H1:H1048576">
    <cfRule type="cellIs" dxfId="1948" priority="4344" operator="lessThan">
      <formula>0</formula>
    </cfRule>
  </conditionalFormatting>
  <conditionalFormatting sqref="H1:H1048576">
    <cfRule type="cellIs" dxfId="1947" priority="4343" operator="lessThan">
      <formula>0</formula>
    </cfRule>
  </conditionalFormatting>
  <conditionalFormatting sqref="H1:H1048576">
    <cfRule type="cellIs" dxfId="1946" priority="4342" operator="lessThan">
      <formula>0</formula>
    </cfRule>
  </conditionalFormatting>
  <conditionalFormatting sqref="H1:H1048576">
    <cfRule type="cellIs" dxfId="1945" priority="4341" operator="lessThan">
      <formula>0</formula>
    </cfRule>
  </conditionalFormatting>
  <conditionalFormatting sqref="H1:H1048576">
    <cfRule type="cellIs" dxfId="1944" priority="4340" operator="lessThan">
      <formula>0</formula>
    </cfRule>
  </conditionalFormatting>
  <conditionalFormatting sqref="H1:H1048576">
    <cfRule type="cellIs" dxfId="1943" priority="4339" operator="lessThan">
      <formula>0</formula>
    </cfRule>
  </conditionalFormatting>
  <conditionalFormatting sqref="H1:H1048576">
    <cfRule type="cellIs" dxfId="1942" priority="4338" operator="lessThan">
      <formula>0</formula>
    </cfRule>
  </conditionalFormatting>
  <conditionalFormatting sqref="H1:H1048576">
    <cfRule type="cellIs" dxfId="1941" priority="4337" operator="lessThan">
      <formula>0</formula>
    </cfRule>
  </conditionalFormatting>
  <conditionalFormatting sqref="H1:H1048576">
    <cfRule type="cellIs" dxfId="1940" priority="4336" operator="lessThan">
      <formula>0</formula>
    </cfRule>
  </conditionalFormatting>
  <conditionalFormatting sqref="H1:H1048576">
    <cfRule type="cellIs" dxfId="1939" priority="4335" operator="lessThan">
      <formula>0</formula>
    </cfRule>
  </conditionalFormatting>
  <conditionalFormatting sqref="H1:H1048576">
    <cfRule type="cellIs" dxfId="1938" priority="4334" operator="lessThan">
      <formula>0</formula>
    </cfRule>
  </conditionalFormatting>
  <conditionalFormatting sqref="H1:H1048576">
    <cfRule type="cellIs" dxfId="1937" priority="4333" operator="lessThan">
      <formula>0</formula>
    </cfRule>
  </conditionalFormatting>
  <conditionalFormatting sqref="H1:H1048576">
    <cfRule type="cellIs" dxfId="1936" priority="4332" operator="lessThan">
      <formula>0</formula>
    </cfRule>
  </conditionalFormatting>
  <conditionalFormatting sqref="H1:H1048576">
    <cfRule type="cellIs" dxfId="1935" priority="4331" operator="lessThan">
      <formula>0</formula>
    </cfRule>
  </conditionalFormatting>
  <conditionalFormatting sqref="H1:H1048576">
    <cfRule type="cellIs" dxfId="1934" priority="4330" operator="lessThan">
      <formula>0</formula>
    </cfRule>
  </conditionalFormatting>
  <conditionalFormatting sqref="H1:H1048576">
    <cfRule type="cellIs" dxfId="1933" priority="4329" operator="lessThan">
      <formula>0</formula>
    </cfRule>
  </conditionalFormatting>
  <conditionalFormatting sqref="H1:H1048576">
    <cfRule type="cellIs" dxfId="1932" priority="4328" operator="lessThan">
      <formula>0</formula>
    </cfRule>
  </conditionalFormatting>
  <conditionalFormatting sqref="H1:H1048576">
    <cfRule type="cellIs" dxfId="1931" priority="4327" operator="lessThan">
      <formula>0</formula>
    </cfRule>
  </conditionalFormatting>
  <conditionalFormatting sqref="H1:H1048576">
    <cfRule type="cellIs" dxfId="1930" priority="4326" operator="lessThan">
      <formula>0</formula>
    </cfRule>
  </conditionalFormatting>
  <conditionalFormatting sqref="H1:H1048576">
    <cfRule type="cellIs" dxfId="1929" priority="4325" operator="lessThan">
      <formula>0</formula>
    </cfRule>
  </conditionalFormatting>
  <conditionalFormatting sqref="H1:H1048576">
    <cfRule type="cellIs" dxfId="1928" priority="4324" operator="lessThan">
      <formula>0</formula>
    </cfRule>
  </conditionalFormatting>
  <conditionalFormatting sqref="H1:H1048576">
    <cfRule type="cellIs" dxfId="1927" priority="4323" operator="lessThan">
      <formula>0</formula>
    </cfRule>
  </conditionalFormatting>
  <conditionalFormatting sqref="H1:H1048576">
    <cfRule type="cellIs" dxfId="1926" priority="4322" operator="lessThan">
      <formula>0</formula>
    </cfRule>
  </conditionalFormatting>
  <conditionalFormatting sqref="H1:H1048576">
    <cfRule type="cellIs" dxfId="1925" priority="4321" operator="lessThan">
      <formula>0</formula>
    </cfRule>
  </conditionalFormatting>
  <conditionalFormatting sqref="H1:H1048576">
    <cfRule type="cellIs" dxfId="1924" priority="4320" operator="lessThan">
      <formula>0</formula>
    </cfRule>
  </conditionalFormatting>
  <conditionalFormatting sqref="H1:H1048576">
    <cfRule type="cellIs" dxfId="1923" priority="4319" operator="lessThan">
      <formula>0</formula>
    </cfRule>
  </conditionalFormatting>
  <conditionalFormatting sqref="H1:H1048576">
    <cfRule type="cellIs" dxfId="1922" priority="4318" operator="lessThan">
      <formula>0</formula>
    </cfRule>
  </conditionalFormatting>
  <conditionalFormatting sqref="H1:H1048576">
    <cfRule type="cellIs" dxfId="1921" priority="4317" operator="lessThan">
      <formula>0</formula>
    </cfRule>
  </conditionalFormatting>
  <conditionalFormatting sqref="H1:H1048576">
    <cfRule type="cellIs" dxfId="1920" priority="4316" operator="lessThan">
      <formula>0</formula>
    </cfRule>
  </conditionalFormatting>
  <conditionalFormatting sqref="H1:H1048576">
    <cfRule type="cellIs" dxfId="1919" priority="4315" operator="lessThan">
      <formula>0</formula>
    </cfRule>
  </conditionalFormatting>
  <conditionalFormatting sqref="H1:H1048576">
    <cfRule type="cellIs" dxfId="1918" priority="4314" operator="lessThan">
      <formula>0</formula>
    </cfRule>
  </conditionalFormatting>
  <conditionalFormatting sqref="H1:H1048576">
    <cfRule type="cellIs" dxfId="1917" priority="4313" operator="lessThan">
      <formula>0</formula>
    </cfRule>
  </conditionalFormatting>
  <conditionalFormatting sqref="H1:H1048576">
    <cfRule type="cellIs" dxfId="1916" priority="4312" operator="lessThan">
      <formula>0</formula>
    </cfRule>
  </conditionalFormatting>
  <conditionalFormatting sqref="H1:H1048576">
    <cfRule type="cellIs" dxfId="1915" priority="4311" operator="lessThan">
      <formula>0</formula>
    </cfRule>
  </conditionalFormatting>
  <conditionalFormatting sqref="H1:H1048576">
    <cfRule type="cellIs" dxfId="1914" priority="4310" operator="lessThan">
      <formula>0</formula>
    </cfRule>
  </conditionalFormatting>
  <conditionalFormatting sqref="H1:H1048576">
    <cfRule type="cellIs" dxfId="1913" priority="4309" operator="lessThan">
      <formula>0</formula>
    </cfRule>
  </conditionalFormatting>
  <conditionalFormatting sqref="H1:H1048576">
    <cfRule type="cellIs" dxfId="1912" priority="4308" operator="lessThan">
      <formula>0</formula>
    </cfRule>
  </conditionalFormatting>
  <conditionalFormatting sqref="H1:H1048576">
    <cfRule type="cellIs" dxfId="1911" priority="4307" operator="lessThan">
      <formula>0</formula>
    </cfRule>
  </conditionalFormatting>
  <conditionalFormatting sqref="H1:H1048576">
    <cfRule type="cellIs" dxfId="1910" priority="4306" operator="lessThan">
      <formula>0</formula>
    </cfRule>
  </conditionalFormatting>
  <conditionalFormatting sqref="H1:H1048576">
    <cfRule type="cellIs" dxfId="1909" priority="4305" operator="lessThan">
      <formula>0</formula>
    </cfRule>
  </conditionalFormatting>
  <conditionalFormatting sqref="H1:H1048576">
    <cfRule type="cellIs" dxfId="1908" priority="4304" operator="lessThan">
      <formula>0</formula>
    </cfRule>
  </conditionalFormatting>
  <conditionalFormatting sqref="H1:H1048576">
    <cfRule type="cellIs" dxfId="1907" priority="4303" operator="lessThan">
      <formula>0</formula>
    </cfRule>
  </conditionalFormatting>
  <conditionalFormatting sqref="H1:H1048576">
    <cfRule type="cellIs" dxfId="1906" priority="4302" operator="lessThan">
      <formula>0</formula>
    </cfRule>
  </conditionalFormatting>
  <conditionalFormatting sqref="H1:H1048576">
    <cfRule type="cellIs" dxfId="1905" priority="4301" operator="lessThan">
      <formula>0</formula>
    </cfRule>
  </conditionalFormatting>
  <conditionalFormatting sqref="H1:H1048576">
    <cfRule type="cellIs" dxfId="1904" priority="4300" operator="lessThan">
      <formula>0</formula>
    </cfRule>
  </conditionalFormatting>
  <conditionalFormatting sqref="H1:H1048576">
    <cfRule type="cellIs" dxfId="1903" priority="4299" operator="lessThan">
      <formula>0</formula>
    </cfRule>
  </conditionalFormatting>
  <conditionalFormatting sqref="H1:H1048576">
    <cfRule type="cellIs" dxfId="1902" priority="4298" operator="lessThan">
      <formula>0</formula>
    </cfRule>
  </conditionalFormatting>
  <conditionalFormatting sqref="H1:H1048576">
    <cfRule type="cellIs" dxfId="1901" priority="4297" operator="lessThan">
      <formula>0</formula>
    </cfRule>
  </conditionalFormatting>
  <conditionalFormatting sqref="H1:H1048576">
    <cfRule type="cellIs" dxfId="1900" priority="4296" operator="lessThan">
      <formula>0</formula>
    </cfRule>
  </conditionalFormatting>
  <conditionalFormatting sqref="H1:H1048576">
    <cfRule type="cellIs" dxfId="1899" priority="4295" operator="lessThan">
      <formula>0</formula>
    </cfRule>
  </conditionalFormatting>
  <conditionalFormatting sqref="H1:H1048576">
    <cfRule type="cellIs" dxfId="1898" priority="4294" operator="lessThan">
      <formula>0</formula>
    </cfRule>
  </conditionalFormatting>
  <conditionalFormatting sqref="H1:H1048576">
    <cfRule type="cellIs" dxfId="1897" priority="4293" operator="lessThan">
      <formula>0</formula>
    </cfRule>
  </conditionalFormatting>
  <conditionalFormatting sqref="H1:H1048576">
    <cfRule type="cellIs" dxfId="1896" priority="4292" operator="lessThan">
      <formula>0</formula>
    </cfRule>
  </conditionalFormatting>
  <conditionalFormatting sqref="H1:H1048576">
    <cfRule type="cellIs" dxfId="1895" priority="4291" operator="lessThan">
      <formula>0</formula>
    </cfRule>
  </conditionalFormatting>
  <conditionalFormatting sqref="H1:H1048576">
    <cfRule type="cellIs" dxfId="1894" priority="4290" operator="lessThan">
      <formula>0</formula>
    </cfRule>
  </conditionalFormatting>
  <conditionalFormatting sqref="H1:H1048576">
    <cfRule type="cellIs" dxfId="1893" priority="4289" operator="lessThan">
      <formula>0</formula>
    </cfRule>
  </conditionalFormatting>
  <conditionalFormatting sqref="H1:H1048576">
    <cfRule type="cellIs" dxfId="1892" priority="4288" operator="lessThan">
      <formula>0</formula>
    </cfRule>
  </conditionalFormatting>
  <conditionalFormatting sqref="H1:H1048576">
    <cfRule type="cellIs" dxfId="1891" priority="4287" operator="lessThan">
      <formula>0</formula>
    </cfRule>
  </conditionalFormatting>
  <conditionalFormatting sqref="H1:H1048576">
    <cfRule type="cellIs" dxfId="1890" priority="4286" operator="lessThan">
      <formula>0</formula>
    </cfRule>
  </conditionalFormatting>
  <conditionalFormatting sqref="H1:H1048576">
    <cfRule type="cellIs" dxfId="1889" priority="4285" operator="lessThan">
      <formula>0</formula>
    </cfRule>
  </conditionalFormatting>
  <conditionalFormatting sqref="H1:H1048576">
    <cfRule type="cellIs" dxfId="1888" priority="4284" operator="lessThan">
      <formula>0</formula>
    </cfRule>
  </conditionalFormatting>
  <conditionalFormatting sqref="H1:H1048576">
    <cfRule type="cellIs" dxfId="1887" priority="4283" operator="lessThan">
      <formula>0</formula>
    </cfRule>
  </conditionalFormatting>
  <conditionalFormatting sqref="H1:H1048576">
    <cfRule type="cellIs" dxfId="1886" priority="4282" operator="lessThan">
      <formula>0</formula>
    </cfRule>
  </conditionalFormatting>
  <conditionalFormatting sqref="H1:H1048576">
    <cfRule type="cellIs" dxfId="1885" priority="4281" operator="lessThan">
      <formula>0</formula>
    </cfRule>
  </conditionalFormatting>
  <conditionalFormatting sqref="H1:H1048576">
    <cfRule type="cellIs" dxfId="1884" priority="4280" operator="lessThan">
      <formula>0</formula>
    </cfRule>
  </conditionalFormatting>
  <conditionalFormatting sqref="H1:H1048576">
    <cfRule type="cellIs" dxfId="1883" priority="4279" operator="lessThan">
      <formula>0</formula>
    </cfRule>
  </conditionalFormatting>
  <conditionalFormatting sqref="I34">
    <cfRule type="cellIs" dxfId="1882" priority="1918" operator="lessThan">
      <formula>0</formula>
    </cfRule>
  </conditionalFormatting>
  <conditionalFormatting sqref="I34">
    <cfRule type="cellIs" dxfId="1881" priority="1917" operator="lessThan">
      <formula>0</formula>
    </cfRule>
  </conditionalFormatting>
  <conditionalFormatting sqref="I34">
    <cfRule type="cellIs" dxfId="1880" priority="1916" operator="lessThan">
      <formula>0</formula>
    </cfRule>
  </conditionalFormatting>
  <conditionalFormatting sqref="I34">
    <cfRule type="cellIs" dxfId="1879" priority="1915" operator="lessThan">
      <formula>0</formula>
    </cfRule>
  </conditionalFormatting>
  <conditionalFormatting sqref="I34">
    <cfRule type="cellIs" dxfId="1878" priority="1914" operator="lessThan">
      <formula>0</formula>
    </cfRule>
  </conditionalFormatting>
  <conditionalFormatting sqref="I34">
    <cfRule type="cellIs" dxfId="1877" priority="1913" operator="lessThan">
      <formula>0</formula>
    </cfRule>
  </conditionalFormatting>
  <conditionalFormatting sqref="I34">
    <cfRule type="cellIs" dxfId="1876" priority="1912" operator="lessThan">
      <formula>0</formula>
    </cfRule>
  </conditionalFormatting>
  <conditionalFormatting sqref="I34">
    <cfRule type="cellIs" dxfId="1875" priority="1911" operator="lessThan">
      <formula>0</formula>
    </cfRule>
  </conditionalFormatting>
  <conditionalFormatting sqref="I34">
    <cfRule type="cellIs" dxfId="1874" priority="1910" operator="lessThan">
      <formula>0</formula>
    </cfRule>
  </conditionalFormatting>
  <conditionalFormatting sqref="I34">
    <cfRule type="cellIs" dxfId="1873" priority="1909" operator="lessThan">
      <formula>0</formula>
    </cfRule>
  </conditionalFormatting>
  <conditionalFormatting sqref="I34">
    <cfRule type="cellIs" dxfId="1872" priority="1908" operator="lessThan">
      <formula>0</formula>
    </cfRule>
  </conditionalFormatting>
  <conditionalFormatting sqref="I34">
    <cfRule type="cellIs" dxfId="1871" priority="1907" operator="lessThan">
      <formula>0</formula>
    </cfRule>
  </conditionalFormatting>
  <conditionalFormatting sqref="I34">
    <cfRule type="cellIs" dxfId="1870" priority="1906" operator="lessThan">
      <formula>0</formula>
    </cfRule>
  </conditionalFormatting>
  <conditionalFormatting sqref="I34">
    <cfRule type="cellIs" dxfId="1869" priority="1905" operator="lessThan">
      <formula>0</formula>
    </cfRule>
  </conditionalFormatting>
  <conditionalFormatting sqref="I34">
    <cfRule type="cellIs" dxfId="1868" priority="1904" operator="lessThan">
      <formula>0</formula>
    </cfRule>
  </conditionalFormatting>
  <conditionalFormatting sqref="I34">
    <cfRule type="cellIs" dxfId="1867" priority="1903" operator="lessThan">
      <formula>0</formula>
    </cfRule>
  </conditionalFormatting>
  <conditionalFormatting sqref="I34">
    <cfRule type="cellIs" dxfId="1866" priority="1902" operator="lessThan">
      <formula>0</formula>
    </cfRule>
  </conditionalFormatting>
  <conditionalFormatting sqref="I34">
    <cfRule type="cellIs" dxfId="1865" priority="1901" operator="lessThan">
      <formula>0</formula>
    </cfRule>
  </conditionalFormatting>
  <conditionalFormatting sqref="I34">
    <cfRule type="cellIs" dxfId="1864" priority="1900" operator="lessThan">
      <formula>0</formula>
    </cfRule>
  </conditionalFormatting>
  <conditionalFormatting sqref="I34">
    <cfRule type="cellIs" dxfId="1863" priority="1899" operator="lessThan">
      <formula>0</formula>
    </cfRule>
  </conditionalFormatting>
  <conditionalFormatting sqref="I34">
    <cfRule type="cellIs" dxfId="1862" priority="1898" operator="lessThan">
      <formula>0</formula>
    </cfRule>
  </conditionalFormatting>
  <conditionalFormatting sqref="I34">
    <cfRule type="cellIs" dxfId="1861" priority="1897" operator="lessThan">
      <formula>0</formula>
    </cfRule>
  </conditionalFormatting>
  <conditionalFormatting sqref="I34">
    <cfRule type="cellIs" dxfId="1860" priority="1896" operator="lessThan">
      <formula>0</formula>
    </cfRule>
  </conditionalFormatting>
  <conditionalFormatting sqref="I34">
    <cfRule type="cellIs" dxfId="1859" priority="1895" operator="lessThan">
      <formula>0</formula>
    </cfRule>
  </conditionalFormatting>
  <conditionalFormatting sqref="I34">
    <cfRule type="cellIs" dxfId="1858" priority="1894" operator="lessThan">
      <formula>0</formula>
    </cfRule>
  </conditionalFormatting>
  <conditionalFormatting sqref="I34">
    <cfRule type="cellIs" dxfId="1857" priority="1893" operator="lessThan">
      <formula>0</formula>
    </cfRule>
  </conditionalFormatting>
  <conditionalFormatting sqref="I34">
    <cfRule type="cellIs" dxfId="1856" priority="1892" operator="lessThan">
      <formula>0</formula>
    </cfRule>
  </conditionalFormatting>
  <conditionalFormatting sqref="I34">
    <cfRule type="cellIs" dxfId="1855" priority="1891" operator="lessThan">
      <formula>0</formula>
    </cfRule>
  </conditionalFormatting>
  <conditionalFormatting sqref="I34">
    <cfRule type="cellIs" dxfId="1854" priority="1890" operator="lessThan">
      <formula>0</formula>
    </cfRule>
  </conditionalFormatting>
  <conditionalFormatting sqref="I34">
    <cfRule type="cellIs" dxfId="1853" priority="1889" operator="lessThan">
      <formula>0</formula>
    </cfRule>
  </conditionalFormatting>
  <conditionalFormatting sqref="I34">
    <cfRule type="cellIs" dxfId="1852" priority="1888" operator="lessThan">
      <formula>0</formula>
    </cfRule>
  </conditionalFormatting>
  <conditionalFormatting sqref="I34">
    <cfRule type="cellIs" dxfId="1851" priority="1887" operator="lessThan">
      <formula>0</formula>
    </cfRule>
  </conditionalFormatting>
  <conditionalFormatting sqref="I34">
    <cfRule type="cellIs" dxfId="1850" priority="1886" operator="lessThan">
      <formula>0</formula>
    </cfRule>
  </conditionalFormatting>
  <conditionalFormatting sqref="I34">
    <cfRule type="cellIs" dxfId="1849" priority="1885" operator="lessThan">
      <formula>0</formula>
    </cfRule>
  </conditionalFormatting>
  <conditionalFormatting sqref="I34">
    <cfRule type="cellIs" dxfId="1848" priority="1884" operator="lessThan">
      <formula>0</formula>
    </cfRule>
  </conditionalFormatting>
  <conditionalFormatting sqref="I34">
    <cfRule type="cellIs" dxfId="1847" priority="1883" operator="lessThan">
      <formula>0</formula>
    </cfRule>
  </conditionalFormatting>
  <conditionalFormatting sqref="I34">
    <cfRule type="cellIs" dxfId="1846" priority="1882" operator="lessThan">
      <formula>0</formula>
    </cfRule>
  </conditionalFormatting>
  <conditionalFormatting sqref="I34">
    <cfRule type="cellIs" dxfId="1845" priority="1881" operator="lessThan">
      <formula>0</formula>
    </cfRule>
  </conditionalFormatting>
  <conditionalFormatting sqref="I34">
    <cfRule type="cellIs" dxfId="1844" priority="1880" operator="lessThan">
      <formula>0</formula>
    </cfRule>
  </conditionalFormatting>
  <conditionalFormatting sqref="I34">
    <cfRule type="cellIs" dxfId="1843" priority="1879" operator="lessThan">
      <formula>0</formula>
    </cfRule>
  </conditionalFormatting>
  <conditionalFormatting sqref="I34">
    <cfRule type="cellIs" dxfId="1842" priority="1878" operator="lessThan">
      <formula>0</formula>
    </cfRule>
  </conditionalFormatting>
  <conditionalFormatting sqref="I34">
    <cfRule type="cellIs" dxfId="1841" priority="1877" operator="lessThan">
      <formula>0</formula>
    </cfRule>
  </conditionalFormatting>
  <conditionalFormatting sqref="I34">
    <cfRule type="cellIs" dxfId="1840" priority="1876" operator="lessThan">
      <formula>0</formula>
    </cfRule>
  </conditionalFormatting>
  <conditionalFormatting sqref="I34">
    <cfRule type="cellIs" dxfId="1839" priority="1875" operator="lessThan">
      <formula>0</formula>
    </cfRule>
  </conditionalFormatting>
  <conditionalFormatting sqref="I34">
    <cfRule type="cellIs" dxfId="1838" priority="1874" operator="lessThan">
      <formula>0</formula>
    </cfRule>
  </conditionalFormatting>
  <conditionalFormatting sqref="I34">
    <cfRule type="cellIs" dxfId="1837" priority="1873" operator="lessThan">
      <formula>0</formula>
    </cfRule>
  </conditionalFormatting>
  <conditionalFormatting sqref="I34">
    <cfRule type="cellIs" dxfId="1836" priority="1872" operator="lessThan">
      <formula>0</formula>
    </cfRule>
  </conditionalFormatting>
  <conditionalFormatting sqref="I34">
    <cfRule type="cellIs" dxfId="1835" priority="1871" operator="lessThan">
      <formula>0</formula>
    </cfRule>
  </conditionalFormatting>
  <conditionalFormatting sqref="I34">
    <cfRule type="cellIs" dxfId="1834" priority="1870" operator="lessThan">
      <formula>0</formula>
    </cfRule>
  </conditionalFormatting>
  <conditionalFormatting sqref="I34">
    <cfRule type="cellIs" dxfId="1833" priority="1869" operator="lessThan">
      <formula>0</formula>
    </cfRule>
  </conditionalFormatting>
  <conditionalFormatting sqref="I34">
    <cfRule type="cellIs" dxfId="1832" priority="1868" operator="lessThan">
      <formula>0</formula>
    </cfRule>
  </conditionalFormatting>
  <conditionalFormatting sqref="I34">
    <cfRule type="cellIs" dxfId="1831" priority="1867" operator="lessThan">
      <formula>0</formula>
    </cfRule>
  </conditionalFormatting>
  <conditionalFormatting sqref="I34">
    <cfRule type="cellIs" dxfId="1830" priority="1866" operator="lessThan">
      <formula>0</formula>
    </cfRule>
  </conditionalFormatting>
  <conditionalFormatting sqref="I34">
    <cfRule type="cellIs" dxfId="1829" priority="1865" operator="lessThan">
      <formula>0</formula>
    </cfRule>
  </conditionalFormatting>
  <conditionalFormatting sqref="I34">
    <cfRule type="cellIs" dxfId="1828" priority="1864" operator="lessThan">
      <formula>0</formula>
    </cfRule>
  </conditionalFormatting>
  <conditionalFormatting sqref="I34">
    <cfRule type="cellIs" dxfId="1827" priority="1863" operator="lessThan">
      <formula>0</formula>
    </cfRule>
  </conditionalFormatting>
  <conditionalFormatting sqref="I34">
    <cfRule type="cellIs" dxfId="1826" priority="1862" operator="lessThan">
      <formula>0</formula>
    </cfRule>
  </conditionalFormatting>
  <conditionalFormatting sqref="I34">
    <cfRule type="cellIs" dxfId="1825" priority="1861" operator="lessThan">
      <formula>0</formula>
    </cfRule>
  </conditionalFormatting>
  <conditionalFormatting sqref="I34">
    <cfRule type="cellIs" dxfId="1824" priority="1860" operator="lessThan">
      <formula>0</formula>
    </cfRule>
  </conditionalFormatting>
  <conditionalFormatting sqref="I34">
    <cfRule type="cellIs" dxfId="1823" priority="1859" operator="lessThan">
      <formula>0</formula>
    </cfRule>
  </conditionalFormatting>
  <conditionalFormatting sqref="I34">
    <cfRule type="cellIs" dxfId="1822" priority="1858" operator="lessThan">
      <formula>0</formula>
    </cfRule>
  </conditionalFormatting>
  <conditionalFormatting sqref="I34">
    <cfRule type="cellIs" dxfId="1821" priority="1857" operator="lessThan">
      <formula>0</formula>
    </cfRule>
  </conditionalFormatting>
  <conditionalFormatting sqref="I34">
    <cfRule type="cellIs" dxfId="1820" priority="1856" operator="lessThan">
      <formula>0</formula>
    </cfRule>
  </conditionalFormatting>
  <conditionalFormatting sqref="I34">
    <cfRule type="cellIs" dxfId="1819" priority="1855" operator="lessThan">
      <formula>0</formula>
    </cfRule>
  </conditionalFormatting>
  <conditionalFormatting sqref="I34">
    <cfRule type="cellIs" dxfId="1818" priority="1854" operator="lessThan">
      <formula>0</formula>
    </cfRule>
  </conditionalFormatting>
  <conditionalFormatting sqref="I34">
    <cfRule type="cellIs" dxfId="1817" priority="1853" operator="lessThan">
      <formula>0</formula>
    </cfRule>
  </conditionalFormatting>
  <conditionalFormatting sqref="I34">
    <cfRule type="cellIs" dxfId="1816" priority="1852" operator="lessThan">
      <formula>0</formula>
    </cfRule>
  </conditionalFormatting>
  <conditionalFormatting sqref="I34">
    <cfRule type="cellIs" dxfId="1815" priority="1851" operator="lessThan">
      <formula>0</formula>
    </cfRule>
  </conditionalFormatting>
  <conditionalFormatting sqref="I34">
    <cfRule type="cellIs" dxfId="1814" priority="1850" operator="lessThan">
      <formula>0</formula>
    </cfRule>
  </conditionalFormatting>
  <conditionalFormatting sqref="I34">
    <cfRule type="cellIs" dxfId="1813" priority="1849" operator="lessThan">
      <formula>0</formula>
    </cfRule>
  </conditionalFormatting>
  <conditionalFormatting sqref="I34">
    <cfRule type="cellIs" dxfId="1812" priority="1848" operator="lessThan">
      <formula>0</formula>
    </cfRule>
  </conditionalFormatting>
  <conditionalFormatting sqref="I34">
    <cfRule type="cellIs" dxfId="1811" priority="1847" operator="lessThan">
      <formula>0</formula>
    </cfRule>
  </conditionalFormatting>
  <conditionalFormatting sqref="I34">
    <cfRule type="cellIs" dxfId="1810" priority="1846" operator="lessThan">
      <formula>0</formula>
    </cfRule>
  </conditionalFormatting>
  <conditionalFormatting sqref="I34">
    <cfRule type="cellIs" dxfId="1809" priority="1845" operator="lessThan">
      <formula>0</formula>
    </cfRule>
  </conditionalFormatting>
  <conditionalFormatting sqref="I34">
    <cfRule type="cellIs" dxfId="1808" priority="1844" operator="lessThan">
      <formula>0</formula>
    </cfRule>
  </conditionalFormatting>
  <conditionalFormatting sqref="I34">
    <cfRule type="cellIs" dxfId="1807" priority="1843" operator="lessThan">
      <formula>0</formula>
    </cfRule>
  </conditionalFormatting>
  <conditionalFormatting sqref="I34">
    <cfRule type="cellIs" dxfId="1806" priority="1842" operator="lessThan">
      <formula>0</formula>
    </cfRule>
  </conditionalFormatting>
  <conditionalFormatting sqref="I34">
    <cfRule type="cellIs" dxfId="1805" priority="1841" operator="lessThan">
      <formula>0</formula>
    </cfRule>
  </conditionalFormatting>
  <conditionalFormatting sqref="I34">
    <cfRule type="cellIs" dxfId="1804" priority="1840" operator="lessThan">
      <formula>0</formula>
    </cfRule>
  </conditionalFormatting>
  <conditionalFormatting sqref="I34">
    <cfRule type="cellIs" dxfId="1803" priority="1839" operator="lessThan">
      <formula>0</formula>
    </cfRule>
  </conditionalFormatting>
  <conditionalFormatting sqref="I34">
    <cfRule type="cellIs" dxfId="1802" priority="1838" operator="lessThan">
      <formula>0</formula>
    </cfRule>
  </conditionalFormatting>
  <conditionalFormatting sqref="I34">
    <cfRule type="cellIs" dxfId="1801" priority="1837" operator="lessThan">
      <formula>0</formula>
    </cfRule>
  </conditionalFormatting>
  <conditionalFormatting sqref="I34">
    <cfRule type="cellIs" dxfId="1800" priority="1836" operator="lessThan">
      <formula>0</formula>
    </cfRule>
  </conditionalFormatting>
  <conditionalFormatting sqref="I34">
    <cfRule type="cellIs" dxfId="1799" priority="1835" operator="lessThan">
      <formula>0</formula>
    </cfRule>
  </conditionalFormatting>
  <conditionalFormatting sqref="I34">
    <cfRule type="cellIs" dxfId="1798" priority="1834" operator="lessThan">
      <formula>0</formula>
    </cfRule>
  </conditionalFormatting>
  <conditionalFormatting sqref="I34">
    <cfRule type="cellIs" dxfId="1797" priority="1833" operator="lessThan">
      <formula>0</formula>
    </cfRule>
  </conditionalFormatting>
  <conditionalFormatting sqref="I34">
    <cfRule type="cellIs" dxfId="1796" priority="1832" operator="lessThan">
      <formula>0</formula>
    </cfRule>
  </conditionalFormatting>
  <conditionalFormatting sqref="I34">
    <cfRule type="cellIs" dxfId="1795" priority="1831" operator="lessThan">
      <formula>0</formula>
    </cfRule>
  </conditionalFormatting>
  <conditionalFormatting sqref="I34">
    <cfRule type="cellIs" dxfId="1794" priority="1830" operator="lessThan">
      <formula>0</formula>
    </cfRule>
  </conditionalFormatting>
  <conditionalFormatting sqref="I34">
    <cfRule type="cellIs" dxfId="1793" priority="1829" operator="lessThan">
      <formula>0</formula>
    </cfRule>
  </conditionalFormatting>
  <conditionalFormatting sqref="I34">
    <cfRule type="cellIs" dxfId="1792" priority="1828" operator="lessThan">
      <formula>0</formula>
    </cfRule>
  </conditionalFormatting>
  <conditionalFormatting sqref="I34">
    <cfRule type="cellIs" dxfId="1791" priority="1827" operator="lessThan">
      <formula>0</formula>
    </cfRule>
  </conditionalFormatting>
  <conditionalFormatting sqref="I34">
    <cfRule type="cellIs" dxfId="1790" priority="1826" operator="lessThan">
      <formula>0</formula>
    </cfRule>
  </conditionalFormatting>
  <conditionalFormatting sqref="I34">
    <cfRule type="cellIs" dxfId="1789" priority="1825" operator="lessThan">
      <formula>0</formula>
    </cfRule>
  </conditionalFormatting>
  <conditionalFormatting sqref="I34">
    <cfRule type="cellIs" dxfId="1788" priority="1824" operator="lessThan">
      <formula>0</formula>
    </cfRule>
  </conditionalFormatting>
  <conditionalFormatting sqref="I34">
    <cfRule type="cellIs" dxfId="1787" priority="1823" operator="lessThan">
      <formula>0</formula>
    </cfRule>
  </conditionalFormatting>
  <conditionalFormatting sqref="I34">
    <cfRule type="cellIs" dxfId="1786" priority="1822" operator="lessThan">
      <formula>0</formula>
    </cfRule>
  </conditionalFormatting>
  <conditionalFormatting sqref="I34">
    <cfRule type="cellIs" dxfId="1785" priority="1821" operator="lessThan">
      <formula>0</formula>
    </cfRule>
  </conditionalFormatting>
  <conditionalFormatting sqref="I34">
    <cfRule type="cellIs" dxfId="1784" priority="1820" operator="lessThan">
      <formula>0</formula>
    </cfRule>
  </conditionalFormatting>
  <conditionalFormatting sqref="I34">
    <cfRule type="cellIs" dxfId="1783" priority="1819" operator="lessThan">
      <formula>0</formula>
    </cfRule>
  </conditionalFormatting>
  <conditionalFormatting sqref="I34">
    <cfRule type="cellIs" dxfId="1782" priority="1818" operator="lessThan">
      <formula>0</formula>
    </cfRule>
  </conditionalFormatting>
  <conditionalFormatting sqref="I34">
    <cfRule type="cellIs" dxfId="1781" priority="1817" operator="lessThan">
      <formula>0</formula>
    </cfRule>
  </conditionalFormatting>
  <conditionalFormatting sqref="I34">
    <cfRule type="cellIs" dxfId="1780" priority="1816" operator="lessThan">
      <formula>0</formula>
    </cfRule>
  </conditionalFormatting>
  <conditionalFormatting sqref="I34">
    <cfRule type="cellIs" dxfId="1779" priority="1815" operator="lessThan">
      <formula>0</formula>
    </cfRule>
  </conditionalFormatting>
  <conditionalFormatting sqref="I34">
    <cfRule type="cellIs" dxfId="1778" priority="1814" operator="lessThan">
      <formula>0</formula>
    </cfRule>
  </conditionalFormatting>
  <conditionalFormatting sqref="I34">
    <cfRule type="cellIs" dxfId="1777" priority="1813" operator="lessThan">
      <formula>0</formula>
    </cfRule>
  </conditionalFormatting>
  <conditionalFormatting sqref="I34">
    <cfRule type="cellIs" dxfId="1776" priority="1812" operator="lessThan">
      <formula>0</formula>
    </cfRule>
  </conditionalFormatting>
  <conditionalFormatting sqref="I34">
    <cfRule type="cellIs" dxfId="1775" priority="1811" operator="lessThan">
      <formula>0</formula>
    </cfRule>
  </conditionalFormatting>
  <conditionalFormatting sqref="I34">
    <cfRule type="cellIs" dxfId="1774" priority="1810" operator="lessThan">
      <formula>0</formula>
    </cfRule>
  </conditionalFormatting>
  <conditionalFormatting sqref="I34">
    <cfRule type="cellIs" dxfId="1773" priority="1809" operator="lessThan">
      <formula>0</formula>
    </cfRule>
  </conditionalFormatting>
  <conditionalFormatting sqref="I34">
    <cfRule type="cellIs" dxfId="1772" priority="1808" operator="lessThan">
      <formula>0</formula>
    </cfRule>
  </conditionalFormatting>
  <conditionalFormatting sqref="I34">
    <cfRule type="cellIs" dxfId="1771" priority="1807" operator="lessThan">
      <formula>0</formula>
    </cfRule>
  </conditionalFormatting>
  <conditionalFormatting sqref="I34">
    <cfRule type="cellIs" dxfId="1770" priority="1806" operator="lessThan">
      <formula>0</formula>
    </cfRule>
  </conditionalFormatting>
  <conditionalFormatting sqref="I34">
    <cfRule type="cellIs" dxfId="1769" priority="1805" operator="lessThan">
      <formula>0</formula>
    </cfRule>
  </conditionalFormatting>
  <conditionalFormatting sqref="I34">
    <cfRule type="cellIs" dxfId="1768" priority="1804" operator="lessThan">
      <formula>0</formula>
    </cfRule>
  </conditionalFormatting>
  <conditionalFormatting sqref="I34">
    <cfRule type="cellIs" dxfId="1767" priority="1803" operator="lessThan">
      <formula>0</formula>
    </cfRule>
  </conditionalFormatting>
  <conditionalFormatting sqref="I34">
    <cfRule type="cellIs" dxfId="1766" priority="1802" operator="lessThan">
      <formula>0</formula>
    </cfRule>
  </conditionalFormatting>
  <conditionalFormatting sqref="I34">
    <cfRule type="cellIs" dxfId="1765" priority="1801" operator="lessThan">
      <formula>0</formula>
    </cfRule>
  </conditionalFormatting>
  <conditionalFormatting sqref="I34">
    <cfRule type="cellIs" dxfId="1764" priority="1800" operator="lessThan">
      <formula>0</formula>
    </cfRule>
  </conditionalFormatting>
  <conditionalFormatting sqref="I34">
    <cfRule type="cellIs" dxfId="1763" priority="1799" operator="lessThan">
      <formula>0</formula>
    </cfRule>
  </conditionalFormatting>
  <conditionalFormatting sqref="I34">
    <cfRule type="cellIs" dxfId="1762" priority="1798" operator="lessThan">
      <formula>0</formula>
    </cfRule>
  </conditionalFormatting>
  <conditionalFormatting sqref="I34">
    <cfRule type="cellIs" dxfId="1761" priority="1797" operator="lessThan">
      <formula>0</formula>
    </cfRule>
  </conditionalFormatting>
  <conditionalFormatting sqref="I34">
    <cfRule type="cellIs" dxfId="1760" priority="1796" operator="lessThan">
      <formula>0</formula>
    </cfRule>
  </conditionalFormatting>
  <conditionalFormatting sqref="I34">
    <cfRule type="cellIs" dxfId="1759" priority="1795" operator="lessThan">
      <formula>0</formula>
    </cfRule>
  </conditionalFormatting>
  <conditionalFormatting sqref="I34">
    <cfRule type="cellIs" dxfId="1758" priority="1794" operator="lessThan">
      <formula>0</formula>
    </cfRule>
  </conditionalFormatting>
  <conditionalFormatting sqref="I34">
    <cfRule type="cellIs" dxfId="1757" priority="1793" operator="lessThan">
      <formula>0</formula>
    </cfRule>
  </conditionalFormatting>
  <conditionalFormatting sqref="I34">
    <cfRule type="cellIs" dxfId="1756" priority="1792" operator="lessThan">
      <formula>0</formula>
    </cfRule>
  </conditionalFormatting>
  <conditionalFormatting sqref="I34">
    <cfRule type="cellIs" dxfId="1755" priority="1791" operator="lessThan">
      <formula>0</formula>
    </cfRule>
  </conditionalFormatting>
  <conditionalFormatting sqref="I34">
    <cfRule type="cellIs" dxfId="1754" priority="1790" operator="lessThan">
      <formula>0</formula>
    </cfRule>
  </conditionalFormatting>
  <conditionalFormatting sqref="I34">
    <cfRule type="cellIs" dxfId="1753" priority="1789" operator="lessThan">
      <formula>0</formula>
    </cfRule>
  </conditionalFormatting>
  <conditionalFormatting sqref="I34">
    <cfRule type="cellIs" dxfId="1752" priority="1788" operator="lessThan">
      <formula>0</formula>
    </cfRule>
  </conditionalFormatting>
  <conditionalFormatting sqref="I34">
    <cfRule type="cellIs" dxfId="1751" priority="1787" operator="lessThan">
      <formula>0</formula>
    </cfRule>
  </conditionalFormatting>
  <conditionalFormatting sqref="I34">
    <cfRule type="cellIs" dxfId="1750" priority="1786" operator="lessThan">
      <formula>0</formula>
    </cfRule>
  </conditionalFormatting>
  <conditionalFormatting sqref="I34">
    <cfRule type="cellIs" dxfId="1749" priority="1785" operator="lessThan">
      <formula>0</formula>
    </cfRule>
  </conditionalFormatting>
  <conditionalFormatting sqref="I34">
    <cfRule type="cellIs" dxfId="1748" priority="1784" operator="lessThan">
      <formula>0</formula>
    </cfRule>
  </conditionalFormatting>
  <conditionalFormatting sqref="I34">
    <cfRule type="cellIs" dxfId="1747" priority="1783" operator="lessThan">
      <formula>0</formula>
    </cfRule>
  </conditionalFormatting>
  <conditionalFormatting sqref="I34">
    <cfRule type="cellIs" dxfId="1746" priority="1782" operator="lessThan">
      <formula>0</formula>
    </cfRule>
  </conditionalFormatting>
  <conditionalFormatting sqref="I34">
    <cfRule type="cellIs" dxfId="1745" priority="1781" operator="lessThan">
      <formula>0</formula>
    </cfRule>
  </conditionalFormatting>
  <conditionalFormatting sqref="I34">
    <cfRule type="cellIs" dxfId="1744" priority="1780" operator="lessThan">
      <formula>0</formula>
    </cfRule>
  </conditionalFormatting>
  <conditionalFormatting sqref="I34">
    <cfRule type="cellIs" dxfId="1743" priority="1779" operator="lessThan">
      <formula>0</formula>
    </cfRule>
  </conditionalFormatting>
  <conditionalFormatting sqref="I34">
    <cfRule type="cellIs" dxfId="1742" priority="1778" operator="lessThan">
      <formula>0</formula>
    </cfRule>
  </conditionalFormatting>
  <conditionalFormatting sqref="I34">
    <cfRule type="cellIs" dxfId="1741" priority="1777" operator="lessThan">
      <formula>0</formula>
    </cfRule>
  </conditionalFormatting>
  <conditionalFormatting sqref="I34">
    <cfRule type="cellIs" dxfId="1740" priority="1776" operator="lessThan">
      <formula>0</formula>
    </cfRule>
  </conditionalFormatting>
  <conditionalFormatting sqref="I34">
    <cfRule type="cellIs" dxfId="1739" priority="1775" operator="lessThan">
      <formula>0</formula>
    </cfRule>
  </conditionalFormatting>
  <conditionalFormatting sqref="I34">
    <cfRule type="cellIs" dxfId="1738" priority="1774" operator="lessThan">
      <formula>0</formula>
    </cfRule>
  </conditionalFormatting>
  <conditionalFormatting sqref="I34">
    <cfRule type="cellIs" dxfId="1737" priority="1773" operator="lessThan">
      <formula>0</formula>
    </cfRule>
  </conditionalFormatting>
  <conditionalFormatting sqref="I34">
    <cfRule type="cellIs" dxfId="1736" priority="1772" operator="lessThan">
      <formula>0</formula>
    </cfRule>
  </conditionalFormatting>
  <conditionalFormatting sqref="I34">
    <cfRule type="cellIs" dxfId="1735" priority="1771" operator="lessThan">
      <formula>0</formula>
    </cfRule>
  </conditionalFormatting>
  <conditionalFormatting sqref="I34">
    <cfRule type="cellIs" dxfId="1734" priority="1770" operator="lessThan">
      <formula>0</formula>
    </cfRule>
  </conditionalFormatting>
  <conditionalFormatting sqref="I34">
    <cfRule type="cellIs" dxfId="1733" priority="1769" operator="lessThan">
      <formula>0</formula>
    </cfRule>
  </conditionalFormatting>
  <conditionalFormatting sqref="I34">
    <cfRule type="cellIs" dxfId="1732" priority="1768" operator="lessThan">
      <formula>0</formula>
    </cfRule>
  </conditionalFormatting>
  <conditionalFormatting sqref="I34">
    <cfRule type="cellIs" dxfId="1731" priority="1767" operator="lessThan">
      <formula>0</formula>
    </cfRule>
  </conditionalFormatting>
  <conditionalFormatting sqref="I34">
    <cfRule type="cellIs" dxfId="1730" priority="1766" operator="lessThan">
      <formula>0</formula>
    </cfRule>
  </conditionalFormatting>
  <conditionalFormatting sqref="I34">
    <cfRule type="cellIs" dxfId="1729" priority="1765" operator="lessThan">
      <formula>0</formula>
    </cfRule>
  </conditionalFormatting>
  <conditionalFormatting sqref="I34">
    <cfRule type="cellIs" dxfId="1728" priority="1764" operator="lessThan">
      <formula>0</formula>
    </cfRule>
  </conditionalFormatting>
  <conditionalFormatting sqref="I34">
    <cfRule type="cellIs" dxfId="1727" priority="1763" operator="lessThan">
      <formula>0</formula>
    </cfRule>
  </conditionalFormatting>
  <conditionalFormatting sqref="I34">
    <cfRule type="cellIs" dxfId="1726" priority="1762" operator="lessThan">
      <formula>0</formula>
    </cfRule>
  </conditionalFormatting>
  <conditionalFormatting sqref="I34">
    <cfRule type="cellIs" dxfId="1725" priority="1761" operator="lessThan">
      <formula>0</formula>
    </cfRule>
  </conditionalFormatting>
  <conditionalFormatting sqref="I34">
    <cfRule type="cellIs" dxfId="1724" priority="1760" operator="lessThan">
      <formula>0</formula>
    </cfRule>
  </conditionalFormatting>
  <conditionalFormatting sqref="I34">
    <cfRule type="cellIs" dxfId="1723" priority="1759" operator="lessThan">
      <formula>0</formula>
    </cfRule>
  </conditionalFormatting>
  <conditionalFormatting sqref="I34">
    <cfRule type="cellIs" dxfId="1722" priority="1758" operator="lessThan">
      <formula>0</formula>
    </cfRule>
  </conditionalFormatting>
  <conditionalFormatting sqref="I34">
    <cfRule type="cellIs" dxfId="1721" priority="1757" operator="lessThan">
      <formula>0</formula>
    </cfRule>
  </conditionalFormatting>
  <conditionalFormatting sqref="I34">
    <cfRule type="cellIs" dxfId="1720" priority="1756" operator="lessThan">
      <formula>0</formula>
    </cfRule>
  </conditionalFormatting>
  <conditionalFormatting sqref="I34">
    <cfRule type="cellIs" dxfId="1719" priority="1755" operator="lessThan">
      <formula>0</formula>
    </cfRule>
  </conditionalFormatting>
  <conditionalFormatting sqref="I34">
    <cfRule type="cellIs" dxfId="1718" priority="1754" operator="lessThan">
      <formula>0</formula>
    </cfRule>
  </conditionalFormatting>
  <conditionalFormatting sqref="I34">
    <cfRule type="cellIs" dxfId="1717" priority="1753" operator="lessThan">
      <formula>0</formula>
    </cfRule>
  </conditionalFormatting>
  <conditionalFormatting sqref="I34">
    <cfRule type="cellIs" dxfId="1716" priority="1752" operator="lessThan">
      <formula>0</formula>
    </cfRule>
  </conditionalFormatting>
  <conditionalFormatting sqref="I34">
    <cfRule type="cellIs" dxfId="1715" priority="1751" operator="lessThan">
      <formula>0</formula>
    </cfRule>
  </conditionalFormatting>
  <conditionalFormatting sqref="I34">
    <cfRule type="cellIs" dxfId="1714" priority="1750" operator="lessThan">
      <formula>0</formula>
    </cfRule>
  </conditionalFormatting>
  <conditionalFormatting sqref="I34">
    <cfRule type="cellIs" dxfId="1713" priority="1749" operator="lessThan">
      <formula>0</formula>
    </cfRule>
  </conditionalFormatting>
  <conditionalFormatting sqref="I34">
    <cfRule type="cellIs" dxfId="1712" priority="1748" operator="lessThan">
      <formula>0</formula>
    </cfRule>
  </conditionalFormatting>
  <conditionalFormatting sqref="I34">
    <cfRule type="cellIs" dxfId="1711" priority="1747" operator="lessThan">
      <formula>0</formula>
    </cfRule>
  </conditionalFormatting>
  <conditionalFormatting sqref="I34">
    <cfRule type="cellIs" dxfId="1710" priority="1746" operator="lessThan">
      <formula>0</formula>
    </cfRule>
  </conditionalFormatting>
  <conditionalFormatting sqref="I34">
    <cfRule type="cellIs" dxfId="1709" priority="1745" operator="lessThan">
      <formula>0</formula>
    </cfRule>
  </conditionalFormatting>
  <conditionalFormatting sqref="I34">
    <cfRule type="cellIs" dxfId="1708" priority="1744" operator="lessThan">
      <formula>0</formula>
    </cfRule>
  </conditionalFormatting>
  <conditionalFormatting sqref="I34">
    <cfRule type="cellIs" dxfId="1707" priority="1743" operator="lessThan">
      <formula>0</formula>
    </cfRule>
  </conditionalFormatting>
  <conditionalFormatting sqref="I34">
    <cfRule type="cellIs" dxfId="1706" priority="1742" operator="lessThan">
      <formula>0</formula>
    </cfRule>
  </conditionalFormatting>
  <conditionalFormatting sqref="I34">
    <cfRule type="cellIs" dxfId="1705" priority="1741" operator="lessThan">
      <formula>0</formula>
    </cfRule>
  </conditionalFormatting>
  <conditionalFormatting sqref="I34">
    <cfRule type="cellIs" dxfId="1704" priority="1740" operator="lessThan">
      <formula>0</formula>
    </cfRule>
  </conditionalFormatting>
  <conditionalFormatting sqref="I34">
    <cfRule type="cellIs" dxfId="1703" priority="1739" operator="lessThan">
      <formula>0</formula>
    </cfRule>
  </conditionalFormatting>
  <conditionalFormatting sqref="I34">
    <cfRule type="cellIs" dxfId="1702" priority="1738" operator="lessThan">
      <formula>0</formula>
    </cfRule>
  </conditionalFormatting>
  <conditionalFormatting sqref="I34">
    <cfRule type="cellIs" dxfId="1701" priority="1737" operator="lessThan">
      <formula>0</formula>
    </cfRule>
  </conditionalFormatting>
  <conditionalFormatting sqref="I34">
    <cfRule type="cellIs" dxfId="1700" priority="1736" operator="lessThan">
      <formula>0</formula>
    </cfRule>
  </conditionalFormatting>
  <conditionalFormatting sqref="I34">
    <cfRule type="cellIs" dxfId="1699" priority="1735" operator="lessThan">
      <formula>0</formula>
    </cfRule>
  </conditionalFormatting>
  <conditionalFormatting sqref="I34">
    <cfRule type="cellIs" dxfId="1698" priority="1734" operator="lessThan">
      <formula>0</formula>
    </cfRule>
  </conditionalFormatting>
  <conditionalFormatting sqref="I34">
    <cfRule type="cellIs" dxfId="1697" priority="1733" operator="lessThan">
      <formula>0</formula>
    </cfRule>
  </conditionalFormatting>
  <conditionalFormatting sqref="I34">
    <cfRule type="cellIs" dxfId="1696" priority="1732" operator="lessThan">
      <formula>0</formula>
    </cfRule>
  </conditionalFormatting>
  <conditionalFormatting sqref="I34">
    <cfRule type="cellIs" dxfId="1695" priority="1731" operator="lessThan">
      <formula>0</formula>
    </cfRule>
  </conditionalFormatting>
  <conditionalFormatting sqref="I34">
    <cfRule type="cellIs" dxfId="1694" priority="1730" operator="lessThan">
      <formula>0</formula>
    </cfRule>
  </conditionalFormatting>
  <conditionalFormatting sqref="I34">
    <cfRule type="cellIs" dxfId="1693" priority="1729" operator="lessThan">
      <formula>0</formula>
    </cfRule>
  </conditionalFormatting>
  <conditionalFormatting sqref="I34">
    <cfRule type="cellIs" dxfId="1692" priority="1728" operator="lessThan">
      <formula>0</formula>
    </cfRule>
  </conditionalFormatting>
  <conditionalFormatting sqref="I34">
    <cfRule type="cellIs" dxfId="1691" priority="1727" operator="lessThan">
      <formula>0</formula>
    </cfRule>
  </conditionalFormatting>
  <conditionalFormatting sqref="I34">
    <cfRule type="cellIs" dxfId="1690" priority="1726" operator="lessThan">
      <formula>0</formula>
    </cfRule>
  </conditionalFormatting>
  <conditionalFormatting sqref="I34">
    <cfRule type="cellIs" dxfId="1689" priority="1725" operator="lessThan">
      <formula>0</formula>
    </cfRule>
  </conditionalFormatting>
  <conditionalFormatting sqref="I34">
    <cfRule type="cellIs" dxfId="1688" priority="1724" operator="lessThan">
      <formula>0</formula>
    </cfRule>
  </conditionalFormatting>
  <conditionalFormatting sqref="I34">
    <cfRule type="cellIs" dxfId="1687" priority="1723" operator="lessThan">
      <formula>0</formula>
    </cfRule>
  </conditionalFormatting>
  <conditionalFormatting sqref="I34">
    <cfRule type="cellIs" dxfId="1686" priority="1722" operator="lessThan">
      <formula>0</formula>
    </cfRule>
  </conditionalFormatting>
  <conditionalFormatting sqref="I34">
    <cfRule type="cellIs" dxfId="1685" priority="1721" operator="lessThan">
      <formula>0</formula>
    </cfRule>
  </conditionalFormatting>
  <conditionalFormatting sqref="I34">
    <cfRule type="cellIs" dxfId="1684" priority="1720" operator="lessThan">
      <formula>0</formula>
    </cfRule>
  </conditionalFormatting>
  <conditionalFormatting sqref="I34">
    <cfRule type="cellIs" dxfId="1683" priority="1719" operator="lessThan">
      <formula>0</formula>
    </cfRule>
  </conditionalFormatting>
  <conditionalFormatting sqref="I34">
    <cfRule type="cellIs" dxfId="1682" priority="1718" operator="lessThan">
      <formula>0</formula>
    </cfRule>
  </conditionalFormatting>
  <conditionalFormatting sqref="I34">
    <cfRule type="cellIs" dxfId="1681" priority="1717" operator="lessThan">
      <formula>0</formula>
    </cfRule>
  </conditionalFormatting>
  <conditionalFormatting sqref="I34">
    <cfRule type="cellIs" dxfId="1680" priority="1716" operator="lessThan">
      <formula>0</formula>
    </cfRule>
  </conditionalFormatting>
  <conditionalFormatting sqref="I34">
    <cfRule type="cellIs" dxfId="1679" priority="1715" operator="lessThan">
      <formula>0</formula>
    </cfRule>
  </conditionalFormatting>
  <conditionalFormatting sqref="I34">
    <cfRule type="cellIs" dxfId="1678" priority="1714" operator="lessThan">
      <formula>0</formula>
    </cfRule>
  </conditionalFormatting>
  <conditionalFormatting sqref="I34">
    <cfRule type="cellIs" dxfId="1677" priority="1713" operator="lessThan">
      <formula>0</formula>
    </cfRule>
  </conditionalFormatting>
  <conditionalFormatting sqref="I34">
    <cfRule type="cellIs" dxfId="1676" priority="1712" operator="lessThan">
      <formula>0</formula>
    </cfRule>
  </conditionalFormatting>
  <conditionalFormatting sqref="I34">
    <cfRule type="cellIs" dxfId="1675" priority="1711" operator="lessThan">
      <formula>0</formula>
    </cfRule>
  </conditionalFormatting>
  <conditionalFormatting sqref="I34">
    <cfRule type="cellIs" dxfId="1674" priority="1710" operator="lessThan">
      <formula>0</formula>
    </cfRule>
  </conditionalFormatting>
  <conditionalFormatting sqref="I34">
    <cfRule type="cellIs" dxfId="1673" priority="1709" operator="lessThan">
      <formula>0</formula>
    </cfRule>
  </conditionalFormatting>
  <conditionalFormatting sqref="I34">
    <cfRule type="cellIs" dxfId="1672" priority="1708" operator="lessThan">
      <formula>0</formula>
    </cfRule>
  </conditionalFormatting>
  <conditionalFormatting sqref="I34">
    <cfRule type="cellIs" dxfId="1671" priority="1707" operator="lessThan">
      <formula>0</formula>
    </cfRule>
  </conditionalFormatting>
  <conditionalFormatting sqref="I34">
    <cfRule type="cellIs" dxfId="1670" priority="1706" operator="lessThan">
      <formula>0</formula>
    </cfRule>
  </conditionalFormatting>
  <conditionalFormatting sqref="I34">
    <cfRule type="cellIs" dxfId="1669" priority="1705" operator="lessThan">
      <formula>0</formula>
    </cfRule>
  </conditionalFormatting>
  <conditionalFormatting sqref="I34">
    <cfRule type="cellIs" dxfId="1668" priority="1704" operator="lessThan">
      <formula>0</formula>
    </cfRule>
  </conditionalFormatting>
  <conditionalFormatting sqref="I34">
    <cfRule type="cellIs" dxfId="1667" priority="1703" operator="lessThan">
      <formula>0</formula>
    </cfRule>
  </conditionalFormatting>
  <conditionalFormatting sqref="I34">
    <cfRule type="cellIs" dxfId="1666" priority="1702" operator="lessThan">
      <formula>0</formula>
    </cfRule>
  </conditionalFormatting>
  <conditionalFormatting sqref="I34">
    <cfRule type="cellIs" dxfId="1665" priority="1701" operator="lessThan">
      <formula>0</formula>
    </cfRule>
  </conditionalFormatting>
  <conditionalFormatting sqref="I34">
    <cfRule type="cellIs" dxfId="1664" priority="1700" operator="lessThan">
      <formula>0</formula>
    </cfRule>
  </conditionalFormatting>
  <conditionalFormatting sqref="I34">
    <cfRule type="cellIs" dxfId="1663" priority="1699" operator="lessThan">
      <formula>0</formula>
    </cfRule>
  </conditionalFormatting>
  <conditionalFormatting sqref="I34">
    <cfRule type="cellIs" dxfId="1662" priority="1698" operator="lessThan">
      <formula>0</formula>
    </cfRule>
  </conditionalFormatting>
  <conditionalFormatting sqref="I34">
    <cfRule type="cellIs" dxfId="1661" priority="1697" operator="lessThan">
      <formula>0</formula>
    </cfRule>
  </conditionalFormatting>
  <conditionalFormatting sqref="I34">
    <cfRule type="cellIs" dxfId="1660" priority="1696" operator="lessThan">
      <formula>0</formula>
    </cfRule>
  </conditionalFormatting>
  <conditionalFormatting sqref="I34">
    <cfRule type="cellIs" dxfId="1659" priority="1695" operator="lessThan">
      <formula>0</formula>
    </cfRule>
  </conditionalFormatting>
  <conditionalFormatting sqref="I34">
    <cfRule type="cellIs" dxfId="1658" priority="1694" operator="lessThan">
      <formula>0</formula>
    </cfRule>
  </conditionalFormatting>
  <conditionalFormatting sqref="I34">
    <cfRule type="cellIs" dxfId="1657" priority="1693" operator="lessThan">
      <formula>0</formula>
    </cfRule>
  </conditionalFormatting>
  <conditionalFormatting sqref="I34">
    <cfRule type="cellIs" dxfId="1656" priority="1692" operator="lessThan">
      <formula>0</formula>
    </cfRule>
  </conditionalFormatting>
  <conditionalFormatting sqref="I34">
    <cfRule type="cellIs" dxfId="1655" priority="1691" operator="lessThan">
      <formula>0</formula>
    </cfRule>
  </conditionalFormatting>
  <conditionalFormatting sqref="I34">
    <cfRule type="cellIs" dxfId="1654" priority="1690" operator="lessThan">
      <formula>0</formula>
    </cfRule>
  </conditionalFormatting>
  <conditionalFormatting sqref="I34">
    <cfRule type="cellIs" dxfId="1653" priority="1689" operator="lessThan">
      <formula>0</formula>
    </cfRule>
  </conditionalFormatting>
  <conditionalFormatting sqref="I34">
    <cfRule type="cellIs" dxfId="1652" priority="1688" operator="lessThan">
      <formula>0</formula>
    </cfRule>
  </conditionalFormatting>
  <conditionalFormatting sqref="I34">
    <cfRule type="cellIs" dxfId="1651" priority="1687" operator="lessThan">
      <formula>0</formula>
    </cfRule>
  </conditionalFormatting>
  <conditionalFormatting sqref="I34">
    <cfRule type="cellIs" dxfId="1650" priority="1686" operator="lessThan">
      <formula>0</formula>
    </cfRule>
  </conditionalFormatting>
  <conditionalFormatting sqref="I34">
    <cfRule type="cellIs" dxfId="1649" priority="1685" operator="lessThan">
      <formula>0</formula>
    </cfRule>
  </conditionalFormatting>
  <conditionalFormatting sqref="I34">
    <cfRule type="cellIs" dxfId="1648" priority="1684" operator="lessThan">
      <formula>0</formula>
    </cfRule>
  </conditionalFormatting>
  <conditionalFormatting sqref="I34">
    <cfRule type="cellIs" dxfId="1647" priority="1683" operator="lessThan">
      <formula>0</formula>
    </cfRule>
  </conditionalFormatting>
  <conditionalFormatting sqref="I34">
    <cfRule type="cellIs" dxfId="1646" priority="1682" operator="lessThan">
      <formula>0</formula>
    </cfRule>
  </conditionalFormatting>
  <conditionalFormatting sqref="I34">
    <cfRule type="cellIs" dxfId="1645" priority="1681" operator="lessThan">
      <formula>0</formula>
    </cfRule>
  </conditionalFormatting>
  <conditionalFormatting sqref="I34">
    <cfRule type="cellIs" dxfId="1644" priority="1680" operator="lessThan">
      <formula>0</formula>
    </cfRule>
  </conditionalFormatting>
  <conditionalFormatting sqref="I34">
    <cfRule type="cellIs" dxfId="1643" priority="1679" operator="lessThan">
      <formula>0</formula>
    </cfRule>
  </conditionalFormatting>
  <conditionalFormatting sqref="I34">
    <cfRule type="cellIs" dxfId="1642" priority="1678" operator="lessThan">
      <formula>0</formula>
    </cfRule>
  </conditionalFormatting>
  <conditionalFormatting sqref="I34">
    <cfRule type="cellIs" dxfId="1641" priority="1677" operator="lessThan">
      <formula>0</formula>
    </cfRule>
  </conditionalFormatting>
  <conditionalFormatting sqref="I34">
    <cfRule type="cellIs" dxfId="1640" priority="1676" operator="lessThan">
      <formula>0</formula>
    </cfRule>
  </conditionalFormatting>
  <conditionalFormatting sqref="I34">
    <cfRule type="cellIs" dxfId="1639" priority="1675" operator="lessThan">
      <formula>0</formula>
    </cfRule>
  </conditionalFormatting>
  <conditionalFormatting sqref="I34">
    <cfRule type="cellIs" dxfId="1638" priority="1674" operator="lessThan">
      <formula>0</formula>
    </cfRule>
  </conditionalFormatting>
  <conditionalFormatting sqref="I34">
    <cfRule type="cellIs" dxfId="1637" priority="1673" operator="lessThan">
      <formula>0</formula>
    </cfRule>
  </conditionalFormatting>
  <conditionalFormatting sqref="I34">
    <cfRule type="cellIs" dxfId="1636" priority="1672" operator="lessThan">
      <formula>0</formula>
    </cfRule>
  </conditionalFormatting>
  <conditionalFormatting sqref="I34">
    <cfRule type="cellIs" dxfId="1635" priority="1671" operator="lessThan">
      <formula>0</formula>
    </cfRule>
  </conditionalFormatting>
  <conditionalFormatting sqref="I34">
    <cfRule type="cellIs" dxfId="1634" priority="1670" operator="lessThan">
      <formula>0</formula>
    </cfRule>
  </conditionalFormatting>
  <conditionalFormatting sqref="I34">
    <cfRule type="cellIs" dxfId="1633" priority="1669" operator="lessThan">
      <formula>0</formula>
    </cfRule>
  </conditionalFormatting>
  <conditionalFormatting sqref="I34">
    <cfRule type="cellIs" dxfId="1632" priority="1668" operator="lessThan">
      <formula>0</formula>
    </cfRule>
  </conditionalFormatting>
  <conditionalFormatting sqref="I34">
    <cfRule type="cellIs" dxfId="1631" priority="1667" operator="lessThan">
      <formula>0</formula>
    </cfRule>
  </conditionalFormatting>
  <conditionalFormatting sqref="I34">
    <cfRule type="cellIs" dxfId="1630" priority="1666" operator="lessThan">
      <formula>0</formula>
    </cfRule>
  </conditionalFormatting>
  <conditionalFormatting sqref="I34">
    <cfRule type="cellIs" dxfId="1629" priority="1665" operator="lessThan">
      <formula>0</formula>
    </cfRule>
  </conditionalFormatting>
  <conditionalFormatting sqref="I34">
    <cfRule type="cellIs" dxfId="1628" priority="1664" operator="lessThan">
      <formula>0</formula>
    </cfRule>
  </conditionalFormatting>
  <conditionalFormatting sqref="I34">
    <cfRule type="cellIs" dxfId="1627" priority="1663" operator="lessThan">
      <formula>0</formula>
    </cfRule>
  </conditionalFormatting>
  <conditionalFormatting sqref="I34">
    <cfRule type="cellIs" dxfId="1626" priority="1662" operator="lessThan">
      <formula>0</formula>
    </cfRule>
  </conditionalFormatting>
  <conditionalFormatting sqref="I34">
    <cfRule type="cellIs" dxfId="1625" priority="1661" operator="lessThan">
      <formula>0</formula>
    </cfRule>
  </conditionalFormatting>
  <conditionalFormatting sqref="I34">
    <cfRule type="cellIs" dxfId="1624" priority="1660" operator="lessThan">
      <formula>0</formula>
    </cfRule>
  </conditionalFormatting>
  <conditionalFormatting sqref="I34">
    <cfRule type="cellIs" dxfId="1623" priority="1659" operator="lessThan">
      <formula>0</formula>
    </cfRule>
  </conditionalFormatting>
  <conditionalFormatting sqref="I34">
    <cfRule type="cellIs" dxfId="1622" priority="1658" operator="lessThan">
      <formula>0</formula>
    </cfRule>
  </conditionalFormatting>
  <conditionalFormatting sqref="I34">
    <cfRule type="cellIs" dxfId="1621" priority="1657" operator="lessThan">
      <formula>0</formula>
    </cfRule>
  </conditionalFormatting>
  <conditionalFormatting sqref="I34">
    <cfRule type="cellIs" dxfId="1620" priority="1656" operator="lessThan">
      <formula>0</formula>
    </cfRule>
  </conditionalFormatting>
  <conditionalFormatting sqref="I34">
    <cfRule type="cellIs" dxfId="1619" priority="1655" operator="lessThan">
      <formula>0</formula>
    </cfRule>
  </conditionalFormatting>
  <conditionalFormatting sqref="I34">
    <cfRule type="cellIs" dxfId="1618" priority="1654" operator="lessThan">
      <formula>0</formula>
    </cfRule>
  </conditionalFormatting>
  <conditionalFormatting sqref="I34">
    <cfRule type="cellIs" dxfId="1617" priority="1653" operator="lessThan">
      <formula>0</formula>
    </cfRule>
  </conditionalFormatting>
  <conditionalFormatting sqref="I34">
    <cfRule type="cellIs" dxfId="1616" priority="1652" operator="lessThan">
      <formula>0</formula>
    </cfRule>
  </conditionalFormatting>
  <conditionalFormatting sqref="I34">
    <cfRule type="cellIs" dxfId="1615" priority="1651" operator="lessThan">
      <formula>0</formula>
    </cfRule>
  </conditionalFormatting>
  <conditionalFormatting sqref="I34">
    <cfRule type="cellIs" dxfId="1614" priority="1650" operator="lessThan">
      <formula>0</formula>
    </cfRule>
  </conditionalFormatting>
  <conditionalFormatting sqref="I34">
    <cfRule type="cellIs" dxfId="1613" priority="1649" operator="lessThan">
      <formula>0</formula>
    </cfRule>
  </conditionalFormatting>
  <conditionalFormatting sqref="I34">
    <cfRule type="cellIs" dxfId="1612" priority="1648" operator="lessThan">
      <formula>0</formula>
    </cfRule>
  </conditionalFormatting>
  <conditionalFormatting sqref="I34">
    <cfRule type="cellIs" dxfId="1611" priority="1647" operator="lessThan">
      <formula>0</formula>
    </cfRule>
  </conditionalFormatting>
  <conditionalFormatting sqref="I34">
    <cfRule type="cellIs" dxfId="1610" priority="1646" operator="lessThan">
      <formula>0</formula>
    </cfRule>
  </conditionalFormatting>
  <conditionalFormatting sqref="I34">
    <cfRule type="cellIs" dxfId="1609" priority="1645" operator="lessThan">
      <formula>0</formula>
    </cfRule>
  </conditionalFormatting>
  <conditionalFormatting sqref="I34">
    <cfRule type="cellIs" dxfId="1608" priority="1644" operator="lessThan">
      <formula>0</formula>
    </cfRule>
  </conditionalFormatting>
  <conditionalFormatting sqref="I34">
    <cfRule type="cellIs" dxfId="1607" priority="1643" operator="lessThan">
      <formula>0</formula>
    </cfRule>
  </conditionalFormatting>
  <conditionalFormatting sqref="I34">
    <cfRule type="cellIs" dxfId="1606" priority="1642" operator="lessThan">
      <formula>0</formula>
    </cfRule>
  </conditionalFormatting>
  <conditionalFormatting sqref="I34">
    <cfRule type="cellIs" dxfId="1605" priority="1641" operator="lessThan">
      <formula>0</formula>
    </cfRule>
  </conditionalFormatting>
  <conditionalFormatting sqref="I34">
    <cfRule type="cellIs" dxfId="1604" priority="1640" operator="lessThan">
      <formula>0</formula>
    </cfRule>
  </conditionalFormatting>
  <conditionalFormatting sqref="I34">
    <cfRule type="cellIs" dxfId="1603" priority="1639" operator="lessThan">
      <formula>0</formula>
    </cfRule>
  </conditionalFormatting>
  <conditionalFormatting sqref="I34">
    <cfRule type="cellIs" dxfId="1602" priority="1638" operator="lessThan">
      <formula>0</formula>
    </cfRule>
  </conditionalFormatting>
  <conditionalFormatting sqref="I34">
    <cfRule type="cellIs" dxfId="1601" priority="1637" operator="lessThan">
      <formula>0</formula>
    </cfRule>
  </conditionalFormatting>
  <conditionalFormatting sqref="I34">
    <cfRule type="cellIs" dxfId="1600" priority="1636" operator="lessThan">
      <formula>0</formula>
    </cfRule>
  </conditionalFormatting>
  <conditionalFormatting sqref="I34">
    <cfRule type="cellIs" dxfId="1599" priority="1635" operator="lessThan">
      <formula>0</formula>
    </cfRule>
  </conditionalFormatting>
  <conditionalFormatting sqref="I34">
    <cfRule type="cellIs" dxfId="1598" priority="1634" operator="lessThan">
      <formula>0</formula>
    </cfRule>
  </conditionalFormatting>
  <conditionalFormatting sqref="I34">
    <cfRule type="cellIs" dxfId="1597" priority="1633" operator="lessThan">
      <formula>0</formula>
    </cfRule>
  </conditionalFormatting>
  <conditionalFormatting sqref="I34">
    <cfRule type="cellIs" dxfId="1596" priority="1632" operator="lessThan">
      <formula>0</formula>
    </cfRule>
  </conditionalFormatting>
  <conditionalFormatting sqref="I34">
    <cfRule type="cellIs" dxfId="1595" priority="1631" operator="lessThan">
      <formula>0</formula>
    </cfRule>
  </conditionalFormatting>
  <conditionalFormatting sqref="I34">
    <cfRule type="cellIs" dxfId="1594" priority="1630" operator="lessThan">
      <formula>0</formula>
    </cfRule>
  </conditionalFormatting>
  <conditionalFormatting sqref="I34">
    <cfRule type="cellIs" dxfId="1593" priority="1629" operator="lessThan">
      <formula>0</formula>
    </cfRule>
  </conditionalFormatting>
  <conditionalFormatting sqref="I34">
    <cfRule type="cellIs" dxfId="1592" priority="1628" operator="lessThan">
      <formula>0</formula>
    </cfRule>
  </conditionalFormatting>
  <conditionalFormatting sqref="I34">
    <cfRule type="cellIs" dxfId="1591" priority="1627" operator="lessThan">
      <formula>0</formula>
    </cfRule>
  </conditionalFormatting>
  <conditionalFormatting sqref="I34">
    <cfRule type="cellIs" dxfId="1590" priority="1626" operator="lessThan">
      <formula>0</formula>
    </cfRule>
  </conditionalFormatting>
  <conditionalFormatting sqref="I34">
    <cfRule type="cellIs" dxfId="1589" priority="1625" operator="lessThan">
      <formula>0</formula>
    </cfRule>
  </conditionalFormatting>
  <conditionalFormatting sqref="I34">
    <cfRule type="cellIs" dxfId="1588" priority="1624" operator="lessThan">
      <formula>0</formula>
    </cfRule>
  </conditionalFormatting>
  <conditionalFormatting sqref="I34">
    <cfRule type="cellIs" dxfId="1587" priority="1623" operator="lessThan">
      <formula>0</formula>
    </cfRule>
  </conditionalFormatting>
  <conditionalFormatting sqref="I34">
    <cfRule type="cellIs" dxfId="1586" priority="1622" operator="lessThan">
      <formula>0</formula>
    </cfRule>
  </conditionalFormatting>
  <conditionalFormatting sqref="I34">
    <cfRule type="cellIs" dxfId="1585" priority="1621" operator="lessThan">
      <formula>0</formula>
    </cfRule>
  </conditionalFormatting>
  <conditionalFormatting sqref="I34">
    <cfRule type="cellIs" dxfId="1584" priority="1620" operator="lessThan">
      <formula>0</formula>
    </cfRule>
  </conditionalFormatting>
  <conditionalFormatting sqref="I34">
    <cfRule type="cellIs" dxfId="1583" priority="1619" operator="lessThan">
      <formula>0</formula>
    </cfRule>
  </conditionalFormatting>
  <conditionalFormatting sqref="I34">
    <cfRule type="cellIs" dxfId="1582" priority="1618" operator="lessThan">
      <formula>0</formula>
    </cfRule>
  </conditionalFormatting>
  <conditionalFormatting sqref="I34">
    <cfRule type="cellIs" dxfId="1581" priority="1617" operator="lessThan">
      <formula>0</formula>
    </cfRule>
  </conditionalFormatting>
  <conditionalFormatting sqref="I34">
    <cfRule type="cellIs" dxfId="1580" priority="1616" operator="lessThan">
      <formula>0</formula>
    </cfRule>
  </conditionalFormatting>
  <conditionalFormatting sqref="I34">
    <cfRule type="cellIs" dxfId="1579" priority="1615" operator="lessThan">
      <formula>0</formula>
    </cfRule>
  </conditionalFormatting>
  <conditionalFormatting sqref="I34">
    <cfRule type="cellIs" dxfId="1578" priority="1614" operator="lessThan">
      <formula>0</formula>
    </cfRule>
  </conditionalFormatting>
  <conditionalFormatting sqref="I34">
    <cfRule type="cellIs" dxfId="1577" priority="1613" operator="lessThan">
      <formula>0</formula>
    </cfRule>
  </conditionalFormatting>
  <conditionalFormatting sqref="I34">
    <cfRule type="cellIs" dxfId="1576" priority="1612" operator="lessThan">
      <formula>0</formula>
    </cfRule>
  </conditionalFormatting>
  <conditionalFormatting sqref="I34">
    <cfRule type="cellIs" dxfId="1575" priority="1611" operator="lessThan">
      <formula>0</formula>
    </cfRule>
  </conditionalFormatting>
  <conditionalFormatting sqref="I34">
    <cfRule type="cellIs" dxfId="1574" priority="1610" operator="lessThan">
      <formula>0</formula>
    </cfRule>
  </conditionalFormatting>
  <conditionalFormatting sqref="I34">
    <cfRule type="cellIs" dxfId="1573" priority="1609" operator="lessThan">
      <formula>0</formula>
    </cfRule>
  </conditionalFormatting>
  <conditionalFormatting sqref="I34">
    <cfRule type="cellIs" dxfId="1572" priority="1608" operator="lessThan">
      <formula>0</formula>
    </cfRule>
  </conditionalFormatting>
  <conditionalFormatting sqref="I34">
    <cfRule type="cellIs" dxfId="1571" priority="1607" operator="lessThan">
      <formula>0</formula>
    </cfRule>
  </conditionalFormatting>
  <conditionalFormatting sqref="I34">
    <cfRule type="cellIs" dxfId="1570" priority="1606" operator="lessThan">
      <formula>0</formula>
    </cfRule>
  </conditionalFormatting>
  <conditionalFormatting sqref="I34">
    <cfRule type="cellIs" dxfId="1569" priority="1605" operator="lessThan">
      <formula>0</formula>
    </cfRule>
  </conditionalFormatting>
  <conditionalFormatting sqref="I34">
    <cfRule type="cellIs" dxfId="1568" priority="1604" operator="lessThan">
      <formula>0</formula>
    </cfRule>
  </conditionalFormatting>
  <conditionalFormatting sqref="I34">
    <cfRule type="cellIs" dxfId="1567" priority="1603" operator="lessThan">
      <formula>0</formula>
    </cfRule>
  </conditionalFormatting>
  <conditionalFormatting sqref="I34">
    <cfRule type="cellIs" dxfId="1566" priority="1602" operator="lessThan">
      <formula>0</formula>
    </cfRule>
  </conditionalFormatting>
  <conditionalFormatting sqref="I34">
    <cfRule type="cellIs" dxfId="1565" priority="1601" operator="lessThan">
      <formula>0</formula>
    </cfRule>
  </conditionalFormatting>
  <conditionalFormatting sqref="I34">
    <cfRule type="cellIs" dxfId="1564" priority="1600" operator="lessThan">
      <formula>0</formula>
    </cfRule>
  </conditionalFormatting>
  <conditionalFormatting sqref="I34">
    <cfRule type="cellIs" dxfId="1563" priority="1599" operator="lessThan">
      <formula>0</formula>
    </cfRule>
  </conditionalFormatting>
  <conditionalFormatting sqref="I34">
    <cfRule type="cellIs" dxfId="1562" priority="1598" operator="lessThan">
      <formula>0</formula>
    </cfRule>
  </conditionalFormatting>
  <conditionalFormatting sqref="I34">
    <cfRule type="cellIs" dxfId="1561" priority="1597" operator="lessThan">
      <formula>0</formula>
    </cfRule>
  </conditionalFormatting>
  <conditionalFormatting sqref="I34">
    <cfRule type="cellIs" dxfId="1560" priority="1596" operator="lessThan">
      <formula>0</formula>
    </cfRule>
  </conditionalFormatting>
  <conditionalFormatting sqref="I34">
    <cfRule type="cellIs" dxfId="1559" priority="1595" operator="lessThan">
      <formula>0</formula>
    </cfRule>
  </conditionalFormatting>
  <conditionalFormatting sqref="I34">
    <cfRule type="cellIs" dxfId="1558" priority="1594" operator="lessThan">
      <formula>0</formula>
    </cfRule>
  </conditionalFormatting>
  <conditionalFormatting sqref="I34">
    <cfRule type="cellIs" dxfId="1557" priority="1593" operator="lessThan">
      <formula>0</formula>
    </cfRule>
  </conditionalFormatting>
  <conditionalFormatting sqref="I34">
    <cfRule type="cellIs" dxfId="1556" priority="1592" operator="lessThan">
      <formula>0</formula>
    </cfRule>
  </conditionalFormatting>
  <conditionalFormatting sqref="I34">
    <cfRule type="cellIs" dxfId="1555" priority="1591" operator="lessThan">
      <formula>0</formula>
    </cfRule>
  </conditionalFormatting>
  <conditionalFormatting sqref="I34">
    <cfRule type="cellIs" dxfId="1554" priority="1590" operator="lessThan">
      <formula>0</formula>
    </cfRule>
  </conditionalFormatting>
  <conditionalFormatting sqref="I34">
    <cfRule type="cellIs" dxfId="1553" priority="1589" operator="lessThan">
      <formula>0</formula>
    </cfRule>
  </conditionalFormatting>
  <conditionalFormatting sqref="I34">
    <cfRule type="cellIs" dxfId="1552" priority="1588" operator="lessThan">
      <formula>0</formula>
    </cfRule>
  </conditionalFormatting>
  <conditionalFormatting sqref="I34">
    <cfRule type="cellIs" dxfId="1551" priority="1587" operator="lessThan">
      <formula>0</formula>
    </cfRule>
  </conditionalFormatting>
  <conditionalFormatting sqref="I34">
    <cfRule type="cellIs" dxfId="1550" priority="1586" operator="lessThan">
      <formula>0</formula>
    </cfRule>
  </conditionalFormatting>
  <conditionalFormatting sqref="I34">
    <cfRule type="cellIs" dxfId="1549" priority="1585" operator="lessThan">
      <formula>0</formula>
    </cfRule>
  </conditionalFormatting>
  <conditionalFormatting sqref="I34">
    <cfRule type="cellIs" dxfId="1548" priority="1584" operator="lessThan">
      <formula>0</formula>
    </cfRule>
  </conditionalFormatting>
  <conditionalFormatting sqref="I34">
    <cfRule type="cellIs" dxfId="1547" priority="1583" operator="lessThan">
      <formula>0</formula>
    </cfRule>
  </conditionalFormatting>
  <conditionalFormatting sqref="I34">
    <cfRule type="cellIs" dxfId="1546" priority="1582" operator="lessThan">
      <formula>0</formula>
    </cfRule>
  </conditionalFormatting>
  <conditionalFormatting sqref="I34">
    <cfRule type="cellIs" dxfId="1545" priority="1581" operator="lessThan">
      <formula>0</formula>
    </cfRule>
  </conditionalFormatting>
  <conditionalFormatting sqref="I34">
    <cfRule type="cellIs" dxfId="1544" priority="1580" operator="lessThan">
      <formula>0</formula>
    </cfRule>
  </conditionalFormatting>
  <conditionalFormatting sqref="I34">
    <cfRule type="cellIs" dxfId="1543" priority="1579" operator="lessThan">
      <formula>0</formula>
    </cfRule>
  </conditionalFormatting>
  <conditionalFormatting sqref="I34">
    <cfRule type="cellIs" dxfId="1542" priority="1578" operator="lessThan">
      <formula>0</formula>
    </cfRule>
  </conditionalFormatting>
  <conditionalFormatting sqref="I34">
    <cfRule type="cellIs" dxfId="1541" priority="1577" operator="lessThan">
      <formula>0</formula>
    </cfRule>
  </conditionalFormatting>
  <conditionalFormatting sqref="I34">
    <cfRule type="cellIs" dxfId="1540" priority="1576" operator="lessThan">
      <formula>0</formula>
    </cfRule>
  </conditionalFormatting>
  <conditionalFormatting sqref="I34">
    <cfRule type="cellIs" dxfId="1539" priority="1575" operator="lessThan">
      <formula>0</formula>
    </cfRule>
  </conditionalFormatting>
  <conditionalFormatting sqref="I34">
    <cfRule type="cellIs" dxfId="1538" priority="1574" operator="lessThan">
      <formula>0</formula>
    </cfRule>
  </conditionalFormatting>
  <conditionalFormatting sqref="I34">
    <cfRule type="cellIs" dxfId="1537" priority="1573" operator="lessThan">
      <formula>0</formula>
    </cfRule>
  </conditionalFormatting>
  <conditionalFormatting sqref="I34">
    <cfRule type="cellIs" dxfId="1536" priority="1572" operator="lessThan">
      <formula>0</formula>
    </cfRule>
  </conditionalFormatting>
  <conditionalFormatting sqref="I34">
    <cfRule type="cellIs" dxfId="1535" priority="1571" operator="lessThan">
      <formula>0</formula>
    </cfRule>
  </conditionalFormatting>
  <conditionalFormatting sqref="I34">
    <cfRule type="cellIs" dxfId="1534" priority="1570" operator="lessThan">
      <formula>0</formula>
    </cfRule>
  </conditionalFormatting>
  <conditionalFormatting sqref="I34">
    <cfRule type="cellIs" dxfId="1533" priority="1569" operator="lessThan">
      <formula>0</formula>
    </cfRule>
  </conditionalFormatting>
  <conditionalFormatting sqref="I34">
    <cfRule type="cellIs" dxfId="1532" priority="1568" operator="lessThan">
      <formula>0</formula>
    </cfRule>
  </conditionalFormatting>
  <conditionalFormatting sqref="I34">
    <cfRule type="cellIs" dxfId="1531" priority="1567" operator="lessThan">
      <formula>0</formula>
    </cfRule>
  </conditionalFormatting>
  <conditionalFormatting sqref="I34">
    <cfRule type="cellIs" dxfId="1530" priority="1566" operator="lessThan">
      <formula>0</formula>
    </cfRule>
  </conditionalFormatting>
  <conditionalFormatting sqref="I34">
    <cfRule type="cellIs" dxfId="1529" priority="1565" operator="lessThan">
      <formula>0</formula>
    </cfRule>
  </conditionalFormatting>
  <conditionalFormatting sqref="I34">
    <cfRule type="cellIs" dxfId="1528" priority="1564" operator="lessThan">
      <formula>0</formula>
    </cfRule>
  </conditionalFormatting>
  <conditionalFormatting sqref="I34">
    <cfRule type="cellIs" dxfId="1527" priority="1563" operator="lessThan">
      <formula>0</formula>
    </cfRule>
  </conditionalFormatting>
  <conditionalFormatting sqref="I34">
    <cfRule type="cellIs" dxfId="1526" priority="1562" operator="lessThan">
      <formula>0</formula>
    </cfRule>
  </conditionalFormatting>
  <conditionalFormatting sqref="I34">
    <cfRule type="cellIs" dxfId="1525" priority="1561" operator="lessThan">
      <formula>0</formula>
    </cfRule>
  </conditionalFormatting>
  <conditionalFormatting sqref="I34">
    <cfRule type="cellIs" dxfId="1524" priority="1560" operator="lessThan">
      <formula>0</formula>
    </cfRule>
  </conditionalFormatting>
  <conditionalFormatting sqref="I34">
    <cfRule type="cellIs" dxfId="1523" priority="1559" operator="lessThan">
      <formula>0</formula>
    </cfRule>
  </conditionalFormatting>
  <conditionalFormatting sqref="I34">
    <cfRule type="cellIs" dxfId="1522" priority="1558" operator="lessThan">
      <formula>0</formula>
    </cfRule>
  </conditionalFormatting>
  <conditionalFormatting sqref="I34">
    <cfRule type="cellIs" dxfId="1521" priority="1557" operator="lessThan">
      <formula>0</formula>
    </cfRule>
  </conditionalFormatting>
  <conditionalFormatting sqref="I34">
    <cfRule type="cellIs" dxfId="1520" priority="1556" operator="lessThan">
      <formula>0</formula>
    </cfRule>
  </conditionalFormatting>
  <conditionalFormatting sqref="I34">
    <cfRule type="cellIs" dxfId="1519" priority="1555" operator="lessThan">
      <formula>0</formula>
    </cfRule>
  </conditionalFormatting>
  <conditionalFormatting sqref="I34">
    <cfRule type="cellIs" dxfId="1518" priority="1554" operator="lessThan">
      <formula>0</formula>
    </cfRule>
  </conditionalFormatting>
  <conditionalFormatting sqref="I34">
    <cfRule type="cellIs" dxfId="1517" priority="1553" operator="lessThan">
      <formula>0</formula>
    </cfRule>
  </conditionalFormatting>
  <conditionalFormatting sqref="I34">
    <cfRule type="cellIs" dxfId="1516" priority="1552" operator="lessThan">
      <formula>0</formula>
    </cfRule>
  </conditionalFormatting>
  <conditionalFormatting sqref="I34">
    <cfRule type="cellIs" dxfId="1515" priority="1551" operator="lessThan">
      <formula>0</formula>
    </cfRule>
  </conditionalFormatting>
  <conditionalFormatting sqref="I34">
    <cfRule type="cellIs" dxfId="1514" priority="1550" operator="lessThan">
      <formula>0</formula>
    </cfRule>
  </conditionalFormatting>
  <conditionalFormatting sqref="I34">
    <cfRule type="cellIs" dxfId="1513" priority="1549" operator="lessThan">
      <formula>0</formula>
    </cfRule>
  </conditionalFormatting>
  <conditionalFormatting sqref="I34">
    <cfRule type="cellIs" dxfId="1512" priority="1548" operator="lessThan">
      <formula>0</formula>
    </cfRule>
  </conditionalFormatting>
  <conditionalFormatting sqref="I34">
    <cfRule type="cellIs" dxfId="1511" priority="1547" operator="lessThan">
      <formula>0</formula>
    </cfRule>
  </conditionalFormatting>
  <conditionalFormatting sqref="I34">
    <cfRule type="cellIs" dxfId="1510" priority="1546" operator="lessThan">
      <formula>0</formula>
    </cfRule>
  </conditionalFormatting>
  <conditionalFormatting sqref="I34">
    <cfRule type="cellIs" dxfId="1509" priority="1545" operator="lessThan">
      <formula>0</formula>
    </cfRule>
  </conditionalFormatting>
  <conditionalFormatting sqref="I34">
    <cfRule type="cellIs" dxfId="1508" priority="1544" operator="lessThan">
      <formula>0</formula>
    </cfRule>
  </conditionalFormatting>
  <conditionalFormatting sqref="I34">
    <cfRule type="cellIs" dxfId="1507" priority="1543" operator="lessThan">
      <formula>0</formula>
    </cfRule>
  </conditionalFormatting>
  <conditionalFormatting sqref="I34">
    <cfRule type="cellIs" dxfId="1506" priority="1542" operator="lessThan">
      <formula>0</formula>
    </cfRule>
  </conditionalFormatting>
  <conditionalFormatting sqref="I34">
    <cfRule type="cellIs" dxfId="1505" priority="1541" operator="lessThan">
      <formula>0</formula>
    </cfRule>
  </conditionalFormatting>
  <conditionalFormatting sqref="I34">
    <cfRule type="cellIs" dxfId="1504" priority="1540" operator="lessThan">
      <formula>0</formula>
    </cfRule>
  </conditionalFormatting>
  <conditionalFormatting sqref="I34">
    <cfRule type="cellIs" dxfId="1503" priority="1539" operator="lessThan">
      <formula>0</formula>
    </cfRule>
  </conditionalFormatting>
  <conditionalFormatting sqref="I34">
    <cfRule type="cellIs" dxfId="1502" priority="1538" operator="lessThan">
      <formula>0</formula>
    </cfRule>
  </conditionalFormatting>
  <conditionalFormatting sqref="I34">
    <cfRule type="cellIs" dxfId="1501" priority="1537" operator="lessThan">
      <formula>0</formula>
    </cfRule>
  </conditionalFormatting>
  <conditionalFormatting sqref="I34">
    <cfRule type="cellIs" dxfId="1500" priority="1536" operator="lessThan">
      <formula>0</formula>
    </cfRule>
  </conditionalFormatting>
  <conditionalFormatting sqref="I34">
    <cfRule type="cellIs" dxfId="1499" priority="1535" operator="lessThan">
      <formula>0</formula>
    </cfRule>
  </conditionalFormatting>
  <conditionalFormatting sqref="I34">
    <cfRule type="cellIs" dxfId="1498" priority="1534" operator="lessThan">
      <formula>0</formula>
    </cfRule>
  </conditionalFormatting>
  <conditionalFormatting sqref="I34">
    <cfRule type="cellIs" dxfId="1497" priority="1533" operator="lessThan">
      <formula>0</formula>
    </cfRule>
  </conditionalFormatting>
  <conditionalFormatting sqref="I34">
    <cfRule type="cellIs" dxfId="1496" priority="1532" operator="lessThan">
      <formula>0</formula>
    </cfRule>
  </conditionalFormatting>
  <conditionalFormatting sqref="I34">
    <cfRule type="cellIs" dxfId="1495" priority="1531" operator="lessThan">
      <formula>0</formula>
    </cfRule>
  </conditionalFormatting>
  <conditionalFormatting sqref="I34">
    <cfRule type="cellIs" dxfId="1494" priority="1530" operator="lessThan">
      <formula>0</formula>
    </cfRule>
  </conditionalFormatting>
  <conditionalFormatting sqref="I34">
    <cfRule type="cellIs" dxfId="1493" priority="1529" operator="lessThan">
      <formula>0</formula>
    </cfRule>
  </conditionalFormatting>
  <conditionalFormatting sqref="I34">
    <cfRule type="cellIs" dxfId="1492" priority="1528" operator="lessThan">
      <formula>0</formula>
    </cfRule>
  </conditionalFormatting>
  <conditionalFormatting sqref="I34">
    <cfRule type="cellIs" dxfId="1491" priority="1527" operator="lessThan">
      <formula>0</formula>
    </cfRule>
  </conditionalFormatting>
  <conditionalFormatting sqref="I34">
    <cfRule type="cellIs" dxfId="1490" priority="1526" operator="lessThan">
      <formula>0</formula>
    </cfRule>
  </conditionalFormatting>
  <conditionalFormatting sqref="I34">
    <cfRule type="cellIs" dxfId="1489" priority="1525" operator="lessThan">
      <formula>0</formula>
    </cfRule>
  </conditionalFormatting>
  <conditionalFormatting sqref="I34">
    <cfRule type="cellIs" dxfId="1488" priority="1524" operator="lessThan">
      <formula>0</formula>
    </cfRule>
  </conditionalFormatting>
  <conditionalFormatting sqref="I34">
    <cfRule type="cellIs" dxfId="1487" priority="1523" operator="lessThan">
      <formula>0</formula>
    </cfRule>
  </conditionalFormatting>
  <conditionalFormatting sqref="I34">
    <cfRule type="cellIs" dxfId="1486" priority="1522" operator="lessThan">
      <formula>0</formula>
    </cfRule>
  </conditionalFormatting>
  <conditionalFormatting sqref="I34">
    <cfRule type="cellIs" dxfId="1485" priority="1521" operator="lessThan">
      <formula>0</formula>
    </cfRule>
  </conditionalFormatting>
  <conditionalFormatting sqref="I34">
    <cfRule type="cellIs" dxfId="1484" priority="1520" operator="lessThan">
      <formula>0</formula>
    </cfRule>
  </conditionalFormatting>
  <conditionalFormatting sqref="I34">
    <cfRule type="cellIs" dxfId="1483" priority="1519" operator="lessThan">
      <formula>0</formula>
    </cfRule>
  </conditionalFormatting>
  <conditionalFormatting sqref="I34">
    <cfRule type="cellIs" dxfId="1482" priority="1518" operator="lessThan">
      <formula>0</formula>
    </cfRule>
  </conditionalFormatting>
  <conditionalFormatting sqref="I34">
    <cfRule type="cellIs" dxfId="1481" priority="1517" operator="lessThan">
      <formula>0</formula>
    </cfRule>
  </conditionalFormatting>
  <conditionalFormatting sqref="I34">
    <cfRule type="cellIs" dxfId="1480" priority="1516" operator="lessThan">
      <formula>0</formula>
    </cfRule>
  </conditionalFormatting>
  <conditionalFormatting sqref="I34">
    <cfRule type="cellIs" dxfId="1479" priority="1515" operator="lessThan">
      <formula>0</formula>
    </cfRule>
  </conditionalFormatting>
  <conditionalFormatting sqref="I34">
    <cfRule type="cellIs" dxfId="1478" priority="1514" operator="lessThan">
      <formula>0</formula>
    </cfRule>
  </conditionalFormatting>
  <conditionalFormatting sqref="I34">
    <cfRule type="cellIs" dxfId="1477" priority="1513" operator="lessThan">
      <formula>0</formula>
    </cfRule>
  </conditionalFormatting>
  <conditionalFormatting sqref="I34">
    <cfRule type="cellIs" dxfId="1476" priority="1512" operator="lessThan">
      <formula>0</formula>
    </cfRule>
  </conditionalFormatting>
  <conditionalFormatting sqref="I34">
    <cfRule type="cellIs" dxfId="1475" priority="1511" operator="lessThan">
      <formula>0</formula>
    </cfRule>
  </conditionalFormatting>
  <conditionalFormatting sqref="I34">
    <cfRule type="cellIs" dxfId="1474" priority="1510" operator="lessThan">
      <formula>0</formula>
    </cfRule>
  </conditionalFormatting>
  <conditionalFormatting sqref="I34">
    <cfRule type="cellIs" dxfId="1473" priority="1509" operator="lessThan">
      <formula>0</formula>
    </cfRule>
  </conditionalFormatting>
  <conditionalFormatting sqref="I34">
    <cfRule type="cellIs" dxfId="1472" priority="1508" operator="lessThan">
      <formula>0</formula>
    </cfRule>
  </conditionalFormatting>
  <conditionalFormatting sqref="I34">
    <cfRule type="cellIs" dxfId="1471" priority="1507" operator="lessThan">
      <formula>0</formula>
    </cfRule>
  </conditionalFormatting>
  <conditionalFormatting sqref="I34">
    <cfRule type="cellIs" dxfId="1470" priority="1506" operator="lessThan">
      <formula>0</formula>
    </cfRule>
  </conditionalFormatting>
  <conditionalFormatting sqref="I34">
    <cfRule type="cellIs" dxfId="1469" priority="1505" operator="lessThan">
      <formula>0</formula>
    </cfRule>
  </conditionalFormatting>
  <conditionalFormatting sqref="I34">
    <cfRule type="cellIs" dxfId="1468" priority="1504" operator="lessThan">
      <formula>0</formula>
    </cfRule>
  </conditionalFormatting>
  <conditionalFormatting sqref="I34">
    <cfRule type="cellIs" dxfId="1467" priority="1503" operator="lessThan">
      <formula>0</formula>
    </cfRule>
  </conditionalFormatting>
  <conditionalFormatting sqref="I34">
    <cfRule type="cellIs" dxfId="1466" priority="1502" operator="lessThan">
      <formula>0</formula>
    </cfRule>
  </conditionalFormatting>
  <conditionalFormatting sqref="I34">
    <cfRule type="cellIs" dxfId="1465" priority="1501" operator="lessThan">
      <formula>0</formula>
    </cfRule>
  </conditionalFormatting>
  <conditionalFormatting sqref="I34">
    <cfRule type="cellIs" dxfId="1464" priority="1500" operator="lessThan">
      <formula>0</formula>
    </cfRule>
  </conditionalFormatting>
  <conditionalFormatting sqref="I34">
    <cfRule type="cellIs" dxfId="1463" priority="1499" operator="lessThan">
      <formula>0</formula>
    </cfRule>
  </conditionalFormatting>
  <conditionalFormatting sqref="I34">
    <cfRule type="cellIs" dxfId="1462" priority="1498" operator="lessThan">
      <formula>0</formula>
    </cfRule>
  </conditionalFormatting>
  <conditionalFormatting sqref="I34">
    <cfRule type="cellIs" dxfId="1461" priority="1497" operator="lessThan">
      <formula>0</formula>
    </cfRule>
  </conditionalFormatting>
  <conditionalFormatting sqref="I34">
    <cfRule type="cellIs" dxfId="1460" priority="1496" operator="lessThan">
      <formula>0</formula>
    </cfRule>
  </conditionalFormatting>
  <conditionalFormatting sqref="I34">
    <cfRule type="cellIs" dxfId="1459" priority="1495" operator="lessThan">
      <formula>0</formula>
    </cfRule>
  </conditionalFormatting>
  <conditionalFormatting sqref="I34">
    <cfRule type="cellIs" dxfId="1458" priority="1494" operator="lessThan">
      <formula>0</formula>
    </cfRule>
  </conditionalFormatting>
  <conditionalFormatting sqref="I34">
    <cfRule type="cellIs" dxfId="1457" priority="1493" operator="lessThan">
      <formula>0</formula>
    </cfRule>
  </conditionalFormatting>
  <conditionalFormatting sqref="I34">
    <cfRule type="cellIs" dxfId="1456" priority="1492" operator="lessThan">
      <formula>0</formula>
    </cfRule>
  </conditionalFormatting>
  <conditionalFormatting sqref="I34">
    <cfRule type="cellIs" dxfId="1455" priority="1491" operator="lessThan">
      <formula>0</formula>
    </cfRule>
  </conditionalFormatting>
  <conditionalFormatting sqref="I34">
    <cfRule type="cellIs" dxfId="1454" priority="1490" operator="lessThan">
      <formula>0</formula>
    </cfRule>
  </conditionalFormatting>
  <conditionalFormatting sqref="I34">
    <cfRule type="cellIs" dxfId="1453" priority="1489" operator="lessThan">
      <formula>0</formula>
    </cfRule>
  </conditionalFormatting>
  <conditionalFormatting sqref="I34">
    <cfRule type="cellIs" dxfId="1452" priority="1488" operator="lessThan">
      <formula>0</formula>
    </cfRule>
  </conditionalFormatting>
  <conditionalFormatting sqref="I34">
    <cfRule type="cellIs" dxfId="1451" priority="1487" operator="lessThan">
      <formula>0</formula>
    </cfRule>
  </conditionalFormatting>
  <conditionalFormatting sqref="I34">
    <cfRule type="cellIs" dxfId="1450" priority="1486" operator="lessThan">
      <formula>0</formula>
    </cfRule>
  </conditionalFormatting>
  <conditionalFormatting sqref="I34">
    <cfRule type="cellIs" dxfId="1449" priority="1485" operator="lessThan">
      <formula>0</formula>
    </cfRule>
  </conditionalFormatting>
  <conditionalFormatting sqref="I34">
    <cfRule type="cellIs" dxfId="1448" priority="1484" operator="lessThan">
      <formula>0</formula>
    </cfRule>
  </conditionalFormatting>
  <conditionalFormatting sqref="I34">
    <cfRule type="cellIs" dxfId="1447" priority="1483" operator="lessThan">
      <formula>0</formula>
    </cfRule>
  </conditionalFormatting>
  <conditionalFormatting sqref="I34">
    <cfRule type="cellIs" dxfId="1446" priority="1482" operator="lessThan">
      <formula>0</formula>
    </cfRule>
  </conditionalFormatting>
  <conditionalFormatting sqref="I34">
    <cfRule type="cellIs" dxfId="1445" priority="1481" operator="lessThan">
      <formula>0</formula>
    </cfRule>
  </conditionalFormatting>
  <conditionalFormatting sqref="I34">
    <cfRule type="cellIs" dxfId="1444" priority="1480" operator="lessThan">
      <formula>0</formula>
    </cfRule>
  </conditionalFormatting>
  <conditionalFormatting sqref="I34">
    <cfRule type="cellIs" dxfId="1443" priority="1479" operator="lessThan">
      <formula>0</formula>
    </cfRule>
  </conditionalFormatting>
  <conditionalFormatting sqref="I34">
    <cfRule type="cellIs" dxfId="1442" priority="1478" operator="lessThan">
      <formula>0</formula>
    </cfRule>
  </conditionalFormatting>
  <conditionalFormatting sqref="I34">
    <cfRule type="cellIs" dxfId="1441" priority="1477" operator="lessThan">
      <formula>0</formula>
    </cfRule>
  </conditionalFormatting>
  <conditionalFormatting sqref="I34">
    <cfRule type="cellIs" dxfId="1440" priority="1476" operator="lessThan">
      <formula>0</formula>
    </cfRule>
  </conditionalFormatting>
  <conditionalFormatting sqref="I34">
    <cfRule type="cellIs" dxfId="1439" priority="1475" operator="lessThan">
      <formula>0</formula>
    </cfRule>
  </conditionalFormatting>
  <conditionalFormatting sqref="I34">
    <cfRule type="cellIs" dxfId="1438" priority="1474" operator="lessThan">
      <formula>0</formula>
    </cfRule>
  </conditionalFormatting>
  <conditionalFormatting sqref="I34">
    <cfRule type="cellIs" dxfId="1437" priority="1473" operator="lessThan">
      <formula>0</formula>
    </cfRule>
  </conditionalFormatting>
  <conditionalFormatting sqref="I34">
    <cfRule type="cellIs" dxfId="1436" priority="1472" operator="lessThan">
      <formula>0</formula>
    </cfRule>
  </conditionalFormatting>
  <conditionalFormatting sqref="I34">
    <cfRule type="cellIs" dxfId="1435" priority="1471" operator="lessThan">
      <formula>0</formula>
    </cfRule>
  </conditionalFormatting>
  <conditionalFormatting sqref="I34">
    <cfRule type="cellIs" dxfId="1434" priority="1470" operator="lessThan">
      <formula>0</formula>
    </cfRule>
  </conditionalFormatting>
  <conditionalFormatting sqref="I34">
    <cfRule type="cellIs" dxfId="1433" priority="1469" operator="lessThan">
      <formula>0</formula>
    </cfRule>
  </conditionalFormatting>
  <conditionalFormatting sqref="I34">
    <cfRule type="cellIs" dxfId="1432" priority="1468" operator="lessThan">
      <formula>0</formula>
    </cfRule>
  </conditionalFormatting>
  <conditionalFormatting sqref="I34">
    <cfRule type="cellIs" dxfId="1431" priority="1467" operator="lessThan">
      <formula>0</formula>
    </cfRule>
  </conditionalFormatting>
  <conditionalFormatting sqref="I34">
    <cfRule type="cellIs" dxfId="1430" priority="1466" operator="lessThan">
      <formula>0</formula>
    </cfRule>
  </conditionalFormatting>
  <conditionalFormatting sqref="I34">
    <cfRule type="cellIs" dxfId="1429" priority="1465" operator="lessThan">
      <formula>0</formula>
    </cfRule>
  </conditionalFormatting>
  <conditionalFormatting sqref="I34">
    <cfRule type="cellIs" dxfId="1428" priority="1464" operator="lessThan">
      <formula>0</formula>
    </cfRule>
  </conditionalFormatting>
  <conditionalFormatting sqref="I34">
    <cfRule type="cellIs" dxfId="1427" priority="1463" operator="lessThan">
      <formula>0</formula>
    </cfRule>
  </conditionalFormatting>
  <conditionalFormatting sqref="I34">
    <cfRule type="cellIs" dxfId="1426" priority="1462" operator="lessThan">
      <formula>0</formula>
    </cfRule>
  </conditionalFormatting>
  <conditionalFormatting sqref="I34">
    <cfRule type="cellIs" dxfId="1425" priority="1461" operator="lessThan">
      <formula>0</formula>
    </cfRule>
  </conditionalFormatting>
  <conditionalFormatting sqref="I34">
    <cfRule type="cellIs" dxfId="1424" priority="1460" operator="lessThan">
      <formula>0</formula>
    </cfRule>
  </conditionalFormatting>
  <conditionalFormatting sqref="I34">
    <cfRule type="cellIs" dxfId="1423" priority="1459" operator="lessThan">
      <formula>0</formula>
    </cfRule>
  </conditionalFormatting>
  <conditionalFormatting sqref="I34">
    <cfRule type="cellIs" dxfId="1422" priority="1458" operator="lessThan">
      <formula>0</formula>
    </cfRule>
  </conditionalFormatting>
  <conditionalFormatting sqref="I34">
    <cfRule type="cellIs" dxfId="1421" priority="1457" operator="lessThan">
      <formula>0</formula>
    </cfRule>
  </conditionalFormatting>
  <conditionalFormatting sqref="I34">
    <cfRule type="cellIs" dxfId="1420" priority="1456" operator="lessThan">
      <formula>0</formula>
    </cfRule>
  </conditionalFormatting>
  <conditionalFormatting sqref="I34">
    <cfRule type="cellIs" dxfId="1419" priority="1455" operator="lessThan">
      <formula>0</formula>
    </cfRule>
  </conditionalFormatting>
  <conditionalFormatting sqref="I34">
    <cfRule type="cellIs" dxfId="1418" priority="1454" operator="lessThan">
      <formula>0</formula>
    </cfRule>
  </conditionalFormatting>
  <conditionalFormatting sqref="I34">
    <cfRule type="cellIs" dxfId="1417" priority="1453" operator="lessThan">
      <formula>0</formula>
    </cfRule>
  </conditionalFormatting>
  <conditionalFormatting sqref="I34">
    <cfRule type="cellIs" dxfId="1416" priority="1452" operator="lessThan">
      <formula>0</formula>
    </cfRule>
  </conditionalFormatting>
  <conditionalFormatting sqref="I34">
    <cfRule type="cellIs" dxfId="1415" priority="1451" operator="lessThan">
      <formula>0</formula>
    </cfRule>
  </conditionalFormatting>
  <conditionalFormatting sqref="I34">
    <cfRule type="cellIs" dxfId="1414" priority="1450" operator="lessThan">
      <formula>0</formula>
    </cfRule>
  </conditionalFormatting>
  <conditionalFormatting sqref="I34">
    <cfRule type="cellIs" dxfId="1413" priority="1449" operator="lessThan">
      <formula>0</formula>
    </cfRule>
  </conditionalFormatting>
  <conditionalFormatting sqref="I34">
    <cfRule type="cellIs" dxfId="1412" priority="1448" operator="lessThan">
      <formula>0</formula>
    </cfRule>
  </conditionalFormatting>
  <conditionalFormatting sqref="I34">
    <cfRule type="cellIs" dxfId="1411" priority="1447" operator="lessThan">
      <formula>0</formula>
    </cfRule>
  </conditionalFormatting>
  <conditionalFormatting sqref="I34">
    <cfRule type="cellIs" dxfId="1410" priority="1446" operator="lessThan">
      <formula>0</formula>
    </cfRule>
  </conditionalFormatting>
  <conditionalFormatting sqref="I34">
    <cfRule type="cellIs" dxfId="1409" priority="1445" operator="lessThan">
      <formula>0</formula>
    </cfRule>
  </conditionalFormatting>
  <conditionalFormatting sqref="I34">
    <cfRule type="cellIs" dxfId="1408" priority="1444" operator="lessThan">
      <formula>0</formula>
    </cfRule>
  </conditionalFormatting>
  <conditionalFormatting sqref="I34">
    <cfRule type="cellIs" dxfId="1407" priority="1443" operator="lessThan">
      <formula>0</formula>
    </cfRule>
  </conditionalFormatting>
  <conditionalFormatting sqref="I34">
    <cfRule type="cellIs" dxfId="1406" priority="1442" operator="lessThan">
      <formula>0</formula>
    </cfRule>
  </conditionalFormatting>
  <conditionalFormatting sqref="I34">
    <cfRule type="cellIs" dxfId="1405" priority="1441" operator="lessThan">
      <formula>0</formula>
    </cfRule>
  </conditionalFormatting>
  <conditionalFormatting sqref="I34">
    <cfRule type="cellIs" dxfId="1404" priority="1440" operator="lessThan">
      <formula>0</formula>
    </cfRule>
  </conditionalFormatting>
  <conditionalFormatting sqref="I34">
    <cfRule type="cellIs" dxfId="1403" priority="1439" operator="lessThan">
      <formula>0</formula>
    </cfRule>
  </conditionalFormatting>
  <conditionalFormatting sqref="I34">
    <cfRule type="cellIs" dxfId="1402" priority="1438" operator="lessThan">
      <formula>0</formula>
    </cfRule>
  </conditionalFormatting>
  <conditionalFormatting sqref="I34">
    <cfRule type="cellIs" dxfId="1401" priority="1437" operator="lessThan">
      <formula>0</formula>
    </cfRule>
  </conditionalFormatting>
  <conditionalFormatting sqref="I34">
    <cfRule type="cellIs" dxfId="1400" priority="1436" operator="lessThan">
      <formula>0</formula>
    </cfRule>
  </conditionalFormatting>
  <conditionalFormatting sqref="I34">
    <cfRule type="cellIs" dxfId="1399" priority="1435" operator="lessThan">
      <formula>0</formula>
    </cfRule>
  </conditionalFormatting>
  <conditionalFormatting sqref="I34">
    <cfRule type="cellIs" dxfId="1398" priority="1434" operator="lessThan">
      <formula>0</formula>
    </cfRule>
  </conditionalFormatting>
  <conditionalFormatting sqref="I34">
    <cfRule type="cellIs" dxfId="1397" priority="1433" operator="lessThan">
      <formula>0</formula>
    </cfRule>
  </conditionalFormatting>
  <conditionalFormatting sqref="I34">
    <cfRule type="cellIs" dxfId="1396" priority="1432" operator="lessThan">
      <formula>0</formula>
    </cfRule>
  </conditionalFormatting>
  <conditionalFormatting sqref="I34">
    <cfRule type="cellIs" dxfId="1395" priority="1431" operator="lessThan">
      <formula>0</formula>
    </cfRule>
  </conditionalFormatting>
  <conditionalFormatting sqref="I34">
    <cfRule type="cellIs" dxfId="1394" priority="1430" operator="lessThan">
      <formula>0</formula>
    </cfRule>
  </conditionalFormatting>
  <conditionalFormatting sqref="I34">
    <cfRule type="cellIs" dxfId="1393" priority="1429" operator="lessThan">
      <formula>0</formula>
    </cfRule>
  </conditionalFormatting>
  <conditionalFormatting sqref="I34">
    <cfRule type="cellIs" dxfId="1392" priority="1428" operator="lessThan">
      <formula>0</formula>
    </cfRule>
  </conditionalFormatting>
  <conditionalFormatting sqref="I34">
    <cfRule type="cellIs" dxfId="1391" priority="1427" operator="lessThan">
      <formula>0</formula>
    </cfRule>
  </conditionalFormatting>
  <conditionalFormatting sqref="I34">
    <cfRule type="cellIs" dxfId="1390" priority="1426" operator="lessThan">
      <formula>0</formula>
    </cfRule>
  </conditionalFormatting>
  <conditionalFormatting sqref="I34">
    <cfRule type="cellIs" dxfId="1389" priority="1425" operator="lessThan">
      <formula>0</formula>
    </cfRule>
  </conditionalFormatting>
  <conditionalFormatting sqref="I34">
    <cfRule type="cellIs" dxfId="1388" priority="1424" operator="lessThan">
      <formula>0</formula>
    </cfRule>
  </conditionalFormatting>
  <conditionalFormatting sqref="I34">
    <cfRule type="cellIs" dxfId="1387" priority="1423" operator="lessThan">
      <formula>0</formula>
    </cfRule>
  </conditionalFormatting>
  <conditionalFormatting sqref="I34">
    <cfRule type="cellIs" dxfId="1386" priority="1422" operator="lessThan">
      <formula>0</formula>
    </cfRule>
  </conditionalFormatting>
  <conditionalFormatting sqref="I34">
    <cfRule type="cellIs" dxfId="1385" priority="1421" operator="lessThan">
      <formula>0</formula>
    </cfRule>
  </conditionalFormatting>
  <conditionalFormatting sqref="I34">
    <cfRule type="cellIs" dxfId="1384" priority="1420" operator="lessThan">
      <formula>0</formula>
    </cfRule>
  </conditionalFormatting>
  <conditionalFormatting sqref="I34">
    <cfRule type="cellIs" dxfId="1383" priority="1419" operator="lessThan">
      <formula>0</formula>
    </cfRule>
  </conditionalFormatting>
  <conditionalFormatting sqref="I34">
    <cfRule type="cellIs" dxfId="1382" priority="1418" operator="lessThan">
      <formula>0</formula>
    </cfRule>
  </conditionalFormatting>
  <conditionalFormatting sqref="I34">
    <cfRule type="cellIs" dxfId="1381" priority="1417" operator="lessThan">
      <formula>0</formula>
    </cfRule>
  </conditionalFormatting>
  <conditionalFormatting sqref="I34">
    <cfRule type="cellIs" dxfId="1380" priority="1416" operator="lessThan">
      <formula>0</formula>
    </cfRule>
  </conditionalFormatting>
  <conditionalFormatting sqref="I34">
    <cfRule type="cellIs" dxfId="1379" priority="1415" operator="lessThan">
      <formula>0</formula>
    </cfRule>
  </conditionalFormatting>
  <conditionalFormatting sqref="I34">
    <cfRule type="cellIs" dxfId="1378" priority="1414" operator="lessThan">
      <formula>0</formula>
    </cfRule>
  </conditionalFormatting>
  <conditionalFormatting sqref="I34">
    <cfRule type="cellIs" dxfId="1377" priority="1413" operator="lessThan">
      <formula>0</formula>
    </cfRule>
  </conditionalFormatting>
  <conditionalFormatting sqref="I34">
    <cfRule type="cellIs" dxfId="1376" priority="1412" operator="lessThan">
      <formula>0</formula>
    </cfRule>
  </conditionalFormatting>
  <conditionalFormatting sqref="I34">
    <cfRule type="cellIs" dxfId="1375" priority="1411" operator="lessThan">
      <formula>0</formula>
    </cfRule>
  </conditionalFormatting>
  <conditionalFormatting sqref="I34">
    <cfRule type="cellIs" dxfId="1374" priority="1410" operator="lessThan">
      <formula>0</formula>
    </cfRule>
  </conditionalFormatting>
  <conditionalFormatting sqref="I34">
    <cfRule type="cellIs" dxfId="1373" priority="1409" operator="lessThan">
      <formula>0</formula>
    </cfRule>
  </conditionalFormatting>
  <conditionalFormatting sqref="I34">
    <cfRule type="cellIs" dxfId="1372" priority="1408" operator="lessThan">
      <formula>0</formula>
    </cfRule>
  </conditionalFormatting>
  <conditionalFormatting sqref="I34">
    <cfRule type="cellIs" dxfId="1371" priority="1407" operator="lessThan">
      <formula>0</formula>
    </cfRule>
  </conditionalFormatting>
  <conditionalFormatting sqref="I34">
    <cfRule type="cellIs" dxfId="1370" priority="1406" operator="lessThan">
      <formula>0</formula>
    </cfRule>
  </conditionalFormatting>
  <conditionalFormatting sqref="I34">
    <cfRule type="cellIs" dxfId="1369" priority="1405" operator="lessThan">
      <formula>0</formula>
    </cfRule>
  </conditionalFormatting>
  <conditionalFormatting sqref="I34">
    <cfRule type="cellIs" dxfId="1368" priority="1404" operator="lessThan">
      <formula>0</formula>
    </cfRule>
  </conditionalFormatting>
  <conditionalFormatting sqref="I34">
    <cfRule type="cellIs" dxfId="1367" priority="1403" operator="lessThan">
      <formula>0</formula>
    </cfRule>
  </conditionalFormatting>
  <conditionalFormatting sqref="I34">
    <cfRule type="cellIs" dxfId="1366" priority="1402" operator="lessThan">
      <formula>0</formula>
    </cfRule>
  </conditionalFormatting>
  <conditionalFormatting sqref="I34">
    <cfRule type="cellIs" dxfId="1365" priority="1401" operator="lessThan">
      <formula>0</formula>
    </cfRule>
  </conditionalFormatting>
  <conditionalFormatting sqref="I34">
    <cfRule type="cellIs" dxfId="1364" priority="1400" operator="lessThan">
      <formula>0</formula>
    </cfRule>
  </conditionalFormatting>
  <conditionalFormatting sqref="I34">
    <cfRule type="cellIs" dxfId="1363" priority="1399" operator="lessThan">
      <formula>0</formula>
    </cfRule>
  </conditionalFormatting>
  <conditionalFormatting sqref="I34">
    <cfRule type="cellIs" dxfId="1362" priority="1398" operator="lessThan">
      <formula>0</formula>
    </cfRule>
  </conditionalFormatting>
  <conditionalFormatting sqref="I34">
    <cfRule type="cellIs" dxfId="1361" priority="1397" operator="lessThan">
      <formula>0</formula>
    </cfRule>
  </conditionalFormatting>
  <conditionalFormatting sqref="I34">
    <cfRule type="cellIs" dxfId="1360" priority="1396" operator="lessThan">
      <formula>0</formula>
    </cfRule>
  </conditionalFormatting>
  <conditionalFormatting sqref="I34">
    <cfRule type="cellIs" dxfId="1359" priority="1395" operator="lessThan">
      <formula>0</formula>
    </cfRule>
  </conditionalFormatting>
  <conditionalFormatting sqref="I34">
    <cfRule type="cellIs" dxfId="1358" priority="1394" operator="lessThan">
      <formula>0</formula>
    </cfRule>
  </conditionalFormatting>
  <conditionalFormatting sqref="I34">
    <cfRule type="cellIs" dxfId="1357" priority="1393" operator="lessThan">
      <formula>0</formula>
    </cfRule>
  </conditionalFormatting>
  <conditionalFormatting sqref="I34">
    <cfRule type="cellIs" dxfId="1356" priority="1392" operator="lessThan">
      <formula>0</formula>
    </cfRule>
  </conditionalFormatting>
  <conditionalFormatting sqref="I34">
    <cfRule type="cellIs" dxfId="1355" priority="1391" operator="lessThan">
      <formula>0</formula>
    </cfRule>
  </conditionalFormatting>
  <conditionalFormatting sqref="I34">
    <cfRule type="cellIs" dxfId="1354" priority="1390" operator="lessThan">
      <formula>0</formula>
    </cfRule>
  </conditionalFormatting>
  <conditionalFormatting sqref="I34">
    <cfRule type="cellIs" dxfId="1353" priority="1389" operator="lessThan">
      <formula>0</formula>
    </cfRule>
  </conditionalFormatting>
  <conditionalFormatting sqref="I34">
    <cfRule type="cellIs" dxfId="1352" priority="1388" operator="lessThan">
      <formula>0</formula>
    </cfRule>
  </conditionalFormatting>
  <conditionalFormatting sqref="I34">
    <cfRule type="cellIs" dxfId="1351" priority="1387" operator="lessThan">
      <formula>0</formula>
    </cfRule>
  </conditionalFormatting>
  <conditionalFormatting sqref="I34">
    <cfRule type="cellIs" dxfId="1350" priority="1386" operator="lessThan">
      <formula>0</formula>
    </cfRule>
  </conditionalFormatting>
  <conditionalFormatting sqref="I34">
    <cfRule type="cellIs" dxfId="1349" priority="1385" operator="lessThan">
      <formula>0</formula>
    </cfRule>
  </conditionalFormatting>
  <conditionalFormatting sqref="I34">
    <cfRule type="cellIs" dxfId="1348" priority="1384" operator="lessThan">
      <formula>0</formula>
    </cfRule>
  </conditionalFormatting>
  <conditionalFormatting sqref="I34">
    <cfRule type="cellIs" dxfId="1347" priority="1383" operator="lessThan">
      <formula>0</formula>
    </cfRule>
  </conditionalFormatting>
  <conditionalFormatting sqref="I34">
    <cfRule type="cellIs" dxfId="1346" priority="1382" operator="lessThan">
      <formula>0</formula>
    </cfRule>
  </conditionalFormatting>
  <conditionalFormatting sqref="I34">
    <cfRule type="cellIs" dxfId="1345" priority="1381" operator="lessThan">
      <formula>0</formula>
    </cfRule>
  </conditionalFormatting>
  <conditionalFormatting sqref="I34">
    <cfRule type="cellIs" dxfId="1344" priority="1380" operator="lessThan">
      <formula>0</formula>
    </cfRule>
  </conditionalFormatting>
  <conditionalFormatting sqref="I34">
    <cfRule type="cellIs" dxfId="1343" priority="1379" operator="lessThan">
      <formula>0</formula>
    </cfRule>
  </conditionalFormatting>
  <conditionalFormatting sqref="I34">
    <cfRule type="cellIs" dxfId="1342" priority="1378" operator="lessThan">
      <formula>0</formula>
    </cfRule>
  </conditionalFormatting>
  <conditionalFormatting sqref="I34">
    <cfRule type="cellIs" dxfId="1341" priority="1377" operator="lessThan">
      <formula>0</formula>
    </cfRule>
  </conditionalFormatting>
  <conditionalFormatting sqref="I34">
    <cfRule type="cellIs" dxfId="1340" priority="1376" operator="lessThan">
      <formula>0</formula>
    </cfRule>
  </conditionalFormatting>
  <conditionalFormatting sqref="I34">
    <cfRule type="cellIs" dxfId="1339" priority="1375" operator="lessThan">
      <formula>0</formula>
    </cfRule>
  </conditionalFormatting>
  <conditionalFormatting sqref="I34">
    <cfRule type="cellIs" dxfId="1338" priority="1374" operator="lessThan">
      <formula>0</formula>
    </cfRule>
  </conditionalFormatting>
  <conditionalFormatting sqref="I34">
    <cfRule type="cellIs" dxfId="1337" priority="1373" operator="lessThan">
      <formula>0</formula>
    </cfRule>
  </conditionalFormatting>
  <conditionalFormatting sqref="I34">
    <cfRule type="cellIs" dxfId="1336" priority="1372" operator="lessThan">
      <formula>0</formula>
    </cfRule>
  </conditionalFormatting>
  <conditionalFormatting sqref="I34">
    <cfRule type="cellIs" dxfId="1335" priority="1371" operator="lessThan">
      <formula>0</formula>
    </cfRule>
  </conditionalFormatting>
  <conditionalFormatting sqref="I34">
    <cfRule type="cellIs" dxfId="1334" priority="1370" operator="lessThan">
      <formula>0</formula>
    </cfRule>
  </conditionalFormatting>
  <conditionalFormatting sqref="I34">
    <cfRule type="cellIs" dxfId="1333" priority="1369" operator="lessThan">
      <formula>0</formula>
    </cfRule>
  </conditionalFormatting>
  <conditionalFormatting sqref="I34">
    <cfRule type="cellIs" dxfId="1332" priority="1368" operator="lessThan">
      <formula>0</formula>
    </cfRule>
  </conditionalFormatting>
  <conditionalFormatting sqref="I34">
    <cfRule type="cellIs" dxfId="1331" priority="1367" operator="lessThan">
      <formula>0</formula>
    </cfRule>
  </conditionalFormatting>
  <conditionalFormatting sqref="I34">
    <cfRule type="cellIs" dxfId="1330" priority="1366" operator="lessThan">
      <formula>0</formula>
    </cfRule>
  </conditionalFormatting>
  <conditionalFormatting sqref="I34">
    <cfRule type="cellIs" dxfId="1329" priority="1365" operator="lessThan">
      <formula>0</formula>
    </cfRule>
  </conditionalFormatting>
  <conditionalFormatting sqref="I34">
    <cfRule type="cellIs" dxfId="1328" priority="1364" operator="lessThan">
      <formula>0</formula>
    </cfRule>
  </conditionalFormatting>
  <conditionalFormatting sqref="I34">
    <cfRule type="cellIs" dxfId="1327" priority="1363" operator="lessThan">
      <formula>0</formula>
    </cfRule>
  </conditionalFormatting>
  <conditionalFormatting sqref="I34">
    <cfRule type="cellIs" dxfId="1326" priority="1362" operator="lessThan">
      <formula>0</formula>
    </cfRule>
  </conditionalFormatting>
  <conditionalFormatting sqref="I34">
    <cfRule type="cellIs" dxfId="1325" priority="1361" operator="lessThan">
      <formula>0</formula>
    </cfRule>
  </conditionalFormatting>
  <conditionalFormatting sqref="I34">
    <cfRule type="cellIs" dxfId="1324" priority="1360" operator="lessThan">
      <formula>0</formula>
    </cfRule>
  </conditionalFormatting>
  <conditionalFormatting sqref="I34">
    <cfRule type="cellIs" dxfId="1323" priority="1359" operator="lessThan">
      <formula>0</formula>
    </cfRule>
  </conditionalFormatting>
  <conditionalFormatting sqref="I34">
    <cfRule type="cellIs" dxfId="1322" priority="1358" operator="lessThan">
      <formula>0</formula>
    </cfRule>
  </conditionalFormatting>
  <conditionalFormatting sqref="I34">
    <cfRule type="cellIs" dxfId="1321" priority="1357" operator="lessThan">
      <formula>0</formula>
    </cfRule>
  </conditionalFormatting>
  <conditionalFormatting sqref="I34">
    <cfRule type="cellIs" dxfId="1320" priority="1356" operator="lessThan">
      <formula>0</formula>
    </cfRule>
  </conditionalFormatting>
  <conditionalFormatting sqref="I34">
    <cfRule type="cellIs" dxfId="1319" priority="1355" operator="lessThan">
      <formula>0</formula>
    </cfRule>
  </conditionalFormatting>
  <conditionalFormatting sqref="I34">
    <cfRule type="cellIs" dxfId="1318" priority="1354" operator="lessThan">
      <formula>0</formula>
    </cfRule>
  </conditionalFormatting>
  <conditionalFormatting sqref="I34">
    <cfRule type="cellIs" dxfId="1317" priority="1353" operator="lessThan">
      <formula>0</formula>
    </cfRule>
  </conditionalFormatting>
  <conditionalFormatting sqref="I34">
    <cfRule type="cellIs" dxfId="1316" priority="1352" operator="lessThan">
      <formula>0</formula>
    </cfRule>
  </conditionalFormatting>
  <conditionalFormatting sqref="I34">
    <cfRule type="cellIs" dxfId="1315" priority="1351" operator="lessThan">
      <formula>0</formula>
    </cfRule>
  </conditionalFormatting>
  <conditionalFormatting sqref="I34">
    <cfRule type="cellIs" dxfId="1314" priority="1350" operator="lessThan">
      <formula>0</formula>
    </cfRule>
  </conditionalFormatting>
  <conditionalFormatting sqref="I34">
    <cfRule type="cellIs" dxfId="1313" priority="1349" operator="lessThan">
      <formula>0</formula>
    </cfRule>
  </conditionalFormatting>
  <conditionalFormatting sqref="I34">
    <cfRule type="cellIs" dxfId="1312" priority="1348" operator="lessThan">
      <formula>0</formula>
    </cfRule>
  </conditionalFormatting>
  <conditionalFormatting sqref="I34">
    <cfRule type="cellIs" dxfId="1311" priority="1347" operator="lessThan">
      <formula>0</formula>
    </cfRule>
  </conditionalFormatting>
  <conditionalFormatting sqref="I34">
    <cfRule type="cellIs" dxfId="1310" priority="1346" operator="lessThan">
      <formula>0</formula>
    </cfRule>
  </conditionalFormatting>
  <conditionalFormatting sqref="I34">
    <cfRule type="cellIs" dxfId="1309" priority="1345" operator="lessThan">
      <formula>0</formula>
    </cfRule>
  </conditionalFormatting>
  <conditionalFormatting sqref="I34">
    <cfRule type="cellIs" dxfId="1308" priority="1344" operator="lessThan">
      <formula>0</formula>
    </cfRule>
  </conditionalFormatting>
  <conditionalFormatting sqref="I34">
    <cfRule type="cellIs" dxfId="1307" priority="1343" operator="lessThan">
      <formula>0</formula>
    </cfRule>
  </conditionalFormatting>
  <conditionalFormatting sqref="I34">
    <cfRule type="cellIs" dxfId="1306" priority="1342" operator="lessThan">
      <formula>0</formula>
    </cfRule>
  </conditionalFormatting>
  <conditionalFormatting sqref="I34">
    <cfRule type="cellIs" dxfId="1305" priority="1341" operator="lessThan">
      <formula>0</formula>
    </cfRule>
  </conditionalFormatting>
  <conditionalFormatting sqref="I34">
    <cfRule type="cellIs" dxfId="1304" priority="1340" operator="lessThan">
      <formula>0</formula>
    </cfRule>
  </conditionalFormatting>
  <conditionalFormatting sqref="I34">
    <cfRule type="cellIs" dxfId="1303" priority="1339" operator="lessThan">
      <formula>0</formula>
    </cfRule>
  </conditionalFormatting>
  <conditionalFormatting sqref="I34">
    <cfRule type="cellIs" dxfId="1302" priority="1338" operator="lessThan">
      <formula>0</formula>
    </cfRule>
  </conditionalFormatting>
  <conditionalFormatting sqref="I34">
    <cfRule type="cellIs" dxfId="1301" priority="1337" operator="lessThan">
      <formula>0</formula>
    </cfRule>
  </conditionalFormatting>
  <conditionalFormatting sqref="I34">
    <cfRule type="cellIs" dxfId="1300" priority="1336" operator="lessThan">
      <formula>0</formula>
    </cfRule>
  </conditionalFormatting>
  <conditionalFormatting sqref="I34">
    <cfRule type="cellIs" dxfId="1299" priority="1335" operator="lessThan">
      <formula>0</formula>
    </cfRule>
  </conditionalFormatting>
  <conditionalFormatting sqref="I34">
    <cfRule type="cellIs" dxfId="1298" priority="1334" operator="lessThan">
      <formula>0</formula>
    </cfRule>
  </conditionalFormatting>
  <conditionalFormatting sqref="I34">
    <cfRule type="cellIs" dxfId="1297" priority="1333" operator="lessThan">
      <formula>0</formula>
    </cfRule>
  </conditionalFormatting>
  <conditionalFormatting sqref="I34">
    <cfRule type="cellIs" dxfId="1296" priority="1332" operator="lessThan">
      <formula>0</formula>
    </cfRule>
  </conditionalFormatting>
  <conditionalFormatting sqref="I34">
    <cfRule type="cellIs" dxfId="1295" priority="1331" operator="lessThan">
      <formula>0</formula>
    </cfRule>
  </conditionalFormatting>
  <conditionalFormatting sqref="I34">
    <cfRule type="cellIs" dxfId="1294" priority="1330" operator="lessThan">
      <formula>0</formula>
    </cfRule>
  </conditionalFormatting>
  <conditionalFormatting sqref="I34">
    <cfRule type="cellIs" dxfId="1293" priority="1329" operator="lessThan">
      <formula>0</formula>
    </cfRule>
  </conditionalFormatting>
  <conditionalFormatting sqref="I34">
    <cfRule type="cellIs" dxfId="1292" priority="1328" operator="lessThan">
      <formula>0</formula>
    </cfRule>
  </conditionalFormatting>
  <conditionalFormatting sqref="I34">
    <cfRule type="cellIs" dxfId="1291" priority="1327" operator="lessThan">
      <formula>0</formula>
    </cfRule>
  </conditionalFormatting>
  <conditionalFormatting sqref="I34">
    <cfRule type="cellIs" dxfId="1290" priority="1326" operator="lessThan">
      <formula>0</formula>
    </cfRule>
  </conditionalFormatting>
  <conditionalFormatting sqref="I34">
    <cfRule type="cellIs" dxfId="1289" priority="1325" operator="lessThan">
      <formula>0</formula>
    </cfRule>
  </conditionalFormatting>
  <conditionalFormatting sqref="I34">
    <cfRule type="cellIs" dxfId="1288" priority="1324" operator="lessThan">
      <formula>0</formula>
    </cfRule>
  </conditionalFormatting>
  <conditionalFormatting sqref="I34">
    <cfRule type="cellIs" dxfId="1287" priority="1323" operator="lessThan">
      <formula>0</formula>
    </cfRule>
  </conditionalFormatting>
  <conditionalFormatting sqref="I34">
    <cfRule type="cellIs" dxfId="1286" priority="1322" operator="lessThan">
      <formula>0</formula>
    </cfRule>
  </conditionalFormatting>
  <conditionalFormatting sqref="I34">
    <cfRule type="cellIs" dxfId="1285" priority="1321" operator="lessThan">
      <formula>0</formula>
    </cfRule>
  </conditionalFormatting>
  <conditionalFormatting sqref="I34">
    <cfRule type="cellIs" dxfId="1284" priority="1320" operator="lessThan">
      <formula>0</formula>
    </cfRule>
  </conditionalFormatting>
  <conditionalFormatting sqref="I34">
    <cfRule type="cellIs" dxfId="1283" priority="1319" operator="lessThan">
      <formula>0</formula>
    </cfRule>
  </conditionalFormatting>
  <conditionalFormatting sqref="I34">
    <cfRule type="cellIs" dxfId="1282" priority="1318" operator="lessThan">
      <formula>0</formula>
    </cfRule>
  </conditionalFormatting>
  <conditionalFormatting sqref="I34">
    <cfRule type="cellIs" dxfId="1281" priority="1317" operator="lessThan">
      <formula>0</formula>
    </cfRule>
  </conditionalFormatting>
  <conditionalFormatting sqref="I34">
    <cfRule type="cellIs" dxfId="1280" priority="1316" operator="lessThan">
      <formula>0</formula>
    </cfRule>
  </conditionalFormatting>
  <conditionalFormatting sqref="I34">
    <cfRule type="cellIs" dxfId="1279" priority="1315" operator="lessThan">
      <formula>0</formula>
    </cfRule>
  </conditionalFormatting>
  <conditionalFormatting sqref="I34">
    <cfRule type="cellIs" dxfId="1278" priority="1314" operator="lessThan">
      <formula>0</formula>
    </cfRule>
  </conditionalFormatting>
  <conditionalFormatting sqref="I34">
    <cfRule type="cellIs" dxfId="1277" priority="1313" operator="lessThan">
      <formula>0</formula>
    </cfRule>
  </conditionalFormatting>
  <conditionalFormatting sqref="I34">
    <cfRule type="cellIs" dxfId="1276" priority="1312" operator="lessThan">
      <formula>0</formula>
    </cfRule>
  </conditionalFormatting>
  <conditionalFormatting sqref="I34">
    <cfRule type="cellIs" dxfId="1275" priority="1311" operator="lessThan">
      <formula>0</formula>
    </cfRule>
  </conditionalFormatting>
  <conditionalFormatting sqref="I34">
    <cfRule type="cellIs" dxfId="1274" priority="1310" operator="lessThan">
      <formula>0</formula>
    </cfRule>
  </conditionalFormatting>
  <conditionalFormatting sqref="I34">
    <cfRule type="cellIs" dxfId="1273" priority="1309" operator="lessThan">
      <formula>0</formula>
    </cfRule>
  </conditionalFormatting>
  <conditionalFormatting sqref="I34">
    <cfRule type="cellIs" dxfId="1272" priority="1308" operator="lessThan">
      <formula>0</formula>
    </cfRule>
  </conditionalFormatting>
  <conditionalFormatting sqref="I34">
    <cfRule type="cellIs" dxfId="1271" priority="1307" operator="lessThan">
      <formula>0</formula>
    </cfRule>
  </conditionalFormatting>
  <conditionalFormatting sqref="I34">
    <cfRule type="cellIs" dxfId="1270" priority="1306" operator="lessThan">
      <formula>0</formula>
    </cfRule>
  </conditionalFormatting>
  <conditionalFormatting sqref="I34">
    <cfRule type="cellIs" dxfId="1269" priority="1305" operator="lessThan">
      <formula>0</formula>
    </cfRule>
  </conditionalFormatting>
  <conditionalFormatting sqref="I34">
    <cfRule type="cellIs" dxfId="1268" priority="1304" operator="lessThan">
      <formula>0</formula>
    </cfRule>
  </conditionalFormatting>
  <conditionalFormatting sqref="I34">
    <cfRule type="cellIs" dxfId="1267" priority="1303" operator="lessThan">
      <formula>0</formula>
    </cfRule>
  </conditionalFormatting>
  <conditionalFormatting sqref="I34">
    <cfRule type="cellIs" dxfId="1266" priority="1302" operator="lessThan">
      <formula>0</formula>
    </cfRule>
  </conditionalFormatting>
  <conditionalFormatting sqref="I34">
    <cfRule type="cellIs" dxfId="1265" priority="1301" operator="lessThan">
      <formula>0</formula>
    </cfRule>
  </conditionalFormatting>
  <conditionalFormatting sqref="I34">
    <cfRule type="cellIs" dxfId="1264" priority="1300" operator="lessThan">
      <formula>0</formula>
    </cfRule>
  </conditionalFormatting>
  <conditionalFormatting sqref="I34">
    <cfRule type="cellIs" dxfId="1263" priority="1299" operator="lessThan">
      <formula>0</formula>
    </cfRule>
  </conditionalFormatting>
  <conditionalFormatting sqref="I34">
    <cfRule type="cellIs" dxfId="1262" priority="1298" operator="lessThan">
      <formula>0</formula>
    </cfRule>
  </conditionalFormatting>
  <conditionalFormatting sqref="I34">
    <cfRule type="cellIs" dxfId="1261" priority="1297" operator="lessThan">
      <formula>0</formula>
    </cfRule>
  </conditionalFormatting>
  <conditionalFormatting sqref="I34">
    <cfRule type="cellIs" dxfId="1260" priority="1296" operator="lessThan">
      <formula>0</formula>
    </cfRule>
  </conditionalFormatting>
  <conditionalFormatting sqref="I34">
    <cfRule type="cellIs" dxfId="1259" priority="1295" operator="lessThan">
      <formula>0</formula>
    </cfRule>
  </conditionalFormatting>
  <conditionalFormatting sqref="I34">
    <cfRule type="cellIs" dxfId="1258" priority="1294" operator="lessThan">
      <formula>0</formula>
    </cfRule>
  </conditionalFormatting>
  <conditionalFormatting sqref="I34">
    <cfRule type="cellIs" dxfId="1257" priority="1293" operator="lessThan">
      <formula>0</formula>
    </cfRule>
  </conditionalFormatting>
  <conditionalFormatting sqref="I34">
    <cfRule type="cellIs" dxfId="1256" priority="1292" operator="lessThan">
      <formula>0</formula>
    </cfRule>
  </conditionalFormatting>
  <conditionalFormatting sqref="I34">
    <cfRule type="cellIs" dxfId="1255" priority="1291" operator="lessThan">
      <formula>0</formula>
    </cfRule>
  </conditionalFormatting>
  <conditionalFormatting sqref="I34">
    <cfRule type="cellIs" dxfId="1254" priority="1290" operator="lessThan">
      <formula>0</formula>
    </cfRule>
  </conditionalFormatting>
  <conditionalFormatting sqref="I34">
    <cfRule type="cellIs" dxfId="1253" priority="1289" operator="lessThan">
      <formula>0</formula>
    </cfRule>
  </conditionalFormatting>
  <conditionalFormatting sqref="I34">
    <cfRule type="cellIs" dxfId="1252" priority="1288" operator="lessThan">
      <formula>0</formula>
    </cfRule>
  </conditionalFormatting>
  <conditionalFormatting sqref="I34">
    <cfRule type="cellIs" dxfId="1251" priority="1287" operator="lessThan">
      <formula>0</formula>
    </cfRule>
  </conditionalFormatting>
  <conditionalFormatting sqref="I34">
    <cfRule type="cellIs" dxfId="1250" priority="1286" operator="lessThan">
      <formula>0</formula>
    </cfRule>
  </conditionalFormatting>
  <conditionalFormatting sqref="I34">
    <cfRule type="cellIs" dxfId="1249" priority="1285" operator="lessThan">
      <formula>0</formula>
    </cfRule>
  </conditionalFormatting>
  <conditionalFormatting sqref="I34">
    <cfRule type="cellIs" dxfId="1248" priority="1284" operator="lessThan">
      <formula>0</formula>
    </cfRule>
  </conditionalFormatting>
  <conditionalFormatting sqref="I34">
    <cfRule type="cellIs" dxfId="1247" priority="1283" operator="lessThan">
      <formula>0</formula>
    </cfRule>
  </conditionalFormatting>
  <conditionalFormatting sqref="I34">
    <cfRule type="cellIs" dxfId="1246" priority="1282" operator="lessThan">
      <formula>0</formula>
    </cfRule>
  </conditionalFormatting>
  <conditionalFormatting sqref="I34">
    <cfRule type="cellIs" dxfId="1245" priority="1281" operator="lessThan">
      <formula>0</formula>
    </cfRule>
  </conditionalFormatting>
  <conditionalFormatting sqref="I34">
    <cfRule type="cellIs" dxfId="1244" priority="1280" operator="lessThan">
      <formula>0</formula>
    </cfRule>
  </conditionalFormatting>
  <conditionalFormatting sqref="I34">
    <cfRule type="cellIs" dxfId="1243" priority="1279" operator="lessThan">
      <formula>0</formula>
    </cfRule>
  </conditionalFormatting>
  <conditionalFormatting sqref="I34">
    <cfRule type="cellIs" dxfId="1242" priority="1278" operator="lessThan">
      <formula>0</formula>
    </cfRule>
  </conditionalFormatting>
  <conditionalFormatting sqref="I34">
    <cfRule type="cellIs" dxfId="1241" priority="1277" operator="lessThan">
      <formula>0</formula>
    </cfRule>
  </conditionalFormatting>
  <conditionalFormatting sqref="I34">
    <cfRule type="cellIs" dxfId="1240" priority="1276" operator="lessThan">
      <formula>0</formula>
    </cfRule>
  </conditionalFormatting>
  <conditionalFormatting sqref="I34">
    <cfRule type="cellIs" dxfId="1239" priority="1275" operator="lessThan">
      <formula>0</formula>
    </cfRule>
  </conditionalFormatting>
  <conditionalFormatting sqref="I34">
    <cfRule type="cellIs" dxfId="1238" priority="1274" operator="lessThan">
      <formula>0</formula>
    </cfRule>
  </conditionalFormatting>
  <conditionalFormatting sqref="I34">
    <cfRule type="cellIs" dxfId="1237" priority="1273" operator="lessThan">
      <formula>0</formula>
    </cfRule>
  </conditionalFormatting>
  <conditionalFormatting sqref="I34">
    <cfRule type="cellIs" dxfId="1236" priority="1272" operator="lessThan">
      <formula>0</formula>
    </cfRule>
  </conditionalFormatting>
  <conditionalFormatting sqref="I34">
    <cfRule type="cellIs" dxfId="1235" priority="1271" operator="lessThan">
      <formula>0</formula>
    </cfRule>
  </conditionalFormatting>
  <conditionalFormatting sqref="I34">
    <cfRule type="cellIs" dxfId="1234" priority="1270" operator="lessThan">
      <formula>0</formula>
    </cfRule>
  </conditionalFormatting>
  <conditionalFormatting sqref="I34">
    <cfRule type="cellIs" dxfId="1233" priority="1269" operator="lessThan">
      <formula>0</formula>
    </cfRule>
  </conditionalFormatting>
  <conditionalFormatting sqref="I34">
    <cfRule type="cellIs" dxfId="1232" priority="1268" operator="lessThan">
      <formula>0</formula>
    </cfRule>
  </conditionalFormatting>
  <conditionalFormatting sqref="I34">
    <cfRule type="cellIs" dxfId="1231" priority="1267" operator="lessThan">
      <formula>0</formula>
    </cfRule>
  </conditionalFormatting>
  <conditionalFormatting sqref="I34">
    <cfRule type="cellIs" dxfId="1230" priority="1266" operator="lessThan">
      <formula>0</formula>
    </cfRule>
  </conditionalFormatting>
  <conditionalFormatting sqref="I34">
    <cfRule type="cellIs" dxfId="1229" priority="1265" operator="lessThan">
      <formula>0</formula>
    </cfRule>
  </conditionalFormatting>
  <conditionalFormatting sqref="I34">
    <cfRule type="cellIs" dxfId="1228" priority="1264" operator="lessThan">
      <formula>0</formula>
    </cfRule>
  </conditionalFormatting>
  <conditionalFormatting sqref="I34">
    <cfRule type="cellIs" dxfId="1227" priority="1263" operator="lessThan">
      <formula>0</formula>
    </cfRule>
  </conditionalFormatting>
  <conditionalFormatting sqref="I34">
    <cfRule type="cellIs" dxfId="1226" priority="1262" operator="lessThan">
      <formula>0</formula>
    </cfRule>
  </conditionalFormatting>
  <conditionalFormatting sqref="I34">
    <cfRule type="cellIs" dxfId="1225" priority="1261" operator="lessThan">
      <formula>0</formula>
    </cfRule>
  </conditionalFormatting>
  <conditionalFormatting sqref="I34">
    <cfRule type="cellIs" dxfId="1224" priority="1260" operator="lessThan">
      <formula>0</formula>
    </cfRule>
  </conditionalFormatting>
  <conditionalFormatting sqref="I34">
    <cfRule type="cellIs" dxfId="1223" priority="1259" operator="lessThan">
      <formula>0</formula>
    </cfRule>
  </conditionalFormatting>
  <conditionalFormatting sqref="I34">
    <cfRule type="cellIs" dxfId="1222" priority="1258" operator="lessThan">
      <formula>0</formula>
    </cfRule>
  </conditionalFormatting>
  <conditionalFormatting sqref="I34">
    <cfRule type="cellIs" dxfId="1221" priority="1257" operator="lessThan">
      <formula>0</formula>
    </cfRule>
  </conditionalFormatting>
  <conditionalFormatting sqref="I34">
    <cfRule type="cellIs" dxfId="1220" priority="1256" operator="lessThan">
      <formula>0</formula>
    </cfRule>
  </conditionalFormatting>
  <conditionalFormatting sqref="I34">
    <cfRule type="cellIs" dxfId="1219" priority="1255" operator="lessThan">
      <formula>0</formula>
    </cfRule>
  </conditionalFormatting>
  <conditionalFormatting sqref="I34">
    <cfRule type="cellIs" dxfId="1218" priority="1254" operator="lessThan">
      <formula>0</formula>
    </cfRule>
  </conditionalFormatting>
  <conditionalFormatting sqref="I34">
    <cfRule type="cellIs" dxfId="1217" priority="1253" operator="lessThan">
      <formula>0</formula>
    </cfRule>
  </conditionalFormatting>
  <conditionalFormatting sqref="I34">
    <cfRule type="cellIs" dxfId="1216" priority="1252" operator="lessThan">
      <formula>0</formula>
    </cfRule>
  </conditionalFormatting>
  <conditionalFormatting sqref="I34">
    <cfRule type="cellIs" dxfId="1215" priority="1251" operator="lessThan">
      <formula>0</formula>
    </cfRule>
  </conditionalFormatting>
  <conditionalFormatting sqref="I34">
    <cfRule type="cellIs" dxfId="1214" priority="1250" operator="lessThan">
      <formula>0</formula>
    </cfRule>
  </conditionalFormatting>
  <conditionalFormatting sqref="I34">
    <cfRule type="cellIs" dxfId="1213" priority="1249" operator="lessThan">
      <formula>0</formula>
    </cfRule>
  </conditionalFormatting>
  <conditionalFormatting sqref="I34">
    <cfRule type="cellIs" dxfId="1212" priority="1248" operator="lessThan">
      <formula>0</formula>
    </cfRule>
  </conditionalFormatting>
  <conditionalFormatting sqref="I34">
    <cfRule type="cellIs" dxfId="1211" priority="1247" operator="lessThan">
      <formula>0</formula>
    </cfRule>
  </conditionalFormatting>
  <conditionalFormatting sqref="I34">
    <cfRule type="cellIs" dxfId="1210" priority="1246" operator="lessThan">
      <formula>0</formula>
    </cfRule>
  </conditionalFormatting>
  <conditionalFormatting sqref="I34">
    <cfRule type="cellIs" dxfId="1209" priority="1245" operator="lessThan">
      <formula>0</formula>
    </cfRule>
  </conditionalFormatting>
  <conditionalFormatting sqref="I34">
    <cfRule type="cellIs" dxfId="1208" priority="1244" operator="lessThan">
      <formula>0</formula>
    </cfRule>
  </conditionalFormatting>
  <conditionalFormatting sqref="I34">
    <cfRule type="cellIs" dxfId="1207" priority="1243" operator="lessThan">
      <formula>0</formula>
    </cfRule>
  </conditionalFormatting>
  <conditionalFormatting sqref="I34">
    <cfRule type="cellIs" dxfId="1206" priority="1242" operator="lessThan">
      <formula>0</formula>
    </cfRule>
  </conditionalFormatting>
  <conditionalFormatting sqref="I34">
    <cfRule type="cellIs" dxfId="1205" priority="1241" operator="lessThan">
      <formula>0</formula>
    </cfRule>
  </conditionalFormatting>
  <conditionalFormatting sqref="I34">
    <cfRule type="cellIs" dxfId="1204" priority="1240" operator="lessThan">
      <formula>0</formula>
    </cfRule>
  </conditionalFormatting>
  <conditionalFormatting sqref="I34">
    <cfRule type="cellIs" dxfId="1203" priority="1239" operator="lessThan">
      <formula>0</formula>
    </cfRule>
  </conditionalFormatting>
  <conditionalFormatting sqref="I34">
    <cfRule type="cellIs" dxfId="1202" priority="1238" operator="lessThan">
      <formula>0</formula>
    </cfRule>
  </conditionalFormatting>
  <conditionalFormatting sqref="I34">
    <cfRule type="cellIs" dxfId="1201" priority="1237" operator="lessThan">
      <formula>0</formula>
    </cfRule>
  </conditionalFormatting>
  <conditionalFormatting sqref="I34">
    <cfRule type="cellIs" dxfId="1200" priority="1236" operator="lessThan">
      <formula>0</formula>
    </cfRule>
  </conditionalFormatting>
  <conditionalFormatting sqref="I34">
    <cfRule type="cellIs" dxfId="1199" priority="1235" operator="lessThan">
      <formula>0</formula>
    </cfRule>
  </conditionalFormatting>
  <conditionalFormatting sqref="I34">
    <cfRule type="cellIs" dxfId="1198" priority="1234" operator="lessThan">
      <formula>0</formula>
    </cfRule>
  </conditionalFormatting>
  <conditionalFormatting sqref="I34">
    <cfRule type="cellIs" dxfId="1197" priority="1233" operator="lessThan">
      <formula>0</formula>
    </cfRule>
  </conditionalFormatting>
  <conditionalFormatting sqref="I34">
    <cfRule type="cellIs" dxfId="1196" priority="1232" operator="lessThan">
      <formula>0</formula>
    </cfRule>
  </conditionalFormatting>
  <conditionalFormatting sqref="I34">
    <cfRule type="cellIs" dxfId="1195" priority="1231" operator="lessThan">
      <formula>0</formula>
    </cfRule>
  </conditionalFormatting>
  <conditionalFormatting sqref="I34">
    <cfRule type="cellIs" dxfId="1194" priority="1230" operator="lessThan">
      <formula>0</formula>
    </cfRule>
  </conditionalFormatting>
  <conditionalFormatting sqref="I34">
    <cfRule type="cellIs" dxfId="1193" priority="1229" operator="lessThan">
      <formula>0</formula>
    </cfRule>
  </conditionalFormatting>
  <conditionalFormatting sqref="I34">
    <cfRule type="cellIs" dxfId="1192" priority="1228" operator="lessThan">
      <formula>0</formula>
    </cfRule>
  </conditionalFormatting>
  <conditionalFormatting sqref="I34">
    <cfRule type="cellIs" dxfId="1191" priority="1227" operator="lessThan">
      <formula>0</formula>
    </cfRule>
  </conditionalFormatting>
  <conditionalFormatting sqref="I34">
    <cfRule type="cellIs" dxfId="1190" priority="1226" operator="lessThan">
      <formula>0</formula>
    </cfRule>
  </conditionalFormatting>
  <conditionalFormatting sqref="I34">
    <cfRule type="cellIs" dxfId="1189" priority="1225" operator="lessThan">
      <formula>0</formula>
    </cfRule>
  </conditionalFormatting>
  <conditionalFormatting sqref="I34">
    <cfRule type="cellIs" dxfId="1188" priority="1224" operator="lessThan">
      <formula>0</formula>
    </cfRule>
  </conditionalFormatting>
  <conditionalFormatting sqref="I34">
    <cfRule type="cellIs" dxfId="1187" priority="1223" operator="lessThan">
      <formula>0</formula>
    </cfRule>
  </conditionalFormatting>
  <conditionalFormatting sqref="I34">
    <cfRule type="cellIs" dxfId="1186" priority="1222" operator="lessThan">
      <formula>0</formula>
    </cfRule>
  </conditionalFormatting>
  <conditionalFormatting sqref="I34">
    <cfRule type="cellIs" dxfId="1185" priority="1221" operator="lessThan">
      <formula>0</formula>
    </cfRule>
  </conditionalFormatting>
  <conditionalFormatting sqref="I34">
    <cfRule type="cellIs" dxfId="1184" priority="1220" operator="lessThan">
      <formula>0</formula>
    </cfRule>
  </conditionalFormatting>
  <conditionalFormatting sqref="I34">
    <cfRule type="cellIs" dxfId="1183" priority="1219" operator="lessThan">
      <formula>0</formula>
    </cfRule>
  </conditionalFormatting>
  <conditionalFormatting sqref="I34">
    <cfRule type="cellIs" dxfId="1182" priority="1218" operator="lessThan">
      <formula>0</formula>
    </cfRule>
  </conditionalFormatting>
  <conditionalFormatting sqref="I34">
    <cfRule type="cellIs" dxfId="1181" priority="1217" operator="lessThan">
      <formula>0</formula>
    </cfRule>
  </conditionalFormatting>
  <conditionalFormatting sqref="I34">
    <cfRule type="cellIs" dxfId="1180" priority="1216" operator="lessThan">
      <formula>0</formula>
    </cfRule>
  </conditionalFormatting>
  <conditionalFormatting sqref="I34">
    <cfRule type="cellIs" dxfId="1179" priority="1215" operator="lessThan">
      <formula>0</formula>
    </cfRule>
  </conditionalFormatting>
  <conditionalFormatting sqref="I34">
    <cfRule type="cellIs" dxfId="1178" priority="1214" operator="lessThan">
      <formula>0</formula>
    </cfRule>
  </conditionalFormatting>
  <conditionalFormatting sqref="I34">
    <cfRule type="cellIs" dxfId="1177" priority="1213" operator="lessThan">
      <formula>0</formula>
    </cfRule>
  </conditionalFormatting>
  <conditionalFormatting sqref="I34">
    <cfRule type="cellIs" dxfId="1176" priority="1212" operator="lessThan">
      <formula>0</formula>
    </cfRule>
  </conditionalFormatting>
  <conditionalFormatting sqref="I34">
    <cfRule type="cellIs" dxfId="1175" priority="1211" operator="lessThan">
      <formula>0</formula>
    </cfRule>
  </conditionalFormatting>
  <conditionalFormatting sqref="I34">
    <cfRule type="cellIs" dxfId="1174" priority="1210" operator="lessThan">
      <formula>0</formula>
    </cfRule>
  </conditionalFormatting>
  <conditionalFormatting sqref="I34">
    <cfRule type="cellIs" dxfId="1173" priority="1209" operator="lessThan">
      <formula>0</formula>
    </cfRule>
  </conditionalFormatting>
  <conditionalFormatting sqref="I34">
    <cfRule type="cellIs" dxfId="1172" priority="1208" operator="lessThan">
      <formula>0</formula>
    </cfRule>
  </conditionalFormatting>
  <conditionalFormatting sqref="I34">
    <cfRule type="cellIs" dxfId="1171" priority="1207" operator="lessThan">
      <formula>0</formula>
    </cfRule>
  </conditionalFormatting>
  <conditionalFormatting sqref="I34">
    <cfRule type="cellIs" dxfId="1170" priority="1206" operator="lessThan">
      <formula>0</formula>
    </cfRule>
  </conditionalFormatting>
  <conditionalFormatting sqref="I34">
    <cfRule type="cellIs" dxfId="1169" priority="1205" operator="lessThan">
      <formula>0</formula>
    </cfRule>
  </conditionalFormatting>
  <conditionalFormatting sqref="I34">
    <cfRule type="cellIs" dxfId="1168" priority="1204" operator="lessThan">
      <formula>0</formula>
    </cfRule>
  </conditionalFormatting>
  <conditionalFormatting sqref="I34">
    <cfRule type="cellIs" dxfId="1167" priority="1203" operator="lessThan">
      <formula>0</formula>
    </cfRule>
  </conditionalFormatting>
  <conditionalFormatting sqref="I34">
    <cfRule type="cellIs" dxfId="1166" priority="1202" operator="lessThan">
      <formula>0</formula>
    </cfRule>
  </conditionalFormatting>
  <conditionalFormatting sqref="I34">
    <cfRule type="cellIs" dxfId="1165" priority="1201" operator="lessThan">
      <formula>0</formula>
    </cfRule>
  </conditionalFormatting>
  <conditionalFormatting sqref="I34">
    <cfRule type="cellIs" dxfId="1164" priority="1200" operator="lessThan">
      <formula>0</formula>
    </cfRule>
  </conditionalFormatting>
  <conditionalFormatting sqref="I34">
    <cfRule type="cellIs" dxfId="1163" priority="1199" operator="lessThan">
      <formula>0</formula>
    </cfRule>
  </conditionalFormatting>
  <conditionalFormatting sqref="I34">
    <cfRule type="cellIs" dxfId="1162" priority="1198" operator="lessThan">
      <formula>0</formula>
    </cfRule>
  </conditionalFormatting>
  <conditionalFormatting sqref="I34">
    <cfRule type="cellIs" dxfId="1161" priority="1197" operator="lessThan">
      <formula>0</formula>
    </cfRule>
  </conditionalFormatting>
  <conditionalFormatting sqref="I34">
    <cfRule type="cellIs" dxfId="1160" priority="1196" operator="lessThan">
      <formula>0</formula>
    </cfRule>
  </conditionalFormatting>
  <conditionalFormatting sqref="I34">
    <cfRule type="cellIs" dxfId="1159" priority="1195" operator="lessThan">
      <formula>0</formula>
    </cfRule>
  </conditionalFormatting>
  <conditionalFormatting sqref="I34">
    <cfRule type="cellIs" dxfId="1158" priority="1194" operator="lessThan">
      <formula>0</formula>
    </cfRule>
  </conditionalFormatting>
  <conditionalFormatting sqref="I34">
    <cfRule type="cellIs" dxfId="1157" priority="1193" operator="lessThan">
      <formula>0</formula>
    </cfRule>
  </conditionalFormatting>
  <conditionalFormatting sqref="I34">
    <cfRule type="cellIs" dxfId="1156" priority="1192" operator="lessThan">
      <formula>0</formula>
    </cfRule>
  </conditionalFormatting>
  <conditionalFormatting sqref="I34">
    <cfRule type="cellIs" dxfId="1155" priority="1191" operator="lessThan">
      <formula>0</formula>
    </cfRule>
  </conditionalFormatting>
  <conditionalFormatting sqref="I34">
    <cfRule type="cellIs" dxfId="1154" priority="1190" operator="lessThan">
      <formula>0</formula>
    </cfRule>
  </conditionalFormatting>
  <conditionalFormatting sqref="I34">
    <cfRule type="cellIs" dxfId="1153" priority="1189" operator="lessThan">
      <formula>0</formula>
    </cfRule>
  </conditionalFormatting>
  <conditionalFormatting sqref="I34">
    <cfRule type="cellIs" dxfId="1152" priority="1188" operator="lessThan">
      <formula>0</formula>
    </cfRule>
  </conditionalFormatting>
  <conditionalFormatting sqref="I34">
    <cfRule type="cellIs" dxfId="1151" priority="1187" operator="lessThan">
      <formula>0</formula>
    </cfRule>
  </conditionalFormatting>
  <conditionalFormatting sqref="I34">
    <cfRule type="cellIs" dxfId="1150" priority="1186" operator="lessThan">
      <formula>0</formula>
    </cfRule>
  </conditionalFormatting>
  <conditionalFormatting sqref="I34">
    <cfRule type="cellIs" dxfId="1149" priority="1185" operator="lessThan">
      <formula>0</formula>
    </cfRule>
  </conditionalFormatting>
  <conditionalFormatting sqref="I34">
    <cfRule type="cellIs" dxfId="1148" priority="1184" operator="lessThan">
      <formula>0</formula>
    </cfRule>
  </conditionalFormatting>
  <conditionalFormatting sqref="I34">
    <cfRule type="cellIs" dxfId="1147" priority="1183" operator="lessThan">
      <formula>0</formula>
    </cfRule>
  </conditionalFormatting>
  <conditionalFormatting sqref="I34">
    <cfRule type="cellIs" dxfId="1146" priority="1182" operator="lessThan">
      <formula>0</formula>
    </cfRule>
  </conditionalFormatting>
  <conditionalFormatting sqref="I34">
    <cfRule type="cellIs" dxfId="1145" priority="1181" operator="lessThan">
      <formula>0</formula>
    </cfRule>
  </conditionalFormatting>
  <conditionalFormatting sqref="I34">
    <cfRule type="cellIs" dxfId="1144" priority="1180" operator="lessThan">
      <formula>0</formula>
    </cfRule>
  </conditionalFormatting>
  <conditionalFormatting sqref="I34">
    <cfRule type="cellIs" dxfId="1143" priority="1179" operator="lessThan">
      <formula>0</formula>
    </cfRule>
  </conditionalFormatting>
  <conditionalFormatting sqref="I34">
    <cfRule type="cellIs" dxfId="1142" priority="1178" operator="lessThan">
      <formula>0</formula>
    </cfRule>
  </conditionalFormatting>
  <conditionalFormatting sqref="I34">
    <cfRule type="cellIs" dxfId="1141" priority="1177" operator="lessThan">
      <formula>0</formula>
    </cfRule>
  </conditionalFormatting>
  <conditionalFormatting sqref="I34">
    <cfRule type="cellIs" dxfId="1140" priority="1176" operator="lessThan">
      <formula>0</formula>
    </cfRule>
  </conditionalFormatting>
  <conditionalFormatting sqref="I34">
    <cfRule type="cellIs" dxfId="1139" priority="1175" operator="lessThan">
      <formula>0</formula>
    </cfRule>
  </conditionalFormatting>
  <conditionalFormatting sqref="I34">
    <cfRule type="cellIs" dxfId="1138" priority="1174" operator="lessThan">
      <formula>0</formula>
    </cfRule>
  </conditionalFormatting>
  <conditionalFormatting sqref="I34">
    <cfRule type="cellIs" dxfId="1137" priority="1173" operator="lessThan">
      <formula>0</formula>
    </cfRule>
  </conditionalFormatting>
  <conditionalFormatting sqref="I34">
    <cfRule type="cellIs" dxfId="1136" priority="1172" operator="lessThan">
      <formula>0</formula>
    </cfRule>
  </conditionalFormatting>
  <conditionalFormatting sqref="I34">
    <cfRule type="cellIs" dxfId="1135" priority="1171" operator="lessThan">
      <formula>0</formula>
    </cfRule>
  </conditionalFormatting>
  <conditionalFormatting sqref="I34">
    <cfRule type="cellIs" dxfId="1134" priority="1170" operator="lessThan">
      <formula>0</formula>
    </cfRule>
  </conditionalFormatting>
  <conditionalFormatting sqref="I34">
    <cfRule type="cellIs" dxfId="1133" priority="1169" operator="lessThan">
      <formula>0</formula>
    </cfRule>
  </conditionalFormatting>
  <conditionalFormatting sqref="I34">
    <cfRule type="cellIs" dxfId="1132" priority="1168" operator="lessThan">
      <formula>0</formula>
    </cfRule>
  </conditionalFormatting>
  <conditionalFormatting sqref="I34">
    <cfRule type="cellIs" dxfId="1131" priority="1167" operator="lessThan">
      <formula>0</formula>
    </cfRule>
  </conditionalFormatting>
  <conditionalFormatting sqref="I34">
    <cfRule type="cellIs" dxfId="1130" priority="1166" operator="lessThan">
      <formula>0</formula>
    </cfRule>
  </conditionalFormatting>
  <conditionalFormatting sqref="I34">
    <cfRule type="cellIs" dxfId="1129" priority="1165" operator="lessThan">
      <formula>0</formula>
    </cfRule>
  </conditionalFormatting>
  <conditionalFormatting sqref="I34">
    <cfRule type="cellIs" dxfId="1128" priority="1164" operator="lessThan">
      <formula>0</formula>
    </cfRule>
  </conditionalFormatting>
  <conditionalFormatting sqref="I34">
    <cfRule type="cellIs" dxfId="1127" priority="1163" operator="lessThan">
      <formula>0</formula>
    </cfRule>
  </conditionalFormatting>
  <conditionalFormatting sqref="I34">
    <cfRule type="cellIs" dxfId="1126" priority="1162" operator="lessThan">
      <formula>0</formula>
    </cfRule>
  </conditionalFormatting>
  <conditionalFormatting sqref="I34">
    <cfRule type="cellIs" dxfId="1125" priority="1161" operator="lessThan">
      <formula>0</formula>
    </cfRule>
  </conditionalFormatting>
  <conditionalFormatting sqref="I34">
    <cfRule type="cellIs" dxfId="1124" priority="1160" operator="lessThan">
      <formula>0</formula>
    </cfRule>
  </conditionalFormatting>
  <conditionalFormatting sqref="I34">
    <cfRule type="cellIs" dxfId="1123" priority="1159" operator="lessThan">
      <formula>0</formula>
    </cfRule>
  </conditionalFormatting>
  <conditionalFormatting sqref="I34">
    <cfRule type="cellIs" dxfId="1122" priority="1158" operator="lessThan">
      <formula>0</formula>
    </cfRule>
  </conditionalFormatting>
  <conditionalFormatting sqref="I34">
    <cfRule type="cellIs" dxfId="1121" priority="1157" operator="lessThan">
      <formula>0</formula>
    </cfRule>
  </conditionalFormatting>
  <conditionalFormatting sqref="I34">
    <cfRule type="cellIs" dxfId="1120" priority="1156" operator="lessThan">
      <formula>0</formula>
    </cfRule>
  </conditionalFormatting>
  <conditionalFormatting sqref="I34">
    <cfRule type="cellIs" dxfId="1119" priority="1155" operator="lessThan">
      <formula>0</formula>
    </cfRule>
  </conditionalFormatting>
  <conditionalFormatting sqref="I34">
    <cfRule type="cellIs" dxfId="1118" priority="1154" operator="lessThan">
      <formula>0</formula>
    </cfRule>
  </conditionalFormatting>
  <conditionalFormatting sqref="I34">
    <cfRule type="cellIs" dxfId="1117" priority="1153" operator="lessThan">
      <formula>0</formula>
    </cfRule>
  </conditionalFormatting>
  <conditionalFormatting sqref="I34">
    <cfRule type="cellIs" dxfId="1116" priority="1152" operator="lessThan">
      <formula>0</formula>
    </cfRule>
  </conditionalFormatting>
  <conditionalFormatting sqref="I34">
    <cfRule type="cellIs" dxfId="1115" priority="1151" operator="lessThan">
      <formula>0</formula>
    </cfRule>
  </conditionalFormatting>
  <conditionalFormatting sqref="I34">
    <cfRule type="cellIs" dxfId="1114" priority="1150" operator="lessThan">
      <formula>0</formula>
    </cfRule>
  </conditionalFormatting>
  <conditionalFormatting sqref="I34">
    <cfRule type="cellIs" dxfId="1113" priority="1149" operator="lessThan">
      <formula>0</formula>
    </cfRule>
  </conditionalFormatting>
  <conditionalFormatting sqref="I34">
    <cfRule type="cellIs" dxfId="1112" priority="1148" operator="lessThan">
      <formula>0</formula>
    </cfRule>
  </conditionalFormatting>
  <conditionalFormatting sqref="I34">
    <cfRule type="cellIs" dxfId="1111" priority="1147" operator="lessThan">
      <formula>0</formula>
    </cfRule>
  </conditionalFormatting>
  <conditionalFormatting sqref="I34">
    <cfRule type="cellIs" dxfId="1110" priority="1146" operator="lessThan">
      <formula>0</formula>
    </cfRule>
  </conditionalFormatting>
  <conditionalFormatting sqref="I34">
    <cfRule type="cellIs" dxfId="1109" priority="1145" operator="lessThan">
      <formula>0</formula>
    </cfRule>
  </conditionalFormatting>
  <conditionalFormatting sqref="I34">
    <cfRule type="cellIs" dxfId="1108" priority="1144" operator="lessThan">
      <formula>0</formula>
    </cfRule>
  </conditionalFormatting>
  <conditionalFormatting sqref="I34">
    <cfRule type="cellIs" dxfId="1107" priority="1143" operator="lessThan">
      <formula>0</formula>
    </cfRule>
  </conditionalFormatting>
  <conditionalFormatting sqref="I34">
    <cfRule type="cellIs" dxfId="1106" priority="1142" operator="lessThan">
      <formula>0</formula>
    </cfRule>
  </conditionalFormatting>
  <conditionalFormatting sqref="I34">
    <cfRule type="cellIs" dxfId="1105" priority="1141" operator="lessThan">
      <formula>0</formula>
    </cfRule>
  </conditionalFormatting>
  <conditionalFormatting sqref="I34">
    <cfRule type="cellIs" dxfId="1104" priority="1140" operator="lessThan">
      <formula>0</formula>
    </cfRule>
  </conditionalFormatting>
  <conditionalFormatting sqref="I34">
    <cfRule type="cellIs" dxfId="1103" priority="1139" operator="lessThan">
      <formula>0</formula>
    </cfRule>
  </conditionalFormatting>
  <conditionalFormatting sqref="I34">
    <cfRule type="cellIs" dxfId="1102" priority="1138" operator="lessThan">
      <formula>0</formula>
    </cfRule>
  </conditionalFormatting>
  <conditionalFormatting sqref="I34">
    <cfRule type="cellIs" dxfId="1101" priority="1137" operator="lessThan">
      <formula>0</formula>
    </cfRule>
  </conditionalFormatting>
  <conditionalFormatting sqref="I34">
    <cfRule type="cellIs" dxfId="1100" priority="1136" operator="lessThan">
      <formula>0</formula>
    </cfRule>
  </conditionalFormatting>
  <conditionalFormatting sqref="I34">
    <cfRule type="cellIs" dxfId="1099" priority="1135" operator="lessThan">
      <formula>0</formula>
    </cfRule>
  </conditionalFormatting>
  <conditionalFormatting sqref="I34">
    <cfRule type="cellIs" dxfId="1098" priority="1134" operator="lessThan">
      <formula>0</formula>
    </cfRule>
  </conditionalFormatting>
  <conditionalFormatting sqref="I34">
    <cfRule type="cellIs" dxfId="1097" priority="1133" operator="lessThan">
      <formula>0</formula>
    </cfRule>
  </conditionalFormatting>
  <conditionalFormatting sqref="I34">
    <cfRule type="cellIs" dxfId="1096" priority="1132" operator="lessThan">
      <formula>0</formula>
    </cfRule>
  </conditionalFormatting>
  <conditionalFormatting sqref="I34">
    <cfRule type="cellIs" dxfId="1095" priority="1131" operator="lessThan">
      <formula>0</formula>
    </cfRule>
  </conditionalFormatting>
  <conditionalFormatting sqref="I34">
    <cfRule type="cellIs" dxfId="1094" priority="1130" operator="lessThan">
      <formula>0</formula>
    </cfRule>
  </conditionalFormatting>
  <conditionalFormatting sqref="I34">
    <cfRule type="cellIs" dxfId="1093" priority="1129" operator="lessThan">
      <formula>0</formula>
    </cfRule>
  </conditionalFormatting>
  <conditionalFormatting sqref="I34">
    <cfRule type="cellIs" dxfId="1092" priority="1128" operator="lessThan">
      <formula>0</formula>
    </cfRule>
  </conditionalFormatting>
  <conditionalFormatting sqref="I34">
    <cfRule type="cellIs" dxfId="1091" priority="1127" operator="lessThan">
      <formula>0</formula>
    </cfRule>
  </conditionalFormatting>
  <conditionalFormatting sqref="I34">
    <cfRule type="cellIs" dxfId="1090" priority="1126" operator="lessThan">
      <formula>0</formula>
    </cfRule>
  </conditionalFormatting>
  <conditionalFormatting sqref="I34">
    <cfRule type="cellIs" dxfId="1089" priority="1125" operator="lessThan">
      <formula>0</formula>
    </cfRule>
  </conditionalFormatting>
  <conditionalFormatting sqref="I34">
    <cfRule type="cellIs" dxfId="1088" priority="1124" operator="lessThan">
      <formula>0</formula>
    </cfRule>
  </conditionalFormatting>
  <conditionalFormatting sqref="I34">
    <cfRule type="cellIs" dxfId="1087" priority="1123" operator="lessThan">
      <formula>0</formula>
    </cfRule>
  </conditionalFormatting>
  <conditionalFormatting sqref="I34">
    <cfRule type="cellIs" dxfId="1086" priority="1122" operator="lessThan">
      <formula>0</formula>
    </cfRule>
  </conditionalFormatting>
  <conditionalFormatting sqref="I34">
    <cfRule type="cellIs" dxfId="1085" priority="1121" operator="lessThan">
      <formula>0</formula>
    </cfRule>
  </conditionalFormatting>
  <conditionalFormatting sqref="I34">
    <cfRule type="cellIs" dxfId="1084" priority="1120" operator="lessThan">
      <formula>0</formula>
    </cfRule>
  </conditionalFormatting>
  <conditionalFormatting sqref="I34">
    <cfRule type="cellIs" dxfId="1083" priority="1119" operator="lessThan">
      <formula>0</formula>
    </cfRule>
  </conditionalFormatting>
  <conditionalFormatting sqref="I34">
    <cfRule type="cellIs" dxfId="1082" priority="1118" operator="lessThan">
      <formula>0</formula>
    </cfRule>
  </conditionalFormatting>
  <conditionalFormatting sqref="I34">
    <cfRule type="cellIs" dxfId="1081" priority="1117" operator="lessThan">
      <formula>0</formula>
    </cfRule>
  </conditionalFormatting>
  <conditionalFormatting sqref="I34">
    <cfRule type="cellIs" dxfId="1080" priority="1116" operator="lessThan">
      <formula>0</formula>
    </cfRule>
  </conditionalFormatting>
  <conditionalFormatting sqref="I34">
    <cfRule type="cellIs" dxfId="1079" priority="1115" operator="lessThan">
      <formula>0</formula>
    </cfRule>
  </conditionalFormatting>
  <conditionalFormatting sqref="I34">
    <cfRule type="cellIs" dxfId="1078" priority="1114" operator="lessThan">
      <formula>0</formula>
    </cfRule>
  </conditionalFormatting>
  <conditionalFormatting sqref="I34">
    <cfRule type="cellIs" dxfId="1077" priority="1113" operator="lessThan">
      <formula>0</formula>
    </cfRule>
  </conditionalFormatting>
  <conditionalFormatting sqref="I34">
    <cfRule type="cellIs" dxfId="1076" priority="1112" operator="lessThan">
      <formula>0</formula>
    </cfRule>
  </conditionalFormatting>
  <conditionalFormatting sqref="I34">
    <cfRule type="cellIs" dxfId="1075" priority="1111" operator="lessThan">
      <formula>0</formula>
    </cfRule>
  </conditionalFormatting>
  <conditionalFormatting sqref="I34">
    <cfRule type="cellIs" dxfId="1074" priority="1110" operator="lessThan">
      <formula>0</formula>
    </cfRule>
  </conditionalFormatting>
  <conditionalFormatting sqref="I34">
    <cfRule type="cellIs" dxfId="1073" priority="1109" operator="lessThan">
      <formula>0</formula>
    </cfRule>
  </conditionalFormatting>
  <conditionalFormatting sqref="I34">
    <cfRule type="cellIs" dxfId="1072" priority="1108" operator="lessThan">
      <formula>0</formula>
    </cfRule>
  </conditionalFormatting>
  <conditionalFormatting sqref="I34">
    <cfRule type="cellIs" dxfId="1071" priority="1107" operator="lessThan">
      <formula>0</formula>
    </cfRule>
  </conditionalFormatting>
  <conditionalFormatting sqref="I34">
    <cfRule type="cellIs" dxfId="1070" priority="1106" operator="lessThan">
      <formula>0</formula>
    </cfRule>
  </conditionalFormatting>
  <conditionalFormatting sqref="I34">
    <cfRule type="cellIs" dxfId="1069" priority="1105" operator="lessThan">
      <formula>0</formula>
    </cfRule>
  </conditionalFormatting>
  <conditionalFormatting sqref="I34">
    <cfRule type="cellIs" dxfId="1068" priority="1104" operator="lessThan">
      <formula>0</formula>
    </cfRule>
  </conditionalFormatting>
  <conditionalFormatting sqref="I34">
    <cfRule type="cellIs" dxfId="1067" priority="1103" operator="lessThan">
      <formula>0</formula>
    </cfRule>
  </conditionalFormatting>
  <conditionalFormatting sqref="I34">
    <cfRule type="cellIs" dxfId="1066" priority="1102" operator="lessThan">
      <formula>0</formula>
    </cfRule>
  </conditionalFormatting>
  <conditionalFormatting sqref="I34">
    <cfRule type="cellIs" dxfId="1065" priority="1101" operator="lessThan">
      <formula>0</formula>
    </cfRule>
  </conditionalFormatting>
  <conditionalFormatting sqref="I34">
    <cfRule type="cellIs" dxfId="1064" priority="1100" operator="lessThan">
      <formula>0</formula>
    </cfRule>
  </conditionalFormatting>
  <conditionalFormatting sqref="I34">
    <cfRule type="cellIs" dxfId="1063" priority="1099" operator="lessThan">
      <formula>0</formula>
    </cfRule>
  </conditionalFormatting>
  <conditionalFormatting sqref="I34">
    <cfRule type="cellIs" dxfId="1062" priority="1098" operator="lessThan">
      <formula>0</formula>
    </cfRule>
  </conditionalFormatting>
  <conditionalFormatting sqref="I34">
    <cfRule type="cellIs" dxfId="1061" priority="1097" operator="lessThan">
      <formula>0</formula>
    </cfRule>
  </conditionalFormatting>
  <conditionalFormatting sqref="I34">
    <cfRule type="cellIs" dxfId="1060" priority="1096" operator="lessThan">
      <formula>0</formula>
    </cfRule>
  </conditionalFormatting>
  <conditionalFormatting sqref="I34">
    <cfRule type="cellIs" dxfId="1059" priority="1095" operator="lessThan">
      <formula>0</formula>
    </cfRule>
  </conditionalFormatting>
  <conditionalFormatting sqref="I34">
    <cfRule type="cellIs" dxfId="1058" priority="1094" operator="lessThan">
      <formula>0</formula>
    </cfRule>
  </conditionalFormatting>
  <conditionalFormatting sqref="I34">
    <cfRule type="cellIs" dxfId="1057" priority="1093" operator="lessThan">
      <formula>0</formula>
    </cfRule>
  </conditionalFormatting>
  <conditionalFormatting sqref="I34">
    <cfRule type="cellIs" dxfId="1056" priority="1092" operator="lessThan">
      <formula>0</formula>
    </cfRule>
  </conditionalFormatting>
  <conditionalFormatting sqref="I34">
    <cfRule type="cellIs" dxfId="1055" priority="1091" operator="lessThan">
      <formula>0</formula>
    </cfRule>
  </conditionalFormatting>
  <conditionalFormatting sqref="I34">
    <cfRule type="cellIs" dxfId="1054" priority="1090" operator="lessThan">
      <formula>0</formula>
    </cfRule>
  </conditionalFormatting>
  <conditionalFormatting sqref="I34">
    <cfRule type="cellIs" dxfId="1053" priority="1089" operator="lessThan">
      <formula>0</formula>
    </cfRule>
  </conditionalFormatting>
  <conditionalFormatting sqref="I34">
    <cfRule type="cellIs" dxfId="1052" priority="1088" operator="lessThan">
      <formula>0</formula>
    </cfRule>
  </conditionalFormatting>
  <conditionalFormatting sqref="I34">
    <cfRule type="cellIs" dxfId="1051" priority="1087" operator="lessThan">
      <formula>0</formula>
    </cfRule>
  </conditionalFormatting>
  <conditionalFormatting sqref="I34">
    <cfRule type="cellIs" dxfId="1050" priority="1086" operator="lessThan">
      <formula>0</formula>
    </cfRule>
  </conditionalFormatting>
  <conditionalFormatting sqref="I34">
    <cfRule type="cellIs" dxfId="1049" priority="1085" operator="lessThan">
      <formula>0</formula>
    </cfRule>
  </conditionalFormatting>
  <conditionalFormatting sqref="I34">
    <cfRule type="cellIs" dxfId="1048" priority="1084" operator="lessThan">
      <formula>0</formula>
    </cfRule>
  </conditionalFormatting>
  <conditionalFormatting sqref="I34">
    <cfRule type="cellIs" dxfId="1047" priority="1083" operator="lessThan">
      <formula>0</formula>
    </cfRule>
  </conditionalFormatting>
  <conditionalFormatting sqref="I34">
    <cfRule type="cellIs" dxfId="1046" priority="1082" operator="lessThan">
      <formula>0</formula>
    </cfRule>
  </conditionalFormatting>
  <conditionalFormatting sqref="I34">
    <cfRule type="cellIs" dxfId="1045" priority="1081" operator="lessThan">
      <formula>0</formula>
    </cfRule>
  </conditionalFormatting>
  <conditionalFormatting sqref="I34">
    <cfRule type="cellIs" dxfId="1044" priority="1080" operator="lessThan">
      <formula>0</formula>
    </cfRule>
  </conditionalFormatting>
  <conditionalFormatting sqref="I34">
    <cfRule type="cellIs" dxfId="1043" priority="1079" operator="lessThan">
      <formula>0</formula>
    </cfRule>
  </conditionalFormatting>
  <conditionalFormatting sqref="I34">
    <cfRule type="cellIs" dxfId="1042" priority="1078" operator="lessThan">
      <formula>0</formula>
    </cfRule>
  </conditionalFormatting>
  <conditionalFormatting sqref="I34">
    <cfRule type="cellIs" dxfId="1041" priority="1077" operator="lessThan">
      <formula>0</formula>
    </cfRule>
  </conditionalFormatting>
  <conditionalFormatting sqref="I34">
    <cfRule type="cellIs" dxfId="1040" priority="1076" operator="lessThan">
      <formula>0</formula>
    </cfRule>
  </conditionalFormatting>
  <conditionalFormatting sqref="I34">
    <cfRule type="cellIs" dxfId="1039" priority="1075" operator="lessThan">
      <formula>0</formula>
    </cfRule>
  </conditionalFormatting>
  <conditionalFormatting sqref="I34">
    <cfRule type="cellIs" dxfId="1038" priority="1074" operator="lessThan">
      <formula>0</formula>
    </cfRule>
  </conditionalFormatting>
  <conditionalFormatting sqref="I34">
    <cfRule type="cellIs" dxfId="1037" priority="1073" operator="lessThan">
      <formula>0</formula>
    </cfRule>
  </conditionalFormatting>
  <conditionalFormatting sqref="I34">
    <cfRule type="cellIs" dxfId="1036" priority="1072" operator="lessThan">
      <formula>0</formula>
    </cfRule>
  </conditionalFormatting>
  <conditionalFormatting sqref="I34">
    <cfRule type="cellIs" dxfId="1035" priority="1071" operator="lessThan">
      <formula>0</formula>
    </cfRule>
  </conditionalFormatting>
  <conditionalFormatting sqref="I34">
    <cfRule type="cellIs" dxfId="1034" priority="1070" operator="lessThan">
      <formula>0</formula>
    </cfRule>
  </conditionalFormatting>
  <conditionalFormatting sqref="I34">
    <cfRule type="cellIs" dxfId="1033" priority="1069" operator="lessThan">
      <formula>0</formula>
    </cfRule>
  </conditionalFormatting>
  <conditionalFormatting sqref="I34">
    <cfRule type="cellIs" dxfId="1032" priority="1068" operator="lessThan">
      <formula>0</formula>
    </cfRule>
  </conditionalFormatting>
  <conditionalFormatting sqref="I34">
    <cfRule type="cellIs" dxfId="1031" priority="1067" operator="lessThan">
      <formula>0</formula>
    </cfRule>
  </conditionalFormatting>
  <conditionalFormatting sqref="I34">
    <cfRule type="cellIs" dxfId="1030" priority="1066" operator="lessThan">
      <formula>0</formula>
    </cfRule>
  </conditionalFormatting>
  <conditionalFormatting sqref="I34">
    <cfRule type="cellIs" dxfId="1029" priority="1065" operator="lessThan">
      <formula>0</formula>
    </cfRule>
  </conditionalFormatting>
  <conditionalFormatting sqref="I34">
    <cfRule type="cellIs" dxfId="1028" priority="1064" operator="lessThan">
      <formula>0</formula>
    </cfRule>
  </conditionalFormatting>
  <conditionalFormatting sqref="I34">
    <cfRule type="cellIs" dxfId="1027" priority="1063" operator="lessThan">
      <formula>0</formula>
    </cfRule>
  </conditionalFormatting>
  <conditionalFormatting sqref="I34">
    <cfRule type="cellIs" dxfId="1026" priority="1062" operator="lessThan">
      <formula>0</formula>
    </cfRule>
  </conditionalFormatting>
  <conditionalFormatting sqref="I34">
    <cfRule type="cellIs" dxfId="1025" priority="1061" operator="lessThan">
      <formula>0</formula>
    </cfRule>
  </conditionalFormatting>
  <conditionalFormatting sqref="I34">
    <cfRule type="cellIs" dxfId="1024" priority="1060" operator="lessThan">
      <formula>0</formula>
    </cfRule>
  </conditionalFormatting>
  <conditionalFormatting sqref="I34">
    <cfRule type="cellIs" dxfId="1023" priority="1059" operator="lessThan">
      <formula>0</formula>
    </cfRule>
  </conditionalFormatting>
  <conditionalFormatting sqref="I34">
    <cfRule type="cellIs" dxfId="1022" priority="1058" operator="lessThan">
      <formula>0</formula>
    </cfRule>
  </conditionalFormatting>
  <conditionalFormatting sqref="I34">
    <cfRule type="cellIs" dxfId="1021" priority="1057" operator="lessThan">
      <formula>0</formula>
    </cfRule>
  </conditionalFormatting>
  <conditionalFormatting sqref="I34">
    <cfRule type="cellIs" dxfId="1020" priority="1056" operator="lessThan">
      <formula>0</formula>
    </cfRule>
  </conditionalFormatting>
  <conditionalFormatting sqref="I34">
    <cfRule type="cellIs" dxfId="1019" priority="1055" operator="lessThan">
      <formula>0</formula>
    </cfRule>
  </conditionalFormatting>
  <conditionalFormatting sqref="I34">
    <cfRule type="cellIs" dxfId="1018" priority="1054" operator="lessThan">
      <formula>0</formula>
    </cfRule>
  </conditionalFormatting>
  <conditionalFormatting sqref="I34">
    <cfRule type="cellIs" dxfId="1017" priority="1053" operator="lessThan">
      <formula>0</formula>
    </cfRule>
  </conditionalFormatting>
  <conditionalFormatting sqref="I34">
    <cfRule type="cellIs" dxfId="1016" priority="1052" operator="lessThan">
      <formula>0</formula>
    </cfRule>
  </conditionalFormatting>
  <conditionalFormatting sqref="I34">
    <cfRule type="cellIs" dxfId="1015" priority="1051" operator="lessThan">
      <formula>0</formula>
    </cfRule>
  </conditionalFormatting>
  <conditionalFormatting sqref="I34">
    <cfRule type="cellIs" dxfId="1014" priority="1050" operator="lessThan">
      <formula>0</formula>
    </cfRule>
  </conditionalFormatting>
  <conditionalFormatting sqref="I34">
    <cfRule type="cellIs" dxfId="1013" priority="1049" operator="lessThan">
      <formula>0</formula>
    </cfRule>
  </conditionalFormatting>
  <conditionalFormatting sqref="I34">
    <cfRule type="cellIs" dxfId="1012" priority="1048" operator="lessThan">
      <formula>0</formula>
    </cfRule>
  </conditionalFormatting>
  <conditionalFormatting sqref="I34">
    <cfRule type="cellIs" dxfId="1011" priority="1047" operator="lessThan">
      <formula>0</formula>
    </cfRule>
  </conditionalFormatting>
  <conditionalFormatting sqref="I34">
    <cfRule type="cellIs" dxfId="1010" priority="1046" operator="lessThan">
      <formula>0</formula>
    </cfRule>
  </conditionalFormatting>
  <conditionalFormatting sqref="I34">
    <cfRule type="cellIs" dxfId="1009" priority="1045" operator="lessThan">
      <formula>0</formula>
    </cfRule>
  </conditionalFormatting>
  <conditionalFormatting sqref="I34">
    <cfRule type="cellIs" dxfId="1008" priority="1044" operator="lessThan">
      <formula>0</formula>
    </cfRule>
  </conditionalFormatting>
  <conditionalFormatting sqref="I34">
    <cfRule type="cellIs" dxfId="1007" priority="1043" operator="lessThan">
      <formula>0</formula>
    </cfRule>
  </conditionalFormatting>
  <conditionalFormatting sqref="I34">
    <cfRule type="cellIs" dxfId="1006" priority="1042" operator="lessThan">
      <formula>0</formula>
    </cfRule>
  </conditionalFormatting>
  <conditionalFormatting sqref="I34">
    <cfRule type="cellIs" dxfId="1005" priority="1041" operator="lessThan">
      <formula>0</formula>
    </cfRule>
  </conditionalFormatting>
  <conditionalFormatting sqref="I34">
    <cfRule type="cellIs" dxfId="1004" priority="1040" operator="lessThan">
      <formula>0</formula>
    </cfRule>
  </conditionalFormatting>
  <conditionalFormatting sqref="I34">
    <cfRule type="cellIs" dxfId="1003" priority="1039" operator="lessThan">
      <formula>0</formula>
    </cfRule>
  </conditionalFormatting>
  <conditionalFormatting sqref="I34">
    <cfRule type="cellIs" dxfId="1002" priority="1038" operator="lessThan">
      <formula>0</formula>
    </cfRule>
  </conditionalFormatting>
  <conditionalFormatting sqref="I34">
    <cfRule type="cellIs" dxfId="1001" priority="1037" operator="lessThan">
      <formula>0</formula>
    </cfRule>
  </conditionalFormatting>
  <conditionalFormatting sqref="I34">
    <cfRule type="cellIs" dxfId="1000" priority="1036" operator="lessThan">
      <formula>0</formula>
    </cfRule>
  </conditionalFormatting>
  <conditionalFormatting sqref="I34">
    <cfRule type="cellIs" dxfId="999" priority="1035" operator="lessThan">
      <formula>0</formula>
    </cfRule>
  </conditionalFormatting>
  <conditionalFormatting sqref="I34">
    <cfRule type="cellIs" dxfId="998" priority="1034" operator="lessThan">
      <formula>0</formula>
    </cfRule>
  </conditionalFormatting>
  <conditionalFormatting sqref="I34">
    <cfRule type="cellIs" dxfId="997" priority="1033" operator="lessThan">
      <formula>0</formula>
    </cfRule>
  </conditionalFormatting>
  <conditionalFormatting sqref="I34">
    <cfRule type="cellIs" dxfId="996" priority="1032" operator="lessThan">
      <formula>0</formula>
    </cfRule>
  </conditionalFormatting>
  <conditionalFormatting sqref="I34">
    <cfRule type="cellIs" dxfId="995" priority="1031" operator="lessThan">
      <formula>0</formula>
    </cfRule>
  </conditionalFormatting>
  <conditionalFormatting sqref="I34">
    <cfRule type="cellIs" dxfId="994" priority="1030" operator="lessThan">
      <formula>0</formula>
    </cfRule>
  </conditionalFormatting>
  <conditionalFormatting sqref="I34">
    <cfRule type="cellIs" dxfId="993" priority="1029" operator="lessThan">
      <formula>0</formula>
    </cfRule>
  </conditionalFormatting>
  <conditionalFormatting sqref="I34">
    <cfRule type="cellIs" dxfId="992" priority="1028" operator="lessThan">
      <formula>0</formula>
    </cfRule>
  </conditionalFormatting>
  <conditionalFormatting sqref="I34">
    <cfRule type="cellIs" dxfId="991" priority="1027" operator="lessThan">
      <formula>0</formula>
    </cfRule>
  </conditionalFormatting>
  <conditionalFormatting sqref="I34">
    <cfRule type="cellIs" dxfId="990" priority="1026" operator="lessThan">
      <formula>0</formula>
    </cfRule>
  </conditionalFormatting>
  <conditionalFormatting sqref="I34">
    <cfRule type="cellIs" dxfId="989" priority="1025" operator="lessThan">
      <formula>0</formula>
    </cfRule>
  </conditionalFormatting>
  <conditionalFormatting sqref="I34">
    <cfRule type="cellIs" dxfId="988" priority="1024" operator="lessThan">
      <formula>0</formula>
    </cfRule>
  </conditionalFormatting>
  <conditionalFormatting sqref="I34">
    <cfRule type="cellIs" dxfId="987" priority="1023" operator="lessThan">
      <formula>0</formula>
    </cfRule>
  </conditionalFormatting>
  <conditionalFormatting sqref="I34">
    <cfRule type="cellIs" dxfId="986" priority="1022" operator="lessThan">
      <formula>0</formula>
    </cfRule>
  </conditionalFormatting>
  <conditionalFormatting sqref="I34">
    <cfRule type="cellIs" dxfId="985" priority="1021" operator="lessThan">
      <formula>0</formula>
    </cfRule>
  </conditionalFormatting>
  <conditionalFormatting sqref="I34">
    <cfRule type="cellIs" dxfId="984" priority="1020" operator="lessThan">
      <formula>0</formula>
    </cfRule>
  </conditionalFormatting>
  <conditionalFormatting sqref="I34">
    <cfRule type="cellIs" dxfId="983" priority="1019" operator="lessThan">
      <formula>0</formula>
    </cfRule>
  </conditionalFormatting>
  <conditionalFormatting sqref="I34">
    <cfRule type="cellIs" dxfId="982" priority="1018" operator="lessThan">
      <formula>0</formula>
    </cfRule>
  </conditionalFormatting>
  <conditionalFormatting sqref="I34">
    <cfRule type="cellIs" dxfId="981" priority="1017" operator="lessThan">
      <formula>0</formula>
    </cfRule>
  </conditionalFormatting>
  <conditionalFormatting sqref="I34">
    <cfRule type="cellIs" dxfId="980" priority="1016" operator="lessThan">
      <formula>0</formula>
    </cfRule>
  </conditionalFormatting>
  <conditionalFormatting sqref="I34">
    <cfRule type="cellIs" dxfId="979" priority="1015" operator="lessThan">
      <formula>0</formula>
    </cfRule>
  </conditionalFormatting>
  <conditionalFormatting sqref="I34">
    <cfRule type="cellIs" dxfId="978" priority="1014" operator="lessThan">
      <formula>0</formula>
    </cfRule>
  </conditionalFormatting>
  <conditionalFormatting sqref="I34">
    <cfRule type="cellIs" dxfId="977" priority="1013" operator="lessThan">
      <formula>0</formula>
    </cfRule>
  </conditionalFormatting>
  <conditionalFormatting sqref="I34">
    <cfRule type="cellIs" dxfId="976" priority="1012" operator="lessThan">
      <formula>0</formula>
    </cfRule>
  </conditionalFormatting>
  <conditionalFormatting sqref="I34">
    <cfRule type="cellIs" dxfId="975" priority="1011" operator="lessThan">
      <formula>0</formula>
    </cfRule>
  </conditionalFormatting>
  <conditionalFormatting sqref="I34">
    <cfRule type="cellIs" dxfId="974" priority="1010" operator="lessThan">
      <formula>0</formula>
    </cfRule>
  </conditionalFormatting>
  <conditionalFormatting sqref="I34">
    <cfRule type="cellIs" dxfId="973" priority="1009" operator="lessThan">
      <formula>0</formula>
    </cfRule>
  </conditionalFormatting>
  <conditionalFormatting sqref="I34">
    <cfRule type="cellIs" dxfId="972" priority="1008" operator="lessThan">
      <formula>0</formula>
    </cfRule>
  </conditionalFormatting>
  <conditionalFormatting sqref="I34">
    <cfRule type="cellIs" dxfId="971" priority="1007" operator="lessThan">
      <formula>0</formula>
    </cfRule>
  </conditionalFormatting>
  <conditionalFormatting sqref="I34">
    <cfRule type="cellIs" dxfId="970" priority="1006" operator="lessThan">
      <formula>0</formula>
    </cfRule>
  </conditionalFormatting>
  <conditionalFormatting sqref="I34">
    <cfRule type="cellIs" dxfId="969" priority="1005" operator="lessThan">
      <formula>0</formula>
    </cfRule>
  </conditionalFormatting>
  <conditionalFormatting sqref="I34">
    <cfRule type="cellIs" dxfId="968" priority="1004" operator="lessThan">
      <formula>0</formula>
    </cfRule>
  </conditionalFormatting>
  <conditionalFormatting sqref="I34">
    <cfRule type="cellIs" dxfId="967" priority="1003" operator="lessThan">
      <formula>0</formula>
    </cfRule>
  </conditionalFormatting>
  <conditionalFormatting sqref="I34">
    <cfRule type="cellIs" dxfId="966" priority="1002" operator="lessThan">
      <formula>0</formula>
    </cfRule>
  </conditionalFormatting>
  <conditionalFormatting sqref="I34">
    <cfRule type="cellIs" dxfId="965" priority="1001" operator="lessThan">
      <formula>0</formula>
    </cfRule>
  </conditionalFormatting>
  <conditionalFormatting sqref="I22:I29">
    <cfRule type="cellIs" dxfId="964" priority="1000" operator="lessThan">
      <formula>0</formula>
    </cfRule>
  </conditionalFormatting>
  <conditionalFormatting sqref="I22:I29">
    <cfRule type="cellIs" dxfId="963" priority="999" operator="lessThan">
      <formula>0</formula>
    </cfRule>
  </conditionalFormatting>
  <conditionalFormatting sqref="I22:I29">
    <cfRule type="cellIs" dxfId="962" priority="998" operator="lessThan">
      <formula>0</formula>
    </cfRule>
  </conditionalFormatting>
  <conditionalFormatting sqref="I22:I29">
    <cfRule type="cellIs" dxfId="961" priority="997" operator="lessThan">
      <formula>0</formula>
    </cfRule>
  </conditionalFormatting>
  <conditionalFormatting sqref="I22:I29">
    <cfRule type="cellIs" dxfId="960" priority="996" operator="lessThan">
      <formula>0</formula>
    </cfRule>
  </conditionalFormatting>
  <conditionalFormatting sqref="I22:I29">
    <cfRule type="cellIs" dxfId="959" priority="995" operator="lessThan">
      <formula>0</formula>
    </cfRule>
  </conditionalFormatting>
  <conditionalFormatting sqref="I22:I29">
    <cfRule type="cellIs" dxfId="958" priority="994" operator="lessThan">
      <formula>0</formula>
    </cfRule>
  </conditionalFormatting>
  <conditionalFormatting sqref="I22:I29">
    <cfRule type="cellIs" dxfId="957" priority="993" operator="lessThan">
      <formula>0</formula>
    </cfRule>
  </conditionalFormatting>
  <conditionalFormatting sqref="I22:I29">
    <cfRule type="cellIs" dxfId="956" priority="992" operator="lessThan">
      <formula>0</formula>
    </cfRule>
  </conditionalFormatting>
  <conditionalFormatting sqref="I22:I29">
    <cfRule type="cellIs" dxfId="955" priority="991" operator="lessThan">
      <formula>0</formula>
    </cfRule>
  </conditionalFormatting>
  <conditionalFormatting sqref="I22:I29">
    <cfRule type="cellIs" dxfId="954" priority="990" operator="lessThan">
      <formula>0</formula>
    </cfRule>
  </conditionalFormatting>
  <conditionalFormatting sqref="I22:I29">
    <cfRule type="cellIs" dxfId="953" priority="989" operator="lessThan">
      <formula>0</formula>
    </cfRule>
  </conditionalFormatting>
  <conditionalFormatting sqref="I22:I29">
    <cfRule type="cellIs" dxfId="952" priority="988" operator="lessThan">
      <formula>0</formula>
    </cfRule>
  </conditionalFormatting>
  <conditionalFormatting sqref="I22:I29">
    <cfRule type="cellIs" dxfId="951" priority="987" operator="lessThan">
      <formula>0</formula>
    </cfRule>
  </conditionalFormatting>
  <conditionalFormatting sqref="I22:I29">
    <cfRule type="cellIs" dxfId="950" priority="986" operator="lessThan">
      <formula>0</formula>
    </cfRule>
  </conditionalFormatting>
  <conditionalFormatting sqref="I22:I29">
    <cfRule type="cellIs" dxfId="949" priority="985" operator="lessThan">
      <formula>0</formula>
    </cfRule>
  </conditionalFormatting>
  <conditionalFormatting sqref="I22:I29">
    <cfRule type="cellIs" dxfId="948" priority="984" operator="lessThan">
      <formula>0</formula>
    </cfRule>
  </conditionalFormatting>
  <conditionalFormatting sqref="I22:I29">
    <cfRule type="cellIs" dxfId="947" priority="983" operator="lessThan">
      <formula>0</formula>
    </cfRule>
  </conditionalFormatting>
  <conditionalFormatting sqref="I22:I29">
    <cfRule type="cellIs" dxfId="946" priority="982" operator="lessThan">
      <formula>0</formula>
    </cfRule>
  </conditionalFormatting>
  <conditionalFormatting sqref="I22:I29">
    <cfRule type="cellIs" dxfId="945" priority="981" operator="lessThan">
      <formula>0</formula>
    </cfRule>
  </conditionalFormatting>
  <conditionalFormatting sqref="I22:I29">
    <cfRule type="cellIs" dxfId="944" priority="980" operator="lessThan">
      <formula>0</formula>
    </cfRule>
  </conditionalFormatting>
  <conditionalFormatting sqref="I22:I29">
    <cfRule type="cellIs" dxfId="943" priority="979" operator="lessThan">
      <formula>0</formula>
    </cfRule>
  </conditionalFormatting>
  <conditionalFormatting sqref="I22:I29">
    <cfRule type="cellIs" dxfId="942" priority="978" operator="lessThan">
      <formula>0</formula>
    </cfRule>
  </conditionalFormatting>
  <conditionalFormatting sqref="I22:I29">
    <cfRule type="cellIs" dxfId="941" priority="977" operator="lessThan">
      <formula>0</formula>
    </cfRule>
  </conditionalFormatting>
  <conditionalFormatting sqref="I22:I29">
    <cfRule type="cellIs" dxfId="940" priority="976" operator="lessThan">
      <formula>0</formula>
    </cfRule>
  </conditionalFormatting>
  <conditionalFormatting sqref="I22:I29">
    <cfRule type="cellIs" dxfId="939" priority="975" operator="lessThan">
      <formula>0</formula>
    </cfRule>
  </conditionalFormatting>
  <conditionalFormatting sqref="I22:I29">
    <cfRule type="cellIs" dxfId="938" priority="974" operator="lessThan">
      <formula>0</formula>
    </cfRule>
  </conditionalFormatting>
  <conditionalFormatting sqref="I22:I29">
    <cfRule type="cellIs" dxfId="937" priority="973" operator="lessThan">
      <formula>0</formula>
    </cfRule>
  </conditionalFormatting>
  <conditionalFormatting sqref="I22:I29">
    <cfRule type="cellIs" dxfId="936" priority="972" operator="lessThan">
      <formula>0</formula>
    </cfRule>
  </conditionalFormatting>
  <conditionalFormatting sqref="I22:I29">
    <cfRule type="cellIs" dxfId="935" priority="971" operator="lessThan">
      <formula>0</formula>
    </cfRule>
  </conditionalFormatting>
  <conditionalFormatting sqref="I22:I29">
    <cfRule type="cellIs" dxfId="934" priority="970" operator="lessThan">
      <formula>0</formula>
    </cfRule>
  </conditionalFormatting>
  <conditionalFormatting sqref="I22:I29">
    <cfRule type="cellIs" dxfId="933" priority="969" operator="lessThan">
      <formula>0</formula>
    </cfRule>
  </conditionalFormatting>
  <conditionalFormatting sqref="I22:I29">
    <cfRule type="cellIs" dxfId="932" priority="968" operator="lessThan">
      <formula>0</formula>
    </cfRule>
  </conditionalFormatting>
  <conditionalFormatting sqref="I22:I29">
    <cfRule type="cellIs" dxfId="931" priority="967" operator="lessThan">
      <formula>0</formula>
    </cfRule>
  </conditionalFormatting>
  <conditionalFormatting sqref="I22:I29">
    <cfRule type="cellIs" dxfId="930" priority="966" operator="lessThan">
      <formula>0</formula>
    </cfRule>
  </conditionalFormatting>
  <conditionalFormatting sqref="I22:I29">
    <cfRule type="cellIs" dxfId="929" priority="965" operator="lessThan">
      <formula>0</formula>
    </cfRule>
  </conditionalFormatting>
  <conditionalFormatting sqref="I22:I29">
    <cfRule type="cellIs" dxfId="928" priority="964" operator="lessThan">
      <formula>0</formula>
    </cfRule>
  </conditionalFormatting>
  <conditionalFormatting sqref="I22:I29">
    <cfRule type="cellIs" dxfId="927" priority="963" operator="lessThan">
      <formula>0</formula>
    </cfRule>
  </conditionalFormatting>
  <conditionalFormatting sqref="I22:I29">
    <cfRule type="cellIs" dxfId="926" priority="962" operator="lessThan">
      <formula>0</formula>
    </cfRule>
  </conditionalFormatting>
  <conditionalFormatting sqref="I22:I29">
    <cfRule type="cellIs" dxfId="925" priority="961" operator="lessThan">
      <formula>0</formula>
    </cfRule>
  </conditionalFormatting>
  <conditionalFormatting sqref="I22:I29">
    <cfRule type="cellIs" dxfId="924" priority="960" operator="lessThan">
      <formula>0</formula>
    </cfRule>
  </conditionalFormatting>
  <conditionalFormatting sqref="I22:I29">
    <cfRule type="cellIs" dxfId="923" priority="959" operator="lessThan">
      <formula>0</formula>
    </cfRule>
  </conditionalFormatting>
  <conditionalFormatting sqref="I22:I29">
    <cfRule type="cellIs" dxfId="922" priority="958" operator="lessThan">
      <formula>0</formula>
    </cfRule>
  </conditionalFormatting>
  <conditionalFormatting sqref="I22:I29">
    <cfRule type="cellIs" dxfId="921" priority="957" operator="lessThan">
      <formula>0</formula>
    </cfRule>
  </conditionalFormatting>
  <conditionalFormatting sqref="I22:I29">
    <cfRule type="cellIs" dxfId="920" priority="956" operator="lessThan">
      <formula>0</formula>
    </cfRule>
  </conditionalFormatting>
  <conditionalFormatting sqref="I22:I29">
    <cfRule type="cellIs" dxfId="919" priority="955" operator="lessThan">
      <formula>0</formula>
    </cfRule>
  </conditionalFormatting>
  <conditionalFormatting sqref="I22:I29">
    <cfRule type="cellIs" dxfId="918" priority="954" operator="lessThan">
      <formula>0</formula>
    </cfRule>
  </conditionalFormatting>
  <conditionalFormatting sqref="I22:I29">
    <cfRule type="cellIs" dxfId="917" priority="953" operator="lessThan">
      <formula>0</formula>
    </cfRule>
  </conditionalFormatting>
  <conditionalFormatting sqref="I22:I29">
    <cfRule type="cellIs" dxfId="916" priority="952" operator="lessThan">
      <formula>0</formula>
    </cfRule>
  </conditionalFormatting>
  <conditionalFormatting sqref="I22:I29">
    <cfRule type="cellIs" dxfId="915" priority="951" operator="lessThan">
      <formula>0</formula>
    </cfRule>
  </conditionalFormatting>
  <conditionalFormatting sqref="I22:I29">
    <cfRule type="cellIs" dxfId="914" priority="950" operator="lessThan">
      <formula>0</formula>
    </cfRule>
  </conditionalFormatting>
  <conditionalFormatting sqref="I22:I29">
    <cfRule type="cellIs" dxfId="913" priority="949" operator="lessThan">
      <formula>0</formula>
    </cfRule>
  </conditionalFormatting>
  <conditionalFormatting sqref="I22:I29">
    <cfRule type="cellIs" dxfId="912" priority="948" operator="lessThan">
      <formula>0</formula>
    </cfRule>
  </conditionalFormatting>
  <conditionalFormatting sqref="I22:I29">
    <cfRule type="cellIs" dxfId="911" priority="947" operator="lessThan">
      <formula>0</formula>
    </cfRule>
  </conditionalFormatting>
  <conditionalFormatting sqref="I22:I29">
    <cfRule type="cellIs" dxfId="910" priority="946" operator="lessThan">
      <formula>0</formula>
    </cfRule>
  </conditionalFormatting>
  <conditionalFormatting sqref="I22:I29">
    <cfRule type="cellIs" dxfId="909" priority="945" operator="lessThan">
      <formula>0</formula>
    </cfRule>
  </conditionalFormatting>
  <conditionalFormatting sqref="I22:I29">
    <cfRule type="cellIs" dxfId="908" priority="944" operator="lessThan">
      <formula>0</formula>
    </cfRule>
  </conditionalFormatting>
  <conditionalFormatting sqref="I22:I29">
    <cfRule type="cellIs" dxfId="907" priority="943" operator="lessThan">
      <formula>0</formula>
    </cfRule>
  </conditionalFormatting>
  <conditionalFormatting sqref="I22:I29">
    <cfRule type="cellIs" dxfId="906" priority="942" operator="lessThan">
      <formula>0</formula>
    </cfRule>
  </conditionalFormatting>
  <conditionalFormatting sqref="I22:I29">
    <cfRule type="cellIs" dxfId="905" priority="941" operator="lessThan">
      <formula>0</formula>
    </cfRule>
  </conditionalFormatting>
  <conditionalFormatting sqref="I22:I29">
    <cfRule type="cellIs" dxfId="904" priority="940" operator="lessThan">
      <formula>0</formula>
    </cfRule>
  </conditionalFormatting>
  <conditionalFormatting sqref="I22:I29">
    <cfRule type="cellIs" dxfId="903" priority="939" operator="lessThan">
      <formula>0</formula>
    </cfRule>
  </conditionalFormatting>
  <conditionalFormatting sqref="I22:I29">
    <cfRule type="cellIs" dxfId="902" priority="938" operator="lessThan">
      <formula>0</formula>
    </cfRule>
  </conditionalFormatting>
  <conditionalFormatting sqref="I22:I29">
    <cfRule type="cellIs" dxfId="901" priority="937" operator="lessThan">
      <formula>0</formula>
    </cfRule>
  </conditionalFormatting>
  <conditionalFormatting sqref="I22:I29">
    <cfRule type="cellIs" dxfId="900" priority="936" operator="lessThan">
      <formula>0</formula>
    </cfRule>
  </conditionalFormatting>
  <conditionalFormatting sqref="I22:I29">
    <cfRule type="cellIs" dxfId="899" priority="935" operator="lessThan">
      <formula>0</formula>
    </cfRule>
  </conditionalFormatting>
  <conditionalFormatting sqref="I22:I29">
    <cfRule type="cellIs" dxfId="898" priority="934" operator="lessThan">
      <formula>0</formula>
    </cfRule>
  </conditionalFormatting>
  <conditionalFormatting sqref="I22:I29">
    <cfRule type="cellIs" dxfId="897" priority="933" operator="lessThan">
      <formula>0</formula>
    </cfRule>
  </conditionalFormatting>
  <conditionalFormatting sqref="I22:I29">
    <cfRule type="cellIs" dxfId="896" priority="932" operator="lessThan">
      <formula>0</formula>
    </cfRule>
  </conditionalFormatting>
  <conditionalFormatting sqref="I22:I29">
    <cfRule type="cellIs" dxfId="895" priority="931" operator="lessThan">
      <formula>0</formula>
    </cfRule>
  </conditionalFormatting>
  <conditionalFormatting sqref="I22:I29">
    <cfRule type="cellIs" dxfId="894" priority="930" operator="lessThan">
      <formula>0</formula>
    </cfRule>
  </conditionalFormatting>
  <conditionalFormatting sqref="I22:I29">
    <cfRule type="cellIs" dxfId="893" priority="929" operator="lessThan">
      <formula>0</formula>
    </cfRule>
  </conditionalFormatting>
  <conditionalFormatting sqref="I22:I29">
    <cfRule type="cellIs" dxfId="892" priority="928" operator="lessThan">
      <formula>0</formula>
    </cfRule>
  </conditionalFormatting>
  <conditionalFormatting sqref="I22:I29">
    <cfRule type="cellIs" dxfId="891" priority="927" operator="lessThan">
      <formula>0</formula>
    </cfRule>
  </conditionalFormatting>
  <conditionalFormatting sqref="I22:I29">
    <cfRule type="cellIs" dxfId="890" priority="926" operator="lessThan">
      <formula>0</formula>
    </cfRule>
  </conditionalFormatting>
  <conditionalFormatting sqref="I22:I29">
    <cfRule type="cellIs" dxfId="889" priority="925" operator="lessThan">
      <formula>0</formula>
    </cfRule>
  </conditionalFormatting>
  <conditionalFormatting sqref="I22:I29">
    <cfRule type="cellIs" dxfId="888" priority="924" operator="lessThan">
      <formula>0</formula>
    </cfRule>
  </conditionalFormatting>
  <conditionalFormatting sqref="I22:I29">
    <cfRule type="cellIs" dxfId="887" priority="923" operator="lessThan">
      <formula>0</formula>
    </cfRule>
  </conditionalFormatting>
  <conditionalFormatting sqref="I22:I29">
    <cfRule type="cellIs" dxfId="886" priority="922" operator="lessThan">
      <formula>0</formula>
    </cfRule>
  </conditionalFormatting>
  <conditionalFormatting sqref="I22:I29">
    <cfRule type="cellIs" dxfId="885" priority="921" operator="lessThan">
      <formula>0</formula>
    </cfRule>
  </conditionalFormatting>
  <conditionalFormatting sqref="I22:I29">
    <cfRule type="cellIs" dxfId="884" priority="920" operator="lessThan">
      <formula>0</formula>
    </cfRule>
  </conditionalFormatting>
  <conditionalFormatting sqref="I22:I29">
    <cfRule type="cellIs" dxfId="883" priority="919" operator="lessThan">
      <formula>0</formula>
    </cfRule>
  </conditionalFormatting>
  <conditionalFormatting sqref="I22:I29">
    <cfRule type="cellIs" dxfId="882" priority="918" operator="lessThan">
      <formula>0</formula>
    </cfRule>
  </conditionalFormatting>
  <conditionalFormatting sqref="I22:I29">
    <cfRule type="cellIs" dxfId="881" priority="917" operator="lessThan">
      <formula>0</formula>
    </cfRule>
  </conditionalFormatting>
  <conditionalFormatting sqref="I22:I29">
    <cfRule type="cellIs" dxfId="880" priority="916" operator="lessThan">
      <formula>0</formula>
    </cfRule>
  </conditionalFormatting>
  <conditionalFormatting sqref="I22:I29">
    <cfRule type="cellIs" dxfId="879" priority="915" operator="lessThan">
      <formula>0</formula>
    </cfRule>
  </conditionalFormatting>
  <conditionalFormatting sqref="I22:I29">
    <cfRule type="cellIs" dxfId="878" priority="914" operator="lessThan">
      <formula>0</formula>
    </cfRule>
  </conditionalFormatting>
  <conditionalFormatting sqref="I22:I29">
    <cfRule type="cellIs" dxfId="877" priority="913" operator="lessThan">
      <formula>0</formula>
    </cfRule>
  </conditionalFormatting>
  <conditionalFormatting sqref="I22:I29">
    <cfRule type="cellIs" dxfId="876" priority="912" operator="lessThan">
      <formula>0</formula>
    </cfRule>
  </conditionalFormatting>
  <conditionalFormatting sqref="I22:I29">
    <cfRule type="cellIs" dxfId="875" priority="911" operator="lessThan">
      <formula>0</formula>
    </cfRule>
  </conditionalFormatting>
  <conditionalFormatting sqref="I22:I29">
    <cfRule type="cellIs" dxfId="874" priority="910" operator="lessThan">
      <formula>0</formula>
    </cfRule>
  </conditionalFormatting>
  <conditionalFormatting sqref="I22:I29">
    <cfRule type="cellIs" dxfId="873" priority="909" operator="lessThan">
      <formula>0</formula>
    </cfRule>
  </conditionalFormatting>
  <conditionalFormatting sqref="I22:I29">
    <cfRule type="cellIs" dxfId="872" priority="908" operator="lessThan">
      <formula>0</formula>
    </cfRule>
  </conditionalFormatting>
  <conditionalFormatting sqref="I22:I29">
    <cfRule type="cellIs" dxfId="871" priority="907" operator="lessThan">
      <formula>0</formula>
    </cfRule>
  </conditionalFormatting>
  <conditionalFormatting sqref="I22:I29">
    <cfRule type="cellIs" dxfId="870" priority="906" operator="lessThan">
      <formula>0</formula>
    </cfRule>
  </conditionalFormatting>
  <conditionalFormatting sqref="I22:I29">
    <cfRule type="cellIs" dxfId="869" priority="905" operator="lessThan">
      <formula>0</formula>
    </cfRule>
  </conditionalFormatting>
  <conditionalFormatting sqref="I22:I29">
    <cfRule type="cellIs" dxfId="868" priority="904" operator="lessThan">
      <formula>0</formula>
    </cfRule>
  </conditionalFormatting>
  <conditionalFormatting sqref="I22:I29">
    <cfRule type="cellIs" dxfId="867" priority="903" operator="lessThan">
      <formula>0</formula>
    </cfRule>
  </conditionalFormatting>
  <conditionalFormatting sqref="I22:I29">
    <cfRule type="cellIs" dxfId="866" priority="902" operator="lessThan">
      <formula>0</formula>
    </cfRule>
  </conditionalFormatting>
  <conditionalFormatting sqref="I22:I29">
    <cfRule type="cellIs" dxfId="865" priority="901" operator="lessThan">
      <formula>0</formula>
    </cfRule>
  </conditionalFormatting>
  <conditionalFormatting sqref="I22:I29">
    <cfRule type="cellIs" dxfId="864" priority="900" operator="lessThan">
      <formula>0</formula>
    </cfRule>
  </conditionalFormatting>
  <conditionalFormatting sqref="I22:I29">
    <cfRule type="cellIs" dxfId="863" priority="899" operator="lessThan">
      <formula>0</formula>
    </cfRule>
  </conditionalFormatting>
  <conditionalFormatting sqref="I22:I29">
    <cfRule type="cellIs" dxfId="862" priority="898" operator="lessThan">
      <formula>0</formula>
    </cfRule>
  </conditionalFormatting>
  <conditionalFormatting sqref="I22:I29">
    <cfRule type="cellIs" dxfId="861" priority="897" operator="lessThan">
      <formula>0</formula>
    </cfRule>
  </conditionalFormatting>
  <conditionalFormatting sqref="I22:I29">
    <cfRule type="cellIs" dxfId="860" priority="896" operator="lessThan">
      <formula>0</formula>
    </cfRule>
  </conditionalFormatting>
  <conditionalFormatting sqref="I22:I29">
    <cfRule type="cellIs" dxfId="859" priority="895" operator="lessThan">
      <formula>0</formula>
    </cfRule>
  </conditionalFormatting>
  <conditionalFormatting sqref="I22:I29">
    <cfRule type="cellIs" dxfId="858" priority="894" operator="lessThan">
      <formula>0</formula>
    </cfRule>
  </conditionalFormatting>
  <conditionalFormatting sqref="I22:I29">
    <cfRule type="cellIs" dxfId="857" priority="893" operator="lessThan">
      <formula>0</formula>
    </cfRule>
  </conditionalFormatting>
  <conditionalFormatting sqref="I22:I29">
    <cfRule type="cellIs" dxfId="856" priority="892" operator="lessThan">
      <formula>0</formula>
    </cfRule>
  </conditionalFormatting>
  <conditionalFormatting sqref="I22:I29">
    <cfRule type="cellIs" dxfId="855" priority="891" operator="lessThan">
      <formula>0</formula>
    </cfRule>
  </conditionalFormatting>
  <conditionalFormatting sqref="I22:I29">
    <cfRule type="cellIs" dxfId="854" priority="890" operator="lessThan">
      <formula>0</formula>
    </cfRule>
  </conditionalFormatting>
  <conditionalFormatting sqref="I22:I29">
    <cfRule type="cellIs" dxfId="853" priority="889" operator="lessThan">
      <formula>0</formula>
    </cfRule>
  </conditionalFormatting>
  <conditionalFormatting sqref="I22:I29">
    <cfRule type="cellIs" dxfId="852" priority="888" operator="lessThan">
      <formula>0</formula>
    </cfRule>
  </conditionalFormatting>
  <conditionalFormatting sqref="I22:I29">
    <cfRule type="cellIs" dxfId="851" priority="887" operator="lessThan">
      <formula>0</formula>
    </cfRule>
  </conditionalFormatting>
  <conditionalFormatting sqref="I22:I29">
    <cfRule type="cellIs" dxfId="850" priority="886" operator="lessThan">
      <formula>0</formula>
    </cfRule>
  </conditionalFormatting>
  <conditionalFormatting sqref="I22:I29">
    <cfRule type="cellIs" dxfId="849" priority="885" operator="lessThan">
      <formula>0</formula>
    </cfRule>
  </conditionalFormatting>
  <conditionalFormatting sqref="I22:I29">
    <cfRule type="cellIs" dxfId="848" priority="884" operator="lessThan">
      <formula>0</formula>
    </cfRule>
  </conditionalFormatting>
  <conditionalFormatting sqref="I22:I29">
    <cfRule type="cellIs" dxfId="847" priority="883" operator="lessThan">
      <formula>0</formula>
    </cfRule>
  </conditionalFormatting>
  <conditionalFormatting sqref="I22:I29">
    <cfRule type="cellIs" dxfId="846" priority="882" operator="lessThan">
      <formula>0</formula>
    </cfRule>
  </conditionalFormatting>
  <conditionalFormatting sqref="I22:I29">
    <cfRule type="cellIs" dxfId="845" priority="881" operator="lessThan">
      <formula>0</formula>
    </cfRule>
  </conditionalFormatting>
  <conditionalFormatting sqref="I22:I29">
    <cfRule type="cellIs" dxfId="844" priority="880" operator="lessThan">
      <formula>0</formula>
    </cfRule>
  </conditionalFormatting>
  <conditionalFormatting sqref="I22:I29">
    <cfRule type="cellIs" dxfId="843" priority="879" operator="lessThan">
      <formula>0</formula>
    </cfRule>
  </conditionalFormatting>
  <conditionalFormatting sqref="I22:I29">
    <cfRule type="cellIs" dxfId="842" priority="878" operator="lessThan">
      <formula>0</formula>
    </cfRule>
  </conditionalFormatting>
  <conditionalFormatting sqref="I22:I29">
    <cfRule type="cellIs" dxfId="841" priority="877" operator="lessThan">
      <formula>0</formula>
    </cfRule>
  </conditionalFormatting>
  <conditionalFormatting sqref="I22:I29">
    <cfRule type="cellIs" dxfId="840" priority="876" operator="lessThan">
      <formula>0</formula>
    </cfRule>
  </conditionalFormatting>
  <conditionalFormatting sqref="I22:I29">
    <cfRule type="cellIs" dxfId="839" priority="875" operator="lessThan">
      <formula>0</formula>
    </cfRule>
  </conditionalFormatting>
  <conditionalFormatting sqref="I22:I29">
    <cfRule type="cellIs" dxfId="838" priority="874" operator="lessThan">
      <formula>0</formula>
    </cfRule>
  </conditionalFormatting>
  <conditionalFormatting sqref="I22:I29">
    <cfRule type="cellIs" dxfId="837" priority="873" operator="lessThan">
      <formula>0</formula>
    </cfRule>
  </conditionalFormatting>
  <conditionalFormatting sqref="I22:I29">
    <cfRule type="cellIs" dxfId="836" priority="872" operator="lessThan">
      <formula>0</formula>
    </cfRule>
  </conditionalFormatting>
  <conditionalFormatting sqref="I22:I29">
    <cfRule type="cellIs" dxfId="835" priority="871" operator="lessThan">
      <formula>0</formula>
    </cfRule>
  </conditionalFormatting>
  <conditionalFormatting sqref="I22:I29">
    <cfRule type="cellIs" dxfId="834" priority="870" operator="lessThan">
      <formula>0</formula>
    </cfRule>
  </conditionalFormatting>
  <conditionalFormatting sqref="I22:I29">
    <cfRule type="cellIs" dxfId="833" priority="869" operator="lessThan">
      <formula>0</formula>
    </cfRule>
  </conditionalFormatting>
  <conditionalFormatting sqref="I22:I29">
    <cfRule type="cellIs" dxfId="832" priority="868" operator="lessThan">
      <formula>0</formula>
    </cfRule>
  </conditionalFormatting>
  <conditionalFormatting sqref="I22:I29">
    <cfRule type="cellIs" dxfId="831" priority="867" operator="lessThan">
      <formula>0</formula>
    </cfRule>
  </conditionalFormatting>
  <conditionalFormatting sqref="I22:I29">
    <cfRule type="cellIs" dxfId="830" priority="866" operator="lessThan">
      <formula>0</formula>
    </cfRule>
  </conditionalFormatting>
  <conditionalFormatting sqref="I22:I29">
    <cfRule type="cellIs" dxfId="829" priority="865" operator="lessThan">
      <formula>0</formula>
    </cfRule>
  </conditionalFormatting>
  <conditionalFormatting sqref="I22:I29">
    <cfRule type="cellIs" dxfId="828" priority="864" operator="lessThan">
      <formula>0</formula>
    </cfRule>
  </conditionalFormatting>
  <conditionalFormatting sqref="I22:I29">
    <cfRule type="cellIs" dxfId="827" priority="863" operator="lessThan">
      <formula>0</formula>
    </cfRule>
  </conditionalFormatting>
  <conditionalFormatting sqref="I22:I29">
    <cfRule type="cellIs" dxfId="826" priority="862" operator="lessThan">
      <formula>0</formula>
    </cfRule>
  </conditionalFormatting>
  <conditionalFormatting sqref="I22:I29">
    <cfRule type="cellIs" dxfId="825" priority="861" operator="lessThan">
      <formula>0</formula>
    </cfRule>
  </conditionalFormatting>
  <conditionalFormatting sqref="I22:I29">
    <cfRule type="cellIs" dxfId="824" priority="860" operator="lessThan">
      <formula>0</formula>
    </cfRule>
  </conditionalFormatting>
  <conditionalFormatting sqref="I22:I29">
    <cfRule type="cellIs" dxfId="823" priority="859" operator="lessThan">
      <formula>0</formula>
    </cfRule>
  </conditionalFormatting>
  <conditionalFormatting sqref="I22:I29">
    <cfRule type="cellIs" dxfId="822" priority="858" operator="lessThan">
      <formula>0</formula>
    </cfRule>
  </conditionalFormatting>
  <conditionalFormatting sqref="I22:I29">
    <cfRule type="cellIs" dxfId="821" priority="857" operator="lessThan">
      <formula>0</formula>
    </cfRule>
  </conditionalFormatting>
  <conditionalFormatting sqref="I22:I29">
    <cfRule type="cellIs" dxfId="820" priority="856" operator="lessThan">
      <formula>0</formula>
    </cfRule>
  </conditionalFormatting>
  <conditionalFormatting sqref="I22:I29">
    <cfRule type="cellIs" dxfId="819" priority="855" operator="lessThan">
      <formula>0</formula>
    </cfRule>
  </conditionalFormatting>
  <conditionalFormatting sqref="I22:I29">
    <cfRule type="cellIs" dxfId="818" priority="854" operator="lessThan">
      <formula>0</formula>
    </cfRule>
  </conditionalFormatting>
  <conditionalFormatting sqref="I22:I29">
    <cfRule type="cellIs" dxfId="817" priority="853" operator="lessThan">
      <formula>0</formula>
    </cfRule>
  </conditionalFormatting>
  <conditionalFormatting sqref="I22:I29">
    <cfRule type="cellIs" dxfId="816" priority="852" operator="lessThan">
      <formula>0</formula>
    </cfRule>
  </conditionalFormatting>
  <conditionalFormatting sqref="I22:I29">
    <cfRule type="cellIs" dxfId="815" priority="851" operator="lessThan">
      <formula>0</formula>
    </cfRule>
  </conditionalFormatting>
  <conditionalFormatting sqref="I22:I29">
    <cfRule type="cellIs" dxfId="814" priority="850" operator="lessThan">
      <formula>0</formula>
    </cfRule>
  </conditionalFormatting>
  <conditionalFormatting sqref="I22:I29">
    <cfRule type="cellIs" dxfId="813" priority="849" operator="lessThan">
      <formula>0</formula>
    </cfRule>
  </conditionalFormatting>
  <conditionalFormatting sqref="I22:I29">
    <cfRule type="cellIs" dxfId="812" priority="848" operator="lessThan">
      <formula>0</formula>
    </cfRule>
  </conditionalFormatting>
  <conditionalFormatting sqref="I22:I29">
    <cfRule type="cellIs" dxfId="811" priority="847" operator="lessThan">
      <formula>0</formula>
    </cfRule>
  </conditionalFormatting>
  <conditionalFormatting sqref="I22:I29">
    <cfRule type="cellIs" dxfId="810" priority="846" operator="lessThan">
      <formula>0</formula>
    </cfRule>
  </conditionalFormatting>
  <conditionalFormatting sqref="I22:I29">
    <cfRule type="cellIs" dxfId="809" priority="845" operator="lessThan">
      <formula>0</formula>
    </cfRule>
  </conditionalFormatting>
  <conditionalFormatting sqref="I22:I29">
    <cfRule type="cellIs" dxfId="808" priority="844" operator="lessThan">
      <formula>0</formula>
    </cfRule>
  </conditionalFormatting>
  <conditionalFormatting sqref="I22:I29">
    <cfRule type="cellIs" dxfId="807" priority="843" operator="lessThan">
      <formula>0</formula>
    </cfRule>
  </conditionalFormatting>
  <conditionalFormatting sqref="I22:I29">
    <cfRule type="cellIs" dxfId="806" priority="842" operator="lessThan">
      <formula>0</formula>
    </cfRule>
  </conditionalFormatting>
  <conditionalFormatting sqref="I22:I29">
    <cfRule type="cellIs" dxfId="805" priority="841" operator="lessThan">
      <formula>0</formula>
    </cfRule>
  </conditionalFormatting>
  <conditionalFormatting sqref="I22:I29">
    <cfRule type="cellIs" dxfId="804" priority="840" operator="lessThan">
      <formula>0</formula>
    </cfRule>
  </conditionalFormatting>
  <conditionalFormatting sqref="I22:I29">
    <cfRule type="cellIs" dxfId="803" priority="839" operator="lessThan">
      <formula>0</formula>
    </cfRule>
  </conditionalFormatting>
  <conditionalFormatting sqref="I22:I29">
    <cfRule type="cellIs" dxfId="802" priority="838" operator="lessThan">
      <formula>0</formula>
    </cfRule>
  </conditionalFormatting>
  <conditionalFormatting sqref="I22:I29">
    <cfRule type="cellIs" dxfId="801" priority="837" operator="lessThan">
      <formula>0</formula>
    </cfRule>
  </conditionalFormatting>
  <conditionalFormatting sqref="I22:I29">
    <cfRule type="cellIs" dxfId="800" priority="836" operator="lessThan">
      <formula>0</formula>
    </cfRule>
  </conditionalFormatting>
  <conditionalFormatting sqref="I22:I29">
    <cfRule type="cellIs" dxfId="799" priority="835" operator="lessThan">
      <formula>0</formula>
    </cfRule>
  </conditionalFormatting>
  <conditionalFormatting sqref="I22:I29">
    <cfRule type="cellIs" dxfId="798" priority="834" operator="lessThan">
      <formula>0</formula>
    </cfRule>
  </conditionalFormatting>
  <conditionalFormatting sqref="I22:I29">
    <cfRule type="cellIs" dxfId="797" priority="833" operator="lessThan">
      <formula>0</formula>
    </cfRule>
  </conditionalFormatting>
  <conditionalFormatting sqref="I22:I29">
    <cfRule type="cellIs" dxfId="796" priority="832" operator="lessThan">
      <formula>0</formula>
    </cfRule>
  </conditionalFormatting>
  <conditionalFormatting sqref="I22:I29">
    <cfRule type="cellIs" dxfId="795" priority="831" operator="lessThan">
      <formula>0</formula>
    </cfRule>
  </conditionalFormatting>
  <conditionalFormatting sqref="I22:I29">
    <cfRule type="cellIs" dxfId="794" priority="830" operator="lessThan">
      <formula>0</formula>
    </cfRule>
  </conditionalFormatting>
  <conditionalFormatting sqref="I22:I29">
    <cfRule type="cellIs" dxfId="793" priority="829" operator="lessThan">
      <formula>0</formula>
    </cfRule>
  </conditionalFormatting>
  <conditionalFormatting sqref="I22:I29">
    <cfRule type="cellIs" dxfId="792" priority="828" operator="lessThan">
      <formula>0</formula>
    </cfRule>
  </conditionalFormatting>
  <conditionalFormatting sqref="I22:I29">
    <cfRule type="cellIs" dxfId="791" priority="827" operator="lessThan">
      <formula>0</formula>
    </cfRule>
  </conditionalFormatting>
  <conditionalFormatting sqref="I22:I29">
    <cfRule type="cellIs" dxfId="790" priority="826" operator="lessThan">
      <formula>0</formula>
    </cfRule>
  </conditionalFormatting>
  <conditionalFormatting sqref="I22:I29">
    <cfRule type="cellIs" dxfId="789" priority="825" operator="lessThan">
      <formula>0</formula>
    </cfRule>
  </conditionalFormatting>
  <conditionalFormatting sqref="I22:I29">
    <cfRule type="cellIs" dxfId="788" priority="824" operator="lessThan">
      <formula>0</formula>
    </cfRule>
  </conditionalFormatting>
  <conditionalFormatting sqref="I22:I29">
    <cfRule type="cellIs" dxfId="787" priority="823" operator="lessThan">
      <formula>0</formula>
    </cfRule>
  </conditionalFormatting>
  <conditionalFormatting sqref="I22:I29">
    <cfRule type="cellIs" dxfId="786" priority="822" operator="lessThan">
      <formula>0</formula>
    </cfRule>
  </conditionalFormatting>
  <conditionalFormatting sqref="I22:I29">
    <cfRule type="cellIs" dxfId="785" priority="821" operator="lessThan">
      <formula>0</formula>
    </cfRule>
  </conditionalFormatting>
  <conditionalFormatting sqref="I22:I29">
    <cfRule type="cellIs" dxfId="784" priority="820" operator="lessThan">
      <formula>0</formula>
    </cfRule>
  </conditionalFormatting>
  <conditionalFormatting sqref="I22:I29">
    <cfRule type="cellIs" dxfId="783" priority="819" operator="lessThan">
      <formula>0</formula>
    </cfRule>
  </conditionalFormatting>
  <conditionalFormatting sqref="I22:I29">
    <cfRule type="cellIs" dxfId="782" priority="818" operator="lessThan">
      <formula>0</formula>
    </cfRule>
  </conditionalFormatting>
  <conditionalFormatting sqref="I22:I29">
    <cfRule type="cellIs" dxfId="781" priority="817" operator="lessThan">
      <formula>0</formula>
    </cfRule>
  </conditionalFormatting>
  <conditionalFormatting sqref="I22:I29">
    <cfRule type="cellIs" dxfId="780" priority="816" operator="lessThan">
      <formula>0</formula>
    </cfRule>
  </conditionalFormatting>
  <conditionalFormatting sqref="I22:I29">
    <cfRule type="cellIs" dxfId="779" priority="815" operator="lessThan">
      <formula>0</formula>
    </cfRule>
  </conditionalFormatting>
  <conditionalFormatting sqref="I22:I29">
    <cfRule type="cellIs" dxfId="778" priority="814" operator="lessThan">
      <formula>0</formula>
    </cfRule>
  </conditionalFormatting>
  <conditionalFormatting sqref="I22:I29">
    <cfRule type="cellIs" dxfId="777" priority="813" operator="lessThan">
      <formula>0</formula>
    </cfRule>
  </conditionalFormatting>
  <conditionalFormatting sqref="I22:I29">
    <cfRule type="cellIs" dxfId="776" priority="812" operator="lessThan">
      <formula>0</formula>
    </cfRule>
  </conditionalFormatting>
  <conditionalFormatting sqref="I22:I29">
    <cfRule type="cellIs" dxfId="775" priority="811" operator="lessThan">
      <formula>0</formula>
    </cfRule>
  </conditionalFormatting>
  <conditionalFormatting sqref="I22:I29">
    <cfRule type="cellIs" dxfId="774" priority="810" operator="lessThan">
      <formula>0</formula>
    </cfRule>
  </conditionalFormatting>
  <conditionalFormatting sqref="I22:I29">
    <cfRule type="cellIs" dxfId="773" priority="809" operator="lessThan">
      <formula>0</formula>
    </cfRule>
  </conditionalFormatting>
  <conditionalFormatting sqref="I22:I29">
    <cfRule type="cellIs" dxfId="772" priority="808" operator="lessThan">
      <formula>0</formula>
    </cfRule>
  </conditionalFormatting>
  <conditionalFormatting sqref="I22:I29">
    <cfRule type="cellIs" dxfId="771" priority="807" operator="lessThan">
      <formula>0</formula>
    </cfRule>
  </conditionalFormatting>
  <conditionalFormatting sqref="I22:I29">
    <cfRule type="cellIs" dxfId="770" priority="806" operator="lessThan">
      <formula>0</formula>
    </cfRule>
  </conditionalFormatting>
  <conditionalFormatting sqref="I22:I29">
    <cfRule type="cellIs" dxfId="769" priority="805" operator="lessThan">
      <formula>0</formula>
    </cfRule>
  </conditionalFormatting>
  <conditionalFormatting sqref="I22:I29">
    <cfRule type="cellIs" dxfId="768" priority="804" operator="lessThan">
      <formula>0</formula>
    </cfRule>
  </conditionalFormatting>
  <conditionalFormatting sqref="I22:I29">
    <cfRule type="cellIs" dxfId="767" priority="803" operator="lessThan">
      <formula>0</formula>
    </cfRule>
  </conditionalFormatting>
  <conditionalFormatting sqref="I22:I29">
    <cfRule type="cellIs" dxfId="766" priority="802" operator="lessThan">
      <formula>0</formula>
    </cfRule>
  </conditionalFormatting>
  <conditionalFormatting sqref="I22:I29">
    <cfRule type="cellIs" dxfId="765" priority="801" operator="lessThan">
      <formula>0</formula>
    </cfRule>
  </conditionalFormatting>
  <conditionalFormatting sqref="I22:I29">
    <cfRule type="cellIs" dxfId="764" priority="800" operator="lessThan">
      <formula>0</formula>
    </cfRule>
  </conditionalFormatting>
  <conditionalFormatting sqref="I22:I29">
    <cfRule type="cellIs" dxfId="763" priority="799" operator="lessThan">
      <formula>0</formula>
    </cfRule>
  </conditionalFormatting>
  <conditionalFormatting sqref="I22:I29">
    <cfRule type="cellIs" dxfId="762" priority="798" operator="lessThan">
      <formula>0</formula>
    </cfRule>
  </conditionalFormatting>
  <conditionalFormatting sqref="I22:I29">
    <cfRule type="cellIs" dxfId="761" priority="797" operator="lessThan">
      <formula>0</formula>
    </cfRule>
  </conditionalFormatting>
  <conditionalFormatting sqref="I22:I29">
    <cfRule type="cellIs" dxfId="760" priority="796" operator="lessThan">
      <formula>0</formula>
    </cfRule>
  </conditionalFormatting>
  <conditionalFormatting sqref="I22:I29">
    <cfRule type="cellIs" dxfId="759" priority="795" operator="lessThan">
      <formula>0</formula>
    </cfRule>
  </conditionalFormatting>
  <conditionalFormatting sqref="I22:I29">
    <cfRule type="cellIs" dxfId="758" priority="794" operator="lessThan">
      <formula>0</formula>
    </cfRule>
  </conditionalFormatting>
  <conditionalFormatting sqref="I22:I29">
    <cfRule type="cellIs" dxfId="757" priority="793" operator="lessThan">
      <formula>0</formula>
    </cfRule>
  </conditionalFormatting>
  <conditionalFormatting sqref="I22:I29">
    <cfRule type="cellIs" dxfId="756" priority="792" operator="lessThan">
      <formula>0</formula>
    </cfRule>
  </conditionalFormatting>
  <conditionalFormatting sqref="I22:I29">
    <cfRule type="cellIs" dxfId="755" priority="791" operator="lessThan">
      <formula>0</formula>
    </cfRule>
  </conditionalFormatting>
  <conditionalFormatting sqref="I22:I29">
    <cfRule type="cellIs" dxfId="754" priority="790" operator="lessThan">
      <formula>0</formula>
    </cfRule>
  </conditionalFormatting>
  <conditionalFormatting sqref="I22:I29">
    <cfRule type="cellIs" dxfId="753" priority="789" operator="lessThan">
      <formula>0</formula>
    </cfRule>
  </conditionalFormatting>
  <conditionalFormatting sqref="I22:I29">
    <cfRule type="cellIs" dxfId="752" priority="788" operator="lessThan">
      <formula>0</formula>
    </cfRule>
  </conditionalFormatting>
  <conditionalFormatting sqref="I22:I29">
    <cfRule type="cellIs" dxfId="751" priority="787" operator="lessThan">
      <formula>0</formula>
    </cfRule>
  </conditionalFormatting>
  <conditionalFormatting sqref="I22:I29">
    <cfRule type="cellIs" dxfId="750" priority="786" operator="lessThan">
      <formula>0</formula>
    </cfRule>
  </conditionalFormatting>
  <conditionalFormatting sqref="I22:I29">
    <cfRule type="cellIs" dxfId="749" priority="785" operator="lessThan">
      <formula>0</formula>
    </cfRule>
  </conditionalFormatting>
  <conditionalFormatting sqref="I22:I29">
    <cfRule type="cellIs" dxfId="748" priority="784" operator="lessThan">
      <formula>0</formula>
    </cfRule>
  </conditionalFormatting>
  <conditionalFormatting sqref="I22:I29">
    <cfRule type="cellIs" dxfId="747" priority="783" operator="lessThan">
      <formula>0</formula>
    </cfRule>
  </conditionalFormatting>
  <conditionalFormatting sqref="I22:I29">
    <cfRule type="cellIs" dxfId="746" priority="782" operator="lessThan">
      <formula>0</formula>
    </cfRule>
  </conditionalFormatting>
  <conditionalFormatting sqref="I22:I29">
    <cfRule type="cellIs" dxfId="745" priority="781" operator="lessThan">
      <formula>0</formula>
    </cfRule>
  </conditionalFormatting>
  <conditionalFormatting sqref="I22:I29">
    <cfRule type="cellIs" dxfId="744" priority="780" operator="lessThan">
      <formula>0</formula>
    </cfRule>
  </conditionalFormatting>
  <conditionalFormatting sqref="I22:I29">
    <cfRule type="cellIs" dxfId="743" priority="779" operator="lessThan">
      <formula>0</formula>
    </cfRule>
  </conditionalFormatting>
  <conditionalFormatting sqref="I22:I29">
    <cfRule type="cellIs" dxfId="742" priority="778" operator="lessThan">
      <formula>0</formula>
    </cfRule>
  </conditionalFormatting>
  <conditionalFormatting sqref="I22:I29">
    <cfRule type="cellIs" dxfId="741" priority="777" operator="lessThan">
      <formula>0</formula>
    </cfRule>
  </conditionalFormatting>
  <conditionalFormatting sqref="I22:I29">
    <cfRule type="cellIs" dxfId="740" priority="776" operator="lessThan">
      <formula>0</formula>
    </cfRule>
  </conditionalFormatting>
  <conditionalFormatting sqref="I22:I29">
    <cfRule type="cellIs" dxfId="739" priority="775" operator="lessThan">
      <formula>0</formula>
    </cfRule>
  </conditionalFormatting>
  <conditionalFormatting sqref="I22:I29">
    <cfRule type="cellIs" dxfId="738" priority="774" operator="lessThan">
      <formula>0</formula>
    </cfRule>
  </conditionalFormatting>
  <conditionalFormatting sqref="I22:I29">
    <cfRule type="cellIs" dxfId="737" priority="773" operator="lessThan">
      <formula>0</formula>
    </cfRule>
  </conditionalFormatting>
  <conditionalFormatting sqref="I22:I29">
    <cfRule type="cellIs" dxfId="736" priority="772" operator="lessThan">
      <formula>0</formula>
    </cfRule>
  </conditionalFormatting>
  <conditionalFormatting sqref="I22:I29">
    <cfRule type="cellIs" dxfId="735" priority="771" operator="lessThan">
      <formula>0</formula>
    </cfRule>
  </conditionalFormatting>
  <conditionalFormatting sqref="I22:I29">
    <cfRule type="cellIs" dxfId="734" priority="770" operator="lessThan">
      <formula>0</formula>
    </cfRule>
  </conditionalFormatting>
  <conditionalFormatting sqref="I22:I29">
    <cfRule type="cellIs" dxfId="733" priority="769" operator="lessThan">
      <formula>0</formula>
    </cfRule>
  </conditionalFormatting>
  <conditionalFormatting sqref="I22:I29">
    <cfRule type="cellIs" dxfId="732" priority="768" operator="lessThan">
      <formula>0</formula>
    </cfRule>
  </conditionalFormatting>
  <conditionalFormatting sqref="I22:I29">
    <cfRule type="cellIs" dxfId="731" priority="767" operator="lessThan">
      <formula>0</formula>
    </cfRule>
  </conditionalFormatting>
  <conditionalFormatting sqref="I22:I29">
    <cfRule type="cellIs" dxfId="730" priority="766" operator="lessThan">
      <formula>0</formula>
    </cfRule>
  </conditionalFormatting>
  <conditionalFormatting sqref="I22:I29">
    <cfRule type="cellIs" dxfId="729" priority="765" operator="lessThan">
      <formula>0</formula>
    </cfRule>
  </conditionalFormatting>
  <conditionalFormatting sqref="I22:I29">
    <cfRule type="cellIs" dxfId="728" priority="764" operator="lessThan">
      <formula>0</formula>
    </cfRule>
  </conditionalFormatting>
  <conditionalFormatting sqref="I22:I29">
    <cfRule type="cellIs" dxfId="727" priority="763" operator="lessThan">
      <formula>0</formula>
    </cfRule>
  </conditionalFormatting>
  <conditionalFormatting sqref="I22:I29">
    <cfRule type="cellIs" dxfId="726" priority="762" operator="lessThan">
      <formula>0</formula>
    </cfRule>
  </conditionalFormatting>
  <conditionalFormatting sqref="I22:I29">
    <cfRule type="cellIs" dxfId="725" priority="761" operator="lessThan">
      <formula>0</formula>
    </cfRule>
  </conditionalFormatting>
  <conditionalFormatting sqref="I22:I29">
    <cfRule type="cellIs" dxfId="724" priority="760" operator="lessThan">
      <formula>0</formula>
    </cfRule>
  </conditionalFormatting>
  <conditionalFormatting sqref="I22:I29">
    <cfRule type="cellIs" dxfId="723" priority="759" operator="lessThan">
      <formula>0</formula>
    </cfRule>
  </conditionalFormatting>
  <conditionalFormatting sqref="I22:I29">
    <cfRule type="cellIs" dxfId="722" priority="758" operator="lessThan">
      <formula>0</formula>
    </cfRule>
  </conditionalFormatting>
  <conditionalFormatting sqref="I22:I29">
    <cfRule type="cellIs" dxfId="721" priority="757" operator="lessThan">
      <formula>0</formula>
    </cfRule>
  </conditionalFormatting>
  <conditionalFormatting sqref="I22:I29">
    <cfRule type="cellIs" dxfId="720" priority="756" operator="lessThan">
      <formula>0</formula>
    </cfRule>
  </conditionalFormatting>
  <conditionalFormatting sqref="I22:I29">
    <cfRule type="cellIs" dxfId="719" priority="755" operator="lessThan">
      <formula>0</formula>
    </cfRule>
  </conditionalFormatting>
  <conditionalFormatting sqref="I22:I29">
    <cfRule type="cellIs" dxfId="718" priority="754" operator="lessThan">
      <formula>0</formula>
    </cfRule>
  </conditionalFormatting>
  <conditionalFormatting sqref="I22:I29">
    <cfRule type="cellIs" dxfId="717" priority="753" operator="lessThan">
      <formula>0</formula>
    </cfRule>
  </conditionalFormatting>
  <conditionalFormatting sqref="I22:I29">
    <cfRule type="cellIs" dxfId="716" priority="752" operator="lessThan">
      <formula>0</formula>
    </cfRule>
  </conditionalFormatting>
  <conditionalFormatting sqref="I22:I29">
    <cfRule type="cellIs" dxfId="715" priority="751" operator="lessThan">
      <formula>0</formula>
    </cfRule>
  </conditionalFormatting>
  <conditionalFormatting sqref="I22:I29">
    <cfRule type="cellIs" dxfId="714" priority="750" operator="lessThan">
      <formula>0</formula>
    </cfRule>
  </conditionalFormatting>
  <conditionalFormatting sqref="I22:I29">
    <cfRule type="cellIs" dxfId="713" priority="749" operator="lessThan">
      <formula>0</formula>
    </cfRule>
  </conditionalFormatting>
  <conditionalFormatting sqref="I22:I29">
    <cfRule type="cellIs" dxfId="712" priority="748" operator="lessThan">
      <formula>0</formula>
    </cfRule>
  </conditionalFormatting>
  <conditionalFormatting sqref="I22:I29">
    <cfRule type="cellIs" dxfId="711" priority="747" operator="lessThan">
      <formula>0</formula>
    </cfRule>
  </conditionalFormatting>
  <conditionalFormatting sqref="I22:I29">
    <cfRule type="cellIs" dxfId="710" priority="746" operator="lessThan">
      <formula>0</formula>
    </cfRule>
  </conditionalFormatting>
  <conditionalFormatting sqref="I22:I29">
    <cfRule type="cellIs" dxfId="709" priority="745" operator="lessThan">
      <formula>0</formula>
    </cfRule>
  </conditionalFormatting>
  <conditionalFormatting sqref="I22:I29">
    <cfRule type="cellIs" dxfId="708" priority="744" operator="lessThan">
      <formula>0</formula>
    </cfRule>
  </conditionalFormatting>
  <conditionalFormatting sqref="I22:I29">
    <cfRule type="cellIs" dxfId="707" priority="743" operator="lessThan">
      <formula>0</formula>
    </cfRule>
  </conditionalFormatting>
  <conditionalFormatting sqref="I22:I29">
    <cfRule type="cellIs" dxfId="706" priority="742" operator="lessThan">
      <formula>0</formula>
    </cfRule>
  </conditionalFormatting>
  <conditionalFormatting sqref="I22:I29">
    <cfRule type="cellIs" dxfId="705" priority="741" operator="lessThan">
      <formula>0</formula>
    </cfRule>
  </conditionalFormatting>
  <conditionalFormatting sqref="I22:I29">
    <cfRule type="cellIs" dxfId="704" priority="740" operator="lessThan">
      <formula>0</formula>
    </cfRule>
  </conditionalFormatting>
  <conditionalFormatting sqref="I22:I29">
    <cfRule type="cellIs" dxfId="703" priority="739" operator="lessThan">
      <formula>0</formula>
    </cfRule>
  </conditionalFormatting>
  <conditionalFormatting sqref="I22:I29">
    <cfRule type="cellIs" dxfId="702" priority="738" operator="lessThan">
      <formula>0</formula>
    </cfRule>
  </conditionalFormatting>
  <conditionalFormatting sqref="I22:I29">
    <cfRule type="cellIs" dxfId="701" priority="737" operator="lessThan">
      <formula>0</formula>
    </cfRule>
  </conditionalFormatting>
  <conditionalFormatting sqref="I22:I29">
    <cfRule type="cellIs" dxfId="700" priority="736" operator="lessThan">
      <formula>0</formula>
    </cfRule>
  </conditionalFormatting>
  <conditionalFormatting sqref="I22:I29">
    <cfRule type="cellIs" dxfId="699" priority="735" operator="lessThan">
      <formula>0</formula>
    </cfRule>
  </conditionalFormatting>
  <conditionalFormatting sqref="I22:I29">
    <cfRule type="cellIs" dxfId="698" priority="734" operator="lessThan">
      <formula>0</formula>
    </cfRule>
  </conditionalFormatting>
  <conditionalFormatting sqref="I22:I29">
    <cfRule type="cellIs" dxfId="697" priority="733" operator="lessThan">
      <formula>0</formula>
    </cfRule>
  </conditionalFormatting>
  <conditionalFormatting sqref="I22:I29">
    <cfRule type="cellIs" dxfId="696" priority="732" operator="lessThan">
      <formula>0</formula>
    </cfRule>
  </conditionalFormatting>
  <conditionalFormatting sqref="I22:I29">
    <cfRule type="cellIs" dxfId="695" priority="731" operator="lessThan">
      <formula>0</formula>
    </cfRule>
  </conditionalFormatting>
  <conditionalFormatting sqref="I22:I29">
    <cfRule type="cellIs" dxfId="694" priority="730" operator="lessThan">
      <formula>0</formula>
    </cfRule>
  </conditionalFormatting>
  <conditionalFormatting sqref="I22:I29">
    <cfRule type="cellIs" dxfId="693" priority="729" operator="lessThan">
      <formula>0</formula>
    </cfRule>
  </conditionalFormatting>
  <conditionalFormatting sqref="I22:I29">
    <cfRule type="cellIs" dxfId="692" priority="728" operator="lessThan">
      <formula>0</formula>
    </cfRule>
  </conditionalFormatting>
  <conditionalFormatting sqref="I22:I29">
    <cfRule type="cellIs" dxfId="691" priority="727" operator="lessThan">
      <formula>0</formula>
    </cfRule>
  </conditionalFormatting>
  <conditionalFormatting sqref="I22:I29">
    <cfRule type="cellIs" dxfId="690" priority="726" operator="lessThan">
      <formula>0</formula>
    </cfRule>
  </conditionalFormatting>
  <conditionalFormatting sqref="I22:I29">
    <cfRule type="cellIs" dxfId="689" priority="725" operator="lessThan">
      <formula>0</formula>
    </cfRule>
  </conditionalFormatting>
  <conditionalFormatting sqref="I22:I29">
    <cfRule type="cellIs" dxfId="688" priority="724" operator="lessThan">
      <formula>0</formula>
    </cfRule>
  </conditionalFormatting>
  <conditionalFormatting sqref="I22:I29">
    <cfRule type="cellIs" dxfId="687" priority="723" operator="lessThan">
      <formula>0</formula>
    </cfRule>
  </conditionalFormatting>
  <conditionalFormatting sqref="I22:I29">
    <cfRule type="cellIs" dxfId="686" priority="722" operator="lessThan">
      <formula>0</formula>
    </cfRule>
  </conditionalFormatting>
  <conditionalFormatting sqref="I22:I29">
    <cfRule type="cellIs" dxfId="685" priority="721" operator="lessThan">
      <formula>0</formula>
    </cfRule>
  </conditionalFormatting>
  <conditionalFormatting sqref="I22:I29">
    <cfRule type="cellIs" dxfId="684" priority="720" operator="lessThan">
      <formula>0</formula>
    </cfRule>
  </conditionalFormatting>
  <conditionalFormatting sqref="I22:I29">
    <cfRule type="cellIs" dxfId="683" priority="719" operator="lessThan">
      <formula>0</formula>
    </cfRule>
  </conditionalFormatting>
  <conditionalFormatting sqref="I22:I29">
    <cfRule type="cellIs" dxfId="682" priority="718" operator="lessThan">
      <formula>0</formula>
    </cfRule>
  </conditionalFormatting>
  <conditionalFormatting sqref="I22:I29">
    <cfRule type="cellIs" dxfId="681" priority="717" operator="lessThan">
      <formula>0</formula>
    </cfRule>
  </conditionalFormatting>
  <conditionalFormatting sqref="I22:I29">
    <cfRule type="cellIs" dxfId="680" priority="716" operator="lessThan">
      <formula>0</formula>
    </cfRule>
  </conditionalFormatting>
  <conditionalFormatting sqref="I22:I29">
    <cfRule type="cellIs" dxfId="679" priority="715" operator="lessThan">
      <formula>0</formula>
    </cfRule>
  </conditionalFormatting>
  <conditionalFormatting sqref="I22:I29">
    <cfRule type="cellIs" dxfId="678" priority="714" operator="lessThan">
      <formula>0</formula>
    </cfRule>
  </conditionalFormatting>
  <conditionalFormatting sqref="I22:I29">
    <cfRule type="cellIs" dxfId="677" priority="713" operator="lessThan">
      <formula>0</formula>
    </cfRule>
  </conditionalFormatting>
  <conditionalFormatting sqref="I22:I29">
    <cfRule type="cellIs" dxfId="676" priority="712" operator="lessThan">
      <formula>0</formula>
    </cfRule>
  </conditionalFormatting>
  <conditionalFormatting sqref="I22:I29">
    <cfRule type="cellIs" dxfId="675" priority="711" operator="lessThan">
      <formula>0</formula>
    </cfRule>
  </conditionalFormatting>
  <conditionalFormatting sqref="I22:I29">
    <cfRule type="cellIs" dxfId="674" priority="710" operator="lessThan">
      <formula>0</formula>
    </cfRule>
  </conditionalFormatting>
  <conditionalFormatting sqref="I22:I29">
    <cfRule type="cellIs" dxfId="673" priority="709" operator="lessThan">
      <formula>0</formula>
    </cfRule>
  </conditionalFormatting>
  <conditionalFormatting sqref="I22:I29">
    <cfRule type="cellIs" dxfId="672" priority="708" operator="lessThan">
      <formula>0</formula>
    </cfRule>
  </conditionalFormatting>
  <conditionalFormatting sqref="I22:I29">
    <cfRule type="cellIs" dxfId="671" priority="707" operator="lessThan">
      <formula>0</formula>
    </cfRule>
  </conditionalFormatting>
  <conditionalFormatting sqref="I22:I29">
    <cfRule type="cellIs" dxfId="670" priority="706" operator="lessThan">
      <formula>0</formula>
    </cfRule>
  </conditionalFormatting>
  <conditionalFormatting sqref="I22:I29">
    <cfRule type="cellIs" dxfId="669" priority="705" operator="lessThan">
      <formula>0</formula>
    </cfRule>
  </conditionalFormatting>
  <conditionalFormatting sqref="I22:I29">
    <cfRule type="cellIs" dxfId="668" priority="704" operator="lessThan">
      <formula>0</formula>
    </cfRule>
  </conditionalFormatting>
  <conditionalFormatting sqref="I22:I29">
    <cfRule type="cellIs" dxfId="667" priority="703" operator="lessThan">
      <formula>0</formula>
    </cfRule>
  </conditionalFormatting>
  <conditionalFormatting sqref="I22:I29">
    <cfRule type="cellIs" dxfId="666" priority="702" operator="lessThan">
      <formula>0</formula>
    </cfRule>
  </conditionalFormatting>
  <conditionalFormatting sqref="I22:I29">
    <cfRule type="cellIs" dxfId="665" priority="701" operator="lessThan">
      <formula>0</formula>
    </cfRule>
  </conditionalFormatting>
  <conditionalFormatting sqref="I22:I29">
    <cfRule type="cellIs" dxfId="664" priority="700" operator="lessThan">
      <formula>0</formula>
    </cfRule>
  </conditionalFormatting>
  <conditionalFormatting sqref="I22:I29">
    <cfRule type="cellIs" dxfId="663" priority="699" operator="lessThan">
      <formula>0</formula>
    </cfRule>
  </conditionalFormatting>
  <conditionalFormatting sqref="I22:I29">
    <cfRule type="cellIs" dxfId="662" priority="698" operator="lessThan">
      <formula>0</formula>
    </cfRule>
  </conditionalFormatting>
  <conditionalFormatting sqref="I22:I29">
    <cfRule type="cellIs" dxfId="661" priority="697" operator="lessThan">
      <formula>0</formula>
    </cfRule>
  </conditionalFormatting>
  <conditionalFormatting sqref="I22:I29">
    <cfRule type="cellIs" dxfId="660" priority="696" operator="lessThan">
      <formula>0</formula>
    </cfRule>
  </conditionalFormatting>
  <conditionalFormatting sqref="I22:I29">
    <cfRule type="cellIs" dxfId="659" priority="695" operator="lessThan">
      <formula>0</formula>
    </cfRule>
  </conditionalFormatting>
  <conditionalFormatting sqref="I22:I29">
    <cfRule type="cellIs" dxfId="658" priority="694" operator="lessThan">
      <formula>0</formula>
    </cfRule>
  </conditionalFormatting>
  <conditionalFormatting sqref="I22:I29">
    <cfRule type="cellIs" dxfId="657" priority="693" operator="lessThan">
      <formula>0</formula>
    </cfRule>
  </conditionalFormatting>
  <conditionalFormatting sqref="I22:I29">
    <cfRule type="cellIs" dxfId="656" priority="692" operator="lessThan">
      <formula>0</formula>
    </cfRule>
  </conditionalFormatting>
  <conditionalFormatting sqref="I22:I29">
    <cfRule type="cellIs" dxfId="655" priority="691" operator="lessThan">
      <formula>0</formula>
    </cfRule>
  </conditionalFormatting>
  <conditionalFormatting sqref="I22:I29">
    <cfRule type="cellIs" dxfId="654" priority="690" operator="lessThan">
      <formula>0</formula>
    </cfRule>
  </conditionalFormatting>
  <conditionalFormatting sqref="I22:I29">
    <cfRule type="cellIs" dxfId="653" priority="689" operator="lessThan">
      <formula>0</formula>
    </cfRule>
  </conditionalFormatting>
  <conditionalFormatting sqref="I22:I29">
    <cfRule type="cellIs" dxfId="652" priority="688" operator="lessThan">
      <formula>0</formula>
    </cfRule>
  </conditionalFormatting>
  <conditionalFormatting sqref="I22:I29">
    <cfRule type="cellIs" dxfId="651" priority="687" operator="lessThan">
      <formula>0</formula>
    </cfRule>
  </conditionalFormatting>
  <conditionalFormatting sqref="I22:I29">
    <cfRule type="cellIs" dxfId="650" priority="686" operator="lessThan">
      <formula>0</formula>
    </cfRule>
  </conditionalFormatting>
  <conditionalFormatting sqref="I22:I29">
    <cfRule type="cellIs" dxfId="649" priority="685" operator="lessThan">
      <formula>0</formula>
    </cfRule>
  </conditionalFormatting>
  <conditionalFormatting sqref="I22:I29">
    <cfRule type="cellIs" dxfId="648" priority="684" operator="lessThan">
      <formula>0</formula>
    </cfRule>
  </conditionalFormatting>
  <conditionalFormatting sqref="I22:I29">
    <cfRule type="cellIs" dxfId="647" priority="683" operator="lessThan">
      <formula>0</formula>
    </cfRule>
  </conditionalFormatting>
  <conditionalFormatting sqref="I22:I29">
    <cfRule type="cellIs" dxfId="646" priority="682" operator="lessThan">
      <formula>0</formula>
    </cfRule>
  </conditionalFormatting>
  <conditionalFormatting sqref="I22:I29">
    <cfRule type="cellIs" dxfId="645" priority="681" operator="lessThan">
      <formula>0</formula>
    </cfRule>
  </conditionalFormatting>
  <conditionalFormatting sqref="I22:I29">
    <cfRule type="cellIs" dxfId="644" priority="680" operator="lessThan">
      <formula>0</formula>
    </cfRule>
  </conditionalFormatting>
  <conditionalFormatting sqref="I22:I29">
    <cfRule type="cellIs" dxfId="643" priority="679" operator="lessThan">
      <formula>0</formula>
    </cfRule>
  </conditionalFormatting>
  <conditionalFormatting sqref="I22:I29">
    <cfRule type="cellIs" dxfId="642" priority="678" operator="lessThan">
      <formula>0</formula>
    </cfRule>
  </conditionalFormatting>
  <conditionalFormatting sqref="I22:I29">
    <cfRule type="cellIs" dxfId="641" priority="677" operator="lessThan">
      <formula>0</formula>
    </cfRule>
  </conditionalFormatting>
  <conditionalFormatting sqref="I22:I29">
    <cfRule type="cellIs" dxfId="640" priority="676" operator="lessThan">
      <formula>0</formula>
    </cfRule>
  </conditionalFormatting>
  <conditionalFormatting sqref="I22:I29">
    <cfRule type="cellIs" dxfId="639" priority="675" operator="lessThan">
      <formula>0</formula>
    </cfRule>
  </conditionalFormatting>
  <conditionalFormatting sqref="I22:I29">
    <cfRule type="cellIs" dxfId="638" priority="674" operator="lessThan">
      <formula>0</formula>
    </cfRule>
  </conditionalFormatting>
  <conditionalFormatting sqref="I22:I29">
    <cfRule type="cellIs" dxfId="637" priority="673" operator="lessThan">
      <formula>0</formula>
    </cfRule>
  </conditionalFormatting>
  <conditionalFormatting sqref="I22:I29">
    <cfRule type="cellIs" dxfId="636" priority="672" operator="lessThan">
      <formula>0</formula>
    </cfRule>
  </conditionalFormatting>
  <conditionalFormatting sqref="I22:I29">
    <cfRule type="cellIs" dxfId="635" priority="671" operator="lessThan">
      <formula>0</formula>
    </cfRule>
  </conditionalFormatting>
  <conditionalFormatting sqref="I22:I29">
    <cfRule type="cellIs" dxfId="634" priority="670" operator="lessThan">
      <formula>0</formula>
    </cfRule>
  </conditionalFormatting>
  <conditionalFormatting sqref="I22:I29">
    <cfRule type="cellIs" dxfId="633" priority="669" operator="lessThan">
      <formula>0</formula>
    </cfRule>
  </conditionalFormatting>
  <conditionalFormatting sqref="I22:I29">
    <cfRule type="cellIs" dxfId="632" priority="668" operator="lessThan">
      <formula>0</formula>
    </cfRule>
  </conditionalFormatting>
  <conditionalFormatting sqref="I22:I29">
    <cfRule type="cellIs" dxfId="631" priority="667" operator="lessThan">
      <formula>0</formula>
    </cfRule>
  </conditionalFormatting>
  <conditionalFormatting sqref="I22:I29">
    <cfRule type="cellIs" dxfId="630" priority="666" operator="lessThan">
      <formula>0</formula>
    </cfRule>
  </conditionalFormatting>
  <conditionalFormatting sqref="I22:I29">
    <cfRule type="cellIs" dxfId="629" priority="665" operator="lessThan">
      <formula>0</formula>
    </cfRule>
  </conditionalFormatting>
  <conditionalFormatting sqref="I22:I29">
    <cfRule type="cellIs" dxfId="628" priority="664" operator="lessThan">
      <formula>0</formula>
    </cfRule>
  </conditionalFormatting>
  <conditionalFormatting sqref="I22:I29">
    <cfRule type="cellIs" dxfId="627" priority="663" operator="lessThan">
      <formula>0</formula>
    </cfRule>
  </conditionalFormatting>
  <conditionalFormatting sqref="I22:I29">
    <cfRule type="cellIs" dxfId="626" priority="662" operator="lessThan">
      <formula>0</formula>
    </cfRule>
  </conditionalFormatting>
  <conditionalFormatting sqref="I22:I29">
    <cfRule type="cellIs" dxfId="625" priority="661" operator="lessThan">
      <formula>0</formula>
    </cfRule>
  </conditionalFormatting>
  <conditionalFormatting sqref="I22:I29">
    <cfRule type="cellIs" dxfId="624" priority="660" operator="lessThan">
      <formula>0</formula>
    </cfRule>
  </conditionalFormatting>
  <conditionalFormatting sqref="I22:I29">
    <cfRule type="cellIs" dxfId="623" priority="659" operator="lessThan">
      <formula>0</formula>
    </cfRule>
  </conditionalFormatting>
  <conditionalFormatting sqref="I22:I29">
    <cfRule type="cellIs" dxfId="622" priority="658" operator="lessThan">
      <formula>0</formula>
    </cfRule>
  </conditionalFormatting>
  <conditionalFormatting sqref="I22:I29">
    <cfRule type="cellIs" dxfId="621" priority="657" operator="lessThan">
      <formula>0</formula>
    </cfRule>
  </conditionalFormatting>
  <conditionalFormatting sqref="I22:I29">
    <cfRule type="cellIs" dxfId="620" priority="656" operator="lessThan">
      <formula>0</formula>
    </cfRule>
  </conditionalFormatting>
  <conditionalFormatting sqref="I22:I29">
    <cfRule type="cellIs" dxfId="619" priority="655" operator="lessThan">
      <formula>0</formula>
    </cfRule>
  </conditionalFormatting>
  <conditionalFormatting sqref="I22:I29">
    <cfRule type="cellIs" dxfId="618" priority="654" operator="lessThan">
      <formula>0</formula>
    </cfRule>
  </conditionalFormatting>
  <conditionalFormatting sqref="I22:I29">
    <cfRule type="cellIs" dxfId="617" priority="653" operator="lessThan">
      <formula>0</formula>
    </cfRule>
  </conditionalFormatting>
  <conditionalFormatting sqref="I22:I29">
    <cfRule type="cellIs" dxfId="616" priority="652" operator="lessThan">
      <formula>0</formula>
    </cfRule>
  </conditionalFormatting>
  <conditionalFormatting sqref="I22:I29">
    <cfRule type="cellIs" dxfId="615" priority="651" operator="lessThan">
      <formula>0</formula>
    </cfRule>
  </conditionalFormatting>
  <conditionalFormatting sqref="I22:I29">
    <cfRule type="cellIs" dxfId="614" priority="650" operator="lessThan">
      <formula>0</formula>
    </cfRule>
  </conditionalFormatting>
  <conditionalFormatting sqref="I22:I29">
    <cfRule type="cellIs" dxfId="613" priority="649" operator="lessThan">
      <formula>0</formula>
    </cfRule>
  </conditionalFormatting>
  <conditionalFormatting sqref="I22:I29">
    <cfRule type="cellIs" dxfId="612" priority="648" operator="lessThan">
      <formula>0</formula>
    </cfRule>
  </conditionalFormatting>
  <conditionalFormatting sqref="I22:I29">
    <cfRule type="cellIs" dxfId="611" priority="647" operator="lessThan">
      <formula>0</formula>
    </cfRule>
  </conditionalFormatting>
  <conditionalFormatting sqref="I22:I29">
    <cfRule type="cellIs" dxfId="610" priority="646" operator="lessThan">
      <formula>0</formula>
    </cfRule>
  </conditionalFormatting>
  <conditionalFormatting sqref="I22:I29">
    <cfRule type="cellIs" dxfId="609" priority="645" operator="lessThan">
      <formula>0</formula>
    </cfRule>
  </conditionalFormatting>
  <conditionalFormatting sqref="I22:I29">
    <cfRule type="cellIs" dxfId="608" priority="644" operator="lessThan">
      <formula>0</formula>
    </cfRule>
  </conditionalFormatting>
  <conditionalFormatting sqref="I22:I29">
    <cfRule type="cellIs" dxfId="607" priority="643" operator="lessThan">
      <formula>0</formula>
    </cfRule>
  </conditionalFormatting>
  <conditionalFormatting sqref="I22:I29">
    <cfRule type="cellIs" dxfId="606" priority="642" operator="lessThan">
      <formula>0</formula>
    </cfRule>
  </conditionalFormatting>
  <conditionalFormatting sqref="I22:I29">
    <cfRule type="cellIs" dxfId="605" priority="641" operator="lessThan">
      <formula>0</formula>
    </cfRule>
  </conditionalFormatting>
  <conditionalFormatting sqref="I22:I29">
    <cfRule type="cellIs" dxfId="604" priority="640" operator="lessThan">
      <formula>0</formula>
    </cfRule>
  </conditionalFormatting>
  <conditionalFormatting sqref="I22:I29">
    <cfRule type="cellIs" dxfId="603" priority="639" operator="lessThan">
      <formula>0</formula>
    </cfRule>
  </conditionalFormatting>
  <conditionalFormatting sqref="I22:I29">
    <cfRule type="cellIs" dxfId="602" priority="638" operator="lessThan">
      <formula>0</formula>
    </cfRule>
  </conditionalFormatting>
  <conditionalFormatting sqref="I22:I29">
    <cfRule type="cellIs" dxfId="601" priority="637" operator="lessThan">
      <formula>0</formula>
    </cfRule>
  </conditionalFormatting>
  <conditionalFormatting sqref="I22:I29">
    <cfRule type="cellIs" dxfId="600" priority="636" operator="lessThan">
      <formula>0</formula>
    </cfRule>
  </conditionalFormatting>
  <conditionalFormatting sqref="I22:I29">
    <cfRule type="cellIs" dxfId="599" priority="635" operator="lessThan">
      <formula>0</formula>
    </cfRule>
  </conditionalFormatting>
  <conditionalFormatting sqref="I22:I29">
    <cfRule type="cellIs" dxfId="598" priority="634" operator="lessThan">
      <formula>0</formula>
    </cfRule>
  </conditionalFormatting>
  <conditionalFormatting sqref="I22:I29">
    <cfRule type="cellIs" dxfId="597" priority="633" operator="lessThan">
      <formula>0</formula>
    </cfRule>
  </conditionalFormatting>
  <conditionalFormatting sqref="I22:I29">
    <cfRule type="cellIs" dxfId="596" priority="632" operator="lessThan">
      <formula>0</formula>
    </cfRule>
  </conditionalFormatting>
  <conditionalFormatting sqref="I22:I29">
    <cfRule type="cellIs" dxfId="595" priority="631" operator="lessThan">
      <formula>0</formula>
    </cfRule>
  </conditionalFormatting>
  <conditionalFormatting sqref="I22:I29">
    <cfRule type="cellIs" dxfId="594" priority="630" operator="lessThan">
      <formula>0</formula>
    </cfRule>
  </conditionalFormatting>
  <conditionalFormatting sqref="I22:I29">
    <cfRule type="cellIs" dxfId="593" priority="629" operator="lessThan">
      <formula>0</formula>
    </cfRule>
  </conditionalFormatting>
  <conditionalFormatting sqref="I22:I29">
    <cfRule type="cellIs" dxfId="592" priority="628" operator="lessThan">
      <formula>0</formula>
    </cfRule>
  </conditionalFormatting>
  <conditionalFormatting sqref="I22:I29">
    <cfRule type="cellIs" dxfId="591" priority="627" operator="lessThan">
      <formula>0</formula>
    </cfRule>
  </conditionalFormatting>
  <conditionalFormatting sqref="I22:I29">
    <cfRule type="cellIs" dxfId="590" priority="626" operator="lessThan">
      <formula>0</formula>
    </cfRule>
  </conditionalFormatting>
  <conditionalFormatting sqref="I22:I29">
    <cfRule type="cellIs" dxfId="589" priority="625" operator="lessThan">
      <formula>0</formula>
    </cfRule>
  </conditionalFormatting>
  <conditionalFormatting sqref="I22:I29">
    <cfRule type="cellIs" dxfId="588" priority="624" operator="lessThan">
      <formula>0</formula>
    </cfRule>
  </conditionalFormatting>
  <conditionalFormatting sqref="I22:I29">
    <cfRule type="cellIs" dxfId="587" priority="623" operator="lessThan">
      <formula>0</formula>
    </cfRule>
  </conditionalFormatting>
  <conditionalFormatting sqref="I22:I29">
    <cfRule type="cellIs" dxfId="586" priority="622" operator="lessThan">
      <formula>0</formula>
    </cfRule>
  </conditionalFormatting>
  <conditionalFormatting sqref="I22:I29">
    <cfRule type="cellIs" dxfId="585" priority="621" operator="lessThan">
      <formula>0</formula>
    </cfRule>
  </conditionalFormatting>
  <conditionalFormatting sqref="I22:I29">
    <cfRule type="cellIs" dxfId="584" priority="620" operator="lessThan">
      <formula>0</formula>
    </cfRule>
  </conditionalFormatting>
  <conditionalFormatting sqref="I22:I29">
    <cfRule type="cellIs" dxfId="583" priority="619" operator="lessThan">
      <formula>0</formula>
    </cfRule>
  </conditionalFormatting>
  <conditionalFormatting sqref="I22:I29">
    <cfRule type="cellIs" dxfId="582" priority="618" operator="lessThan">
      <formula>0</formula>
    </cfRule>
  </conditionalFormatting>
  <conditionalFormatting sqref="I22:I29">
    <cfRule type="cellIs" dxfId="581" priority="617" operator="lessThan">
      <formula>0</formula>
    </cfRule>
  </conditionalFormatting>
  <conditionalFormatting sqref="I22:I29">
    <cfRule type="cellIs" dxfId="580" priority="616" operator="lessThan">
      <formula>0</formula>
    </cfRule>
  </conditionalFormatting>
  <conditionalFormatting sqref="I22:I29">
    <cfRule type="cellIs" dxfId="579" priority="615" operator="lessThan">
      <formula>0</formula>
    </cfRule>
  </conditionalFormatting>
  <conditionalFormatting sqref="I22:I29">
    <cfRule type="cellIs" dxfId="578" priority="614" operator="lessThan">
      <formula>0</formula>
    </cfRule>
  </conditionalFormatting>
  <conditionalFormatting sqref="I22:I29">
    <cfRule type="cellIs" dxfId="577" priority="613" operator="lessThan">
      <formula>0</formula>
    </cfRule>
  </conditionalFormatting>
  <conditionalFormatting sqref="I22:I29">
    <cfRule type="cellIs" dxfId="576" priority="612" operator="lessThan">
      <formula>0</formula>
    </cfRule>
  </conditionalFormatting>
  <conditionalFormatting sqref="I22:I29">
    <cfRule type="cellIs" dxfId="575" priority="611" operator="lessThan">
      <formula>0</formula>
    </cfRule>
  </conditionalFormatting>
  <conditionalFormatting sqref="I22:I29">
    <cfRule type="cellIs" dxfId="574" priority="610" operator="lessThan">
      <formula>0</formula>
    </cfRule>
  </conditionalFormatting>
  <conditionalFormatting sqref="I22:I29">
    <cfRule type="cellIs" dxfId="573" priority="609" operator="lessThan">
      <formula>0</formula>
    </cfRule>
  </conditionalFormatting>
  <conditionalFormatting sqref="I22:I29">
    <cfRule type="cellIs" dxfId="572" priority="608" operator="lessThan">
      <formula>0</formula>
    </cfRule>
  </conditionalFormatting>
  <conditionalFormatting sqref="I22:I29">
    <cfRule type="cellIs" dxfId="571" priority="607" operator="lessThan">
      <formula>0</formula>
    </cfRule>
  </conditionalFormatting>
  <conditionalFormatting sqref="I22:I29">
    <cfRule type="cellIs" dxfId="570" priority="606" operator="lessThan">
      <formula>0</formula>
    </cfRule>
  </conditionalFormatting>
  <conditionalFormatting sqref="I22:I29">
    <cfRule type="cellIs" dxfId="569" priority="605" operator="lessThan">
      <formula>0</formula>
    </cfRule>
  </conditionalFormatting>
  <conditionalFormatting sqref="I22:I29">
    <cfRule type="cellIs" dxfId="568" priority="604" operator="lessThan">
      <formula>0</formula>
    </cfRule>
  </conditionalFormatting>
  <conditionalFormatting sqref="I22:I29">
    <cfRule type="cellIs" dxfId="567" priority="603" operator="lessThan">
      <formula>0</formula>
    </cfRule>
  </conditionalFormatting>
  <conditionalFormatting sqref="I22:I29">
    <cfRule type="cellIs" dxfId="566" priority="602" operator="lessThan">
      <formula>0</formula>
    </cfRule>
  </conditionalFormatting>
  <conditionalFormatting sqref="I22:I29">
    <cfRule type="cellIs" dxfId="565" priority="601" operator="lessThan">
      <formula>0</formula>
    </cfRule>
  </conditionalFormatting>
  <conditionalFormatting sqref="I22:I29">
    <cfRule type="cellIs" dxfId="564" priority="600" operator="lessThan">
      <formula>0</formula>
    </cfRule>
  </conditionalFormatting>
  <conditionalFormatting sqref="I22:I29">
    <cfRule type="cellIs" dxfId="563" priority="599" operator="lessThan">
      <formula>0</formula>
    </cfRule>
  </conditionalFormatting>
  <conditionalFormatting sqref="I22:I29">
    <cfRule type="cellIs" dxfId="562" priority="598" operator="lessThan">
      <formula>0</formula>
    </cfRule>
  </conditionalFormatting>
  <conditionalFormatting sqref="I22:I29">
    <cfRule type="cellIs" dxfId="561" priority="597" operator="lessThan">
      <formula>0</formula>
    </cfRule>
  </conditionalFormatting>
  <conditionalFormatting sqref="I22:I29">
    <cfRule type="cellIs" dxfId="560" priority="596" operator="lessThan">
      <formula>0</formula>
    </cfRule>
  </conditionalFormatting>
  <conditionalFormatting sqref="I22:I29">
    <cfRule type="cellIs" dxfId="559" priority="595" operator="lessThan">
      <formula>0</formula>
    </cfRule>
  </conditionalFormatting>
  <conditionalFormatting sqref="I22:I29">
    <cfRule type="cellIs" dxfId="558" priority="594" operator="lessThan">
      <formula>0</formula>
    </cfRule>
  </conditionalFormatting>
  <conditionalFormatting sqref="I22:I29">
    <cfRule type="cellIs" dxfId="557" priority="593" operator="lessThan">
      <formula>0</formula>
    </cfRule>
  </conditionalFormatting>
  <conditionalFormatting sqref="I22:I29">
    <cfRule type="cellIs" dxfId="556" priority="592" operator="lessThan">
      <formula>0</formula>
    </cfRule>
  </conditionalFormatting>
  <conditionalFormatting sqref="I22:I29">
    <cfRule type="cellIs" dxfId="555" priority="591" operator="lessThan">
      <formula>0</formula>
    </cfRule>
  </conditionalFormatting>
  <conditionalFormatting sqref="I22:I29">
    <cfRule type="cellIs" dxfId="554" priority="590" operator="lessThan">
      <formula>0</formula>
    </cfRule>
  </conditionalFormatting>
  <conditionalFormatting sqref="I22:I29">
    <cfRule type="cellIs" dxfId="553" priority="589" operator="lessThan">
      <formula>0</formula>
    </cfRule>
  </conditionalFormatting>
  <conditionalFormatting sqref="I22:I29">
    <cfRule type="cellIs" dxfId="552" priority="588" operator="lessThan">
      <formula>0</formula>
    </cfRule>
  </conditionalFormatting>
  <conditionalFormatting sqref="I22:I29">
    <cfRule type="cellIs" dxfId="551" priority="587" operator="lessThan">
      <formula>0</formula>
    </cfRule>
  </conditionalFormatting>
  <conditionalFormatting sqref="I22:I29">
    <cfRule type="cellIs" dxfId="550" priority="586" operator="lessThan">
      <formula>0</formula>
    </cfRule>
  </conditionalFormatting>
  <conditionalFormatting sqref="I22:I29">
    <cfRule type="cellIs" dxfId="549" priority="585" operator="lessThan">
      <formula>0</formula>
    </cfRule>
  </conditionalFormatting>
  <conditionalFormatting sqref="I22:I29">
    <cfRule type="cellIs" dxfId="548" priority="584" operator="lessThan">
      <formula>0</formula>
    </cfRule>
  </conditionalFormatting>
  <conditionalFormatting sqref="I22:I29">
    <cfRule type="cellIs" dxfId="547" priority="583" operator="lessThan">
      <formula>0</formula>
    </cfRule>
  </conditionalFormatting>
  <conditionalFormatting sqref="I22:I29">
    <cfRule type="cellIs" dxfId="546" priority="582" operator="lessThan">
      <formula>0</formula>
    </cfRule>
  </conditionalFormatting>
  <conditionalFormatting sqref="I22:I29">
    <cfRule type="cellIs" dxfId="545" priority="581" operator="lessThan">
      <formula>0</formula>
    </cfRule>
  </conditionalFormatting>
  <conditionalFormatting sqref="I22:I29">
    <cfRule type="cellIs" dxfId="544" priority="580" operator="lessThan">
      <formula>0</formula>
    </cfRule>
  </conditionalFormatting>
  <conditionalFormatting sqref="I22:I29">
    <cfRule type="cellIs" dxfId="543" priority="579" operator="lessThan">
      <formula>0</formula>
    </cfRule>
  </conditionalFormatting>
  <conditionalFormatting sqref="I22:I29">
    <cfRule type="cellIs" dxfId="542" priority="578" operator="lessThan">
      <formula>0</formula>
    </cfRule>
  </conditionalFormatting>
  <conditionalFormatting sqref="I22:I29">
    <cfRule type="cellIs" dxfId="541" priority="577" operator="lessThan">
      <formula>0</formula>
    </cfRule>
  </conditionalFormatting>
  <conditionalFormatting sqref="I22:I29">
    <cfRule type="cellIs" dxfId="540" priority="576" operator="lessThan">
      <formula>0</formula>
    </cfRule>
  </conditionalFormatting>
  <conditionalFormatting sqref="I22:I29">
    <cfRule type="cellIs" dxfId="539" priority="575" operator="lessThan">
      <formula>0</formula>
    </cfRule>
  </conditionalFormatting>
  <conditionalFormatting sqref="I22:I29">
    <cfRule type="cellIs" dxfId="538" priority="574" operator="lessThan">
      <formula>0</formula>
    </cfRule>
  </conditionalFormatting>
  <conditionalFormatting sqref="I22:I29">
    <cfRule type="cellIs" dxfId="537" priority="573" operator="lessThan">
      <formula>0</formula>
    </cfRule>
  </conditionalFormatting>
  <conditionalFormatting sqref="I22:I29">
    <cfRule type="cellIs" dxfId="536" priority="572" operator="lessThan">
      <formula>0</formula>
    </cfRule>
  </conditionalFormatting>
  <conditionalFormatting sqref="I22:I29">
    <cfRule type="cellIs" dxfId="535" priority="571" operator="lessThan">
      <formula>0</formula>
    </cfRule>
  </conditionalFormatting>
  <conditionalFormatting sqref="I22:I29">
    <cfRule type="cellIs" dxfId="534" priority="570" operator="lessThan">
      <formula>0</formula>
    </cfRule>
  </conditionalFormatting>
  <conditionalFormatting sqref="I22:I29">
    <cfRule type="cellIs" dxfId="533" priority="569" operator="lessThan">
      <formula>0</formula>
    </cfRule>
  </conditionalFormatting>
  <conditionalFormatting sqref="I22:I29">
    <cfRule type="cellIs" dxfId="532" priority="568" operator="lessThan">
      <formula>0</formula>
    </cfRule>
  </conditionalFormatting>
  <conditionalFormatting sqref="I22:I29">
    <cfRule type="cellIs" dxfId="531" priority="567" operator="lessThan">
      <formula>0</formula>
    </cfRule>
  </conditionalFormatting>
  <conditionalFormatting sqref="I22:I29">
    <cfRule type="cellIs" dxfId="530" priority="566" operator="lessThan">
      <formula>0</formula>
    </cfRule>
  </conditionalFormatting>
  <conditionalFormatting sqref="I22:I29">
    <cfRule type="cellIs" dxfId="529" priority="565" operator="lessThan">
      <formula>0</formula>
    </cfRule>
  </conditionalFormatting>
  <conditionalFormatting sqref="I22:I29">
    <cfRule type="cellIs" dxfId="528" priority="564" operator="lessThan">
      <formula>0</formula>
    </cfRule>
  </conditionalFormatting>
  <conditionalFormatting sqref="I22:I29">
    <cfRule type="cellIs" dxfId="527" priority="563" operator="lessThan">
      <formula>0</formula>
    </cfRule>
  </conditionalFormatting>
  <conditionalFormatting sqref="I22:I29">
    <cfRule type="cellIs" dxfId="526" priority="562" operator="lessThan">
      <formula>0</formula>
    </cfRule>
  </conditionalFormatting>
  <conditionalFormatting sqref="I22:I29">
    <cfRule type="cellIs" dxfId="525" priority="561" operator="lessThan">
      <formula>0</formula>
    </cfRule>
  </conditionalFormatting>
  <conditionalFormatting sqref="I22:I29">
    <cfRule type="cellIs" dxfId="524" priority="560" operator="lessThan">
      <formula>0</formula>
    </cfRule>
  </conditionalFormatting>
  <conditionalFormatting sqref="I22:I29">
    <cfRule type="cellIs" dxfId="523" priority="559" operator="lessThan">
      <formula>0</formula>
    </cfRule>
  </conditionalFormatting>
  <conditionalFormatting sqref="I22:I29">
    <cfRule type="cellIs" dxfId="522" priority="558" operator="lessThan">
      <formula>0</formula>
    </cfRule>
  </conditionalFormatting>
  <conditionalFormatting sqref="I22:I29">
    <cfRule type="cellIs" dxfId="521" priority="557" operator="lessThan">
      <formula>0</formula>
    </cfRule>
  </conditionalFormatting>
  <conditionalFormatting sqref="I22:I29">
    <cfRule type="cellIs" dxfId="520" priority="556" operator="lessThan">
      <formula>0</formula>
    </cfRule>
  </conditionalFormatting>
  <conditionalFormatting sqref="I22:I29">
    <cfRule type="cellIs" dxfId="519" priority="555" operator="lessThan">
      <formula>0</formula>
    </cfRule>
  </conditionalFormatting>
  <conditionalFormatting sqref="I22:I29">
    <cfRule type="cellIs" dxfId="518" priority="554" operator="lessThan">
      <formula>0</formula>
    </cfRule>
  </conditionalFormatting>
  <conditionalFormatting sqref="I22:I29">
    <cfRule type="cellIs" dxfId="517" priority="553" operator="lessThan">
      <formula>0</formula>
    </cfRule>
  </conditionalFormatting>
  <conditionalFormatting sqref="I22:I29">
    <cfRule type="cellIs" dxfId="516" priority="552" operator="lessThan">
      <formula>0</formula>
    </cfRule>
  </conditionalFormatting>
  <conditionalFormatting sqref="I22:I29">
    <cfRule type="cellIs" dxfId="515" priority="551" operator="lessThan">
      <formula>0</formula>
    </cfRule>
  </conditionalFormatting>
  <conditionalFormatting sqref="I22:I29">
    <cfRule type="cellIs" dxfId="514" priority="550" operator="lessThan">
      <formula>0</formula>
    </cfRule>
  </conditionalFormatting>
  <conditionalFormatting sqref="I22:I29">
    <cfRule type="cellIs" dxfId="513" priority="549" operator="lessThan">
      <formula>0</formula>
    </cfRule>
  </conditionalFormatting>
  <conditionalFormatting sqref="I22:I29">
    <cfRule type="cellIs" dxfId="512" priority="548" operator="lessThan">
      <formula>0</formula>
    </cfRule>
  </conditionalFormatting>
  <conditionalFormatting sqref="I22:I29">
    <cfRule type="cellIs" dxfId="511" priority="547" operator="lessThan">
      <formula>0</formula>
    </cfRule>
  </conditionalFormatting>
  <conditionalFormatting sqref="I22:I29">
    <cfRule type="cellIs" dxfId="510" priority="546" operator="lessThan">
      <formula>0</formula>
    </cfRule>
  </conditionalFormatting>
  <conditionalFormatting sqref="I22:I29">
    <cfRule type="cellIs" dxfId="509" priority="545" operator="lessThan">
      <formula>0</formula>
    </cfRule>
  </conditionalFormatting>
  <conditionalFormatting sqref="I22:I29">
    <cfRule type="cellIs" dxfId="508" priority="544" operator="lessThan">
      <formula>0</formula>
    </cfRule>
  </conditionalFormatting>
  <conditionalFormatting sqref="I22:I29">
    <cfRule type="cellIs" dxfId="507" priority="543" operator="lessThan">
      <formula>0</formula>
    </cfRule>
  </conditionalFormatting>
  <conditionalFormatting sqref="I22:I29">
    <cfRule type="cellIs" dxfId="506" priority="542" operator="lessThan">
      <formula>0</formula>
    </cfRule>
  </conditionalFormatting>
  <conditionalFormatting sqref="I22:I29">
    <cfRule type="cellIs" dxfId="505" priority="541" operator="lessThan">
      <formula>0</formula>
    </cfRule>
  </conditionalFormatting>
  <conditionalFormatting sqref="I22:I29">
    <cfRule type="cellIs" dxfId="504" priority="540" operator="lessThan">
      <formula>0</formula>
    </cfRule>
  </conditionalFormatting>
  <conditionalFormatting sqref="I22:I29">
    <cfRule type="cellIs" dxfId="503" priority="539" operator="lessThan">
      <formula>0</formula>
    </cfRule>
  </conditionalFormatting>
  <conditionalFormatting sqref="I22:I29">
    <cfRule type="cellIs" dxfId="502" priority="538" operator="lessThan">
      <formula>0</formula>
    </cfRule>
  </conditionalFormatting>
  <conditionalFormatting sqref="I22:I29">
    <cfRule type="cellIs" dxfId="501" priority="537" operator="lessThan">
      <formula>0</formula>
    </cfRule>
  </conditionalFormatting>
  <conditionalFormatting sqref="I22:I29">
    <cfRule type="cellIs" dxfId="500" priority="536" operator="lessThan">
      <formula>0</formula>
    </cfRule>
  </conditionalFormatting>
  <conditionalFormatting sqref="I22:I29">
    <cfRule type="cellIs" dxfId="499" priority="535" operator="lessThan">
      <formula>0</formula>
    </cfRule>
  </conditionalFormatting>
  <conditionalFormatting sqref="I22:I29">
    <cfRule type="cellIs" dxfId="498" priority="534" operator="lessThan">
      <formula>0</formula>
    </cfRule>
  </conditionalFormatting>
  <conditionalFormatting sqref="I22:I29">
    <cfRule type="cellIs" dxfId="497" priority="533" operator="lessThan">
      <formula>0</formula>
    </cfRule>
  </conditionalFormatting>
  <conditionalFormatting sqref="I22:I29">
    <cfRule type="cellIs" dxfId="496" priority="532" operator="lessThan">
      <formula>0</formula>
    </cfRule>
  </conditionalFormatting>
  <conditionalFormatting sqref="I22:I29">
    <cfRule type="cellIs" dxfId="495" priority="531" operator="lessThan">
      <formula>0</formula>
    </cfRule>
  </conditionalFormatting>
  <conditionalFormatting sqref="I22:I29">
    <cfRule type="cellIs" dxfId="494" priority="530" operator="lessThan">
      <formula>0</formula>
    </cfRule>
  </conditionalFormatting>
  <conditionalFormatting sqref="I22:I29">
    <cfRule type="cellIs" dxfId="493" priority="529" operator="lessThan">
      <formula>0</formula>
    </cfRule>
  </conditionalFormatting>
  <conditionalFormatting sqref="I22:I29">
    <cfRule type="cellIs" dxfId="492" priority="528" operator="lessThan">
      <formula>0</formula>
    </cfRule>
  </conditionalFormatting>
  <conditionalFormatting sqref="I22:I29">
    <cfRule type="cellIs" dxfId="491" priority="527" operator="lessThan">
      <formula>0</formula>
    </cfRule>
  </conditionalFormatting>
  <conditionalFormatting sqref="I22:I29">
    <cfRule type="cellIs" dxfId="490" priority="526" operator="lessThan">
      <formula>0</formula>
    </cfRule>
  </conditionalFormatting>
  <conditionalFormatting sqref="I22:I29">
    <cfRule type="cellIs" dxfId="489" priority="525" operator="lessThan">
      <formula>0</formula>
    </cfRule>
  </conditionalFormatting>
  <conditionalFormatting sqref="I22:I29">
    <cfRule type="cellIs" dxfId="488" priority="524" operator="lessThan">
      <formula>0</formula>
    </cfRule>
  </conditionalFormatting>
  <conditionalFormatting sqref="I22:I29">
    <cfRule type="cellIs" dxfId="487" priority="523" operator="lessThan">
      <formula>0</formula>
    </cfRule>
  </conditionalFormatting>
  <conditionalFormatting sqref="I22:I29">
    <cfRule type="cellIs" dxfId="486" priority="522" operator="lessThan">
      <formula>0</formula>
    </cfRule>
  </conditionalFormatting>
  <conditionalFormatting sqref="I22:I29">
    <cfRule type="cellIs" dxfId="485" priority="521" operator="lessThan">
      <formula>0</formula>
    </cfRule>
  </conditionalFormatting>
  <conditionalFormatting sqref="I22:I29">
    <cfRule type="cellIs" dxfId="484" priority="520" operator="lessThan">
      <formula>0</formula>
    </cfRule>
  </conditionalFormatting>
  <conditionalFormatting sqref="I22:I29">
    <cfRule type="cellIs" dxfId="483" priority="519" operator="lessThan">
      <formula>0</formula>
    </cfRule>
  </conditionalFormatting>
  <conditionalFormatting sqref="I22:I29">
    <cfRule type="cellIs" dxfId="482" priority="518" operator="lessThan">
      <formula>0</formula>
    </cfRule>
  </conditionalFormatting>
  <conditionalFormatting sqref="I22:I29">
    <cfRule type="cellIs" dxfId="481" priority="517" operator="lessThan">
      <formula>0</formula>
    </cfRule>
  </conditionalFormatting>
  <conditionalFormatting sqref="I22:I29">
    <cfRule type="cellIs" dxfId="480" priority="516" operator="lessThan">
      <formula>0</formula>
    </cfRule>
  </conditionalFormatting>
  <conditionalFormatting sqref="I22:I29">
    <cfRule type="cellIs" dxfId="479" priority="515" operator="lessThan">
      <formula>0</formula>
    </cfRule>
  </conditionalFormatting>
  <conditionalFormatting sqref="I22:I29">
    <cfRule type="cellIs" dxfId="478" priority="514" operator="lessThan">
      <formula>0</formula>
    </cfRule>
  </conditionalFormatting>
  <conditionalFormatting sqref="I22:I29">
    <cfRule type="cellIs" dxfId="477" priority="513" operator="lessThan">
      <formula>0</formula>
    </cfRule>
  </conditionalFormatting>
  <conditionalFormatting sqref="I22:I29">
    <cfRule type="cellIs" dxfId="476" priority="512" operator="lessThan">
      <formula>0</formula>
    </cfRule>
  </conditionalFormatting>
  <conditionalFormatting sqref="I22:I29">
    <cfRule type="cellIs" dxfId="475" priority="511" operator="lessThan">
      <formula>0</formula>
    </cfRule>
  </conditionalFormatting>
  <conditionalFormatting sqref="I22:I29">
    <cfRule type="cellIs" dxfId="474" priority="510" operator="lessThan">
      <formula>0</formula>
    </cfRule>
  </conditionalFormatting>
  <conditionalFormatting sqref="I22:I29">
    <cfRule type="cellIs" dxfId="473" priority="509" operator="lessThan">
      <formula>0</formula>
    </cfRule>
  </conditionalFormatting>
  <conditionalFormatting sqref="I22:I29">
    <cfRule type="cellIs" dxfId="472" priority="508" operator="lessThan">
      <formula>0</formula>
    </cfRule>
  </conditionalFormatting>
  <conditionalFormatting sqref="I22:I29">
    <cfRule type="cellIs" dxfId="471" priority="507" operator="lessThan">
      <formula>0</formula>
    </cfRule>
  </conditionalFormatting>
  <conditionalFormatting sqref="I22:I29">
    <cfRule type="cellIs" dxfId="470" priority="506" operator="lessThan">
      <formula>0</formula>
    </cfRule>
  </conditionalFormatting>
  <conditionalFormatting sqref="I22:I29">
    <cfRule type="cellIs" dxfId="469" priority="505" operator="lessThan">
      <formula>0</formula>
    </cfRule>
  </conditionalFormatting>
  <conditionalFormatting sqref="I22:I29">
    <cfRule type="cellIs" dxfId="468" priority="504" operator="lessThan">
      <formula>0</formula>
    </cfRule>
  </conditionalFormatting>
  <conditionalFormatting sqref="I22:I29">
    <cfRule type="cellIs" dxfId="467" priority="503" operator="lessThan">
      <formula>0</formula>
    </cfRule>
  </conditionalFormatting>
  <conditionalFormatting sqref="I22:I29">
    <cfRule type="cellIs" dxfId="466" priority="502" operator="lessThan">
      <formula>0</formula>
    </cfRule>
  </conditionalFormatting>
  <conditionalFormatting sqref="I22:I29">
    <cfRule type="cellIs" dxfId="465" priority="501" operator="lessThan">
      <formula>0</formula>
    </cfRule>
  </conditionalFormatting>
  <conditionalFormatting sqref="I22:I29">
    <cfRule type="cellIs" dxfId="464" priority="500" operator="lessThan">
      <formula>0</formula>
    </cfRule>
  </conditionalFormatting>
  <conditionalFormatting sqref="I22:I29">
    <cfRule type="cellIs" dxfId="463" priority="499" operator="lessThan">
      <formula>0</formula>
    </cfRule>
  </conditionalFormatting>
  <conditionalFormatting sqref="I22:I29">
    <cfRule type="cellIs" dxfId="462" priority="498" operator="lessThan">
      <formula>0</formula>
    </cfRule>
  </conditionalFormatting>
  <conditionalFormatting sqref="I22:I29">
    <cfRule type="cellIs" dxfId="461" priority="497" operator="lessThan">
      <formula>0</formula>
    </cfRule>
  </conditionalFormatting>
  <conditionalFormatting sqref="I22:I29">
    <cfRule type="cellIs" dxfId="460" priority="496" operator="lessThan">
      <formula>0</formula>
    </cfRule>
  </conditionalFormatting>
  <conditionalFormatting sqref="I22:I29">
    <cfRule type="cellIs" dxfId="459" priority="495" operator="lessThan">
      <formula>0</formula>
    </cfRule>
  </conditionalFormatting>
  <conditionalFormatting sqref="I22:I29">
    <cfRule type="cellIs" dxfId="458" priority="494" operator="lessThan">
      <formula>0</formula>
    </cfRule>
  </conditionalFormatting>
  <conditionalFormatting sqref="I22:I29">
    <cfRule type="cellIs" dxfId="457" priority="493" operator="lessThan">
      <formula>0</formula>
    </cfRule>
  </conditionalFormatting>
  <conditionalFormatting sqref="I22:I29">
    <cfRule type="cellIs" dxfId="456" priority="492" operator="lessThan">
      <formula>0</formula>
    </cfRule>
  </conditionalFormatting>
  <conditionalFormatting sqref="I22:I29">
    <cfRule type="cellIs" dxfId="455" priority="491" operator="lessThan">
      <formula>0</formula>
    </cfRule>
  </conditionalFormatting>
  <conditionalFormatting sqref="I22:I29">
    <cfRule type="cellIs" dxfId="454" priority="490" operator="lessThan">
      <formula>0</formula>
    </cfRule>
  </conditionalFormatting>
  <conditionalFormatting sqref="I22:I29">
    <cfRule type="cellIs" dxfId="453" priority="489" operator="lessThan">
      <formula>0</formula>
    </cfRule>
  </conditionalFormatting>
  <conditionalFormatting sqref="I22:I29">
    <cfRule type="cellIs" dxfId="452" priority="488" operator="lessThan">
      <formula>0</formula>
    </cfRule>
  </conditionalFormatting>
  <conditionalFormatting sqref="I22:I29">
    <cfRule type="cellIs" dxfId="451" priority="487" operator="lessThan">
      <formula>0</formula>
    </cfRule>
  </conditionalFormatting>
  <conditionalFormatting sqref="I22:I29">
    <cfRule type="cellIs" dxfId="450" priority="486" operator="lessThan">
      <formula>0</formula>
    </cfRule>
  </conditionalFormatting>
  <conditionalFormatting sqref="I22:I29">
    <cfRule type="cellIs" dxfId="449" priority="485" operator="lessThan">
      <formula>0</formula>
    </cfRule>
  </conditionalFormatting>
  <conditionalFormatting sqref="I22:I29">
    <cfRule type="cellIs" dxfId="448" priority="484" operator="lessThan">
      <formula>0</formula>
    </cfRule>
  </conditionalFormatting>
  <conditionalFormatting sqref="I22:I29">
    <cfRule type="cellIs" dxfId="447" priority="483" operator="lessThan">
      <formula>0</formula>
    </cfRule>
  </conditionalFormatting>
  <conditionalFormatting sqref="I22:I29">
    <cfRule type="cellIs" dxfId="446" priority="482" operator="lessThan">
      <formula>0</formula>
    </cfRule>
  </conditionalFormatting>
  <conditionalFormatting sqref="I22:I29">
    <cfRule type="cellIs" dxfId="445" priority="481" operator="lessThan">
      <formula>0</formula>
    </cfRule>
  </conditionalFormatting>
  <conditionalFormatting sqref="I22:I29">
    <cfRule type="cellIs" dxfId="444" priority="480" operator="lessThan">
      <formula>0</formula>
    </cfRule>
  </conditionalFormatting>
  <conditionalFormatting sqref="I22:I29">
    <cfRule type="cellIs" dxfId="443" priority="479" operator="lessThan">
      <formula>0</formula>
    </cfRule>
  </conditionalFormatting>
  <conditionalFormatting sqref="I22:I29">
    <cfRule type="cellIs" dxfId="442" priority="478" operator="lessThan">
      <formula>0</formula>
    </cfRule>
  </conditionalFormatting>
  <conditionalFormatting sqref="I22:I29">
    <cfRule type="cellIs" dxfId="441" priority="477" operator="lessThan">
      <formula>0</formula>
    </cfRule>
  </conditionalFormatting>
  <conditionalFormatting sqref="I22:I29">
    <cfRule type="cellIs" dxfId="440" priority="476" operator="lessThan">
      <formula>0</formula>
    </cfRule>
  </conditionalFormatting>
  <conditionalFormatting sqref="I22:I29">
    <cfRule type="cellIs" dxfId="439" priority="475" operator="lessThan">
      <formula>0</formula>
    </cfRule>
  </conditionalFormatting>
  <conditionalFormatting sqref="I22:I29">
    <cfRule type="cellIs" dxfId="438" priority="474" operator="lessThan">
      <formula>0</formula>
    </cfRule>
  </conditionalFormatting>
  <conditionalFormatting sqref="I22:I29">
    <cfRule type="cellIs" dxfId="437" priority="473" operator="lessThan">
      <formula>0</formula>
    </cfRule>
  </conditionalFormatting>
  <conditionalFormatting sqref="I22:I29">
    <cfRule type="cellIs" dxfId="436" priority="472" operator="lessThan">
      <formula>0</formula>
    </cfRule>
  </conditionalFormatting>
  <conditionalFormatting sqref="I22:I29">
    <cfRule type="cellIs" dxfId="435" priority="471" operator="lessThan">
      <formula>0</formula>
    </cfRule>
  </conditionalFormatting>
  <conditionalFormatting sqref="I22:I29">
    <cfRule type="cellIs" dxfId="434" priority="470" operator="lessThan">
      <formula>0</formula>
    </cfRule>
  </conditionalFormatting>
  <conditionalFormatting sqref="I22:I29">
    <cfRule type="cellIs" dxfId="433" priority="469" operator="lessThan">
      <formula>0</formula>
    </cfRule>
  </conditionalFormatting>
  <conditionalFormatting sqref="I22:I29">
    <cfRule type="cellIs" dxfId="432" priority="468" operator="lessThan">
      <formula>0</formula>
    </cfRule>
  </conditionalFormatting>
  <conditionalFormatting sqref="I22:I29">
    <cfRule type="cellIs" dxfId="431" priority="467" operator="lessThan">
      <formula>0</formula>
    </cfRule>
  </conditionalFormatting>
  <conditionalFormatting sqref="I22:I29">
    <cfRule type="cellIs" dxfId="430" priority="466" operator="lessThan">
      <formula>0</formula>
    </cfRule>
  </conditionalFormatting>
  <conditionalFormatting sqref="I22:I29">
    <cfRule type="cellIs" dxfId="429" priority="465" operator="lessThan">
      <formula>0</formula>
    </cfRule>
  </conditionalFormatting>
  <conditionalFormatting sqref="I22:I29">
    <cfRule type="cellIs" dxfId="428" priority="464" operator="lessThan">
      <formula>0</formula>
    </cfRule>
  </conditionalFormatting>
  <conditionalFormatting sqref="I22:I29">
    <cfRule type="cellIs" dxfId="427" priority="463" operator="lessThan">
      <formula>0</formula>
    </cfRule>
  </conditionalFormatting>
  <conditionalFormatting sqref="I22:I29">
    <cfRule type="cellIs" dxfId="426" priority="462" operator="lessThan">
      <formula>0</formula>
    </cfRule>
  </conditionalFormatting>
  <conditionalFormatting sqref="I22:I29">
    <cfRule type="cellIs" dxfId="425" priority="461" operator="lessThan">
      <formula>0</formula>
    </cfRule>
  </conditionalFormatting>
  <conditionalFormatting sqref="I22:I29">
    <cfRule type="cellIs" dxfId="424" priority="460" operator="lessThan">
      <formula>0</formula>
    </cfRule>
  </conditionalFormatting>
  <conditionalFormatting sqref="I22:I29">
    <cfRule type="cellIs" dxfId="423" priority="459" operator="lessThan">
      <formula>0</formula>
    </cfRule>
  </conditionalFormatting>
  <conditionalFormatting sqref="I22:I29">
    <cfRule type="cellIs" dxfId="422" priority="458" operator="lessThan">
      <formula>0</formula>
    </cfRule>
  </conditionalFormatting>
  <conditionalFormatting sqref="I22:I29">
    <cfRule type="cellIs" dxfId="421" priority="457" operator="lessThan">
      <formula>0</formula>
    </cfRule>
  </conditionalFormatting>
  <conditionalFormatting sqref="I22:I29">
    <cfRule type="cellIs" dxfId="420" priority="456" operator="lessThan">
      <formula>0</formula>
    </cfRule>
  </conditionalFormatting>
  <conditionalFormatting sqref="I22:I29">
    <cfRule type="cellIs" dxfId="419" priority="455" operator="lessThan">
      <formula>0</formula>
    </cfRule>
  </conditionalFormatting>
  <conditionalFormatting sqref="I22:I29">
    <cfRule type="cellIs" dxfId="418" priority="454" operator="lessThan">
      <formula>0</formula>
    </cfRule>
  </conditionalFormatting>
  <conditionalFormatting sqref="I22:I29">
    <cfRule type="cellIs" dxfId="417" priority="453" operator="lessThan">
      <formula>0</formula>
    </cfRule>
  </conditionalFormatting>
  <conditionalFormatting sqref="I22:I29">
    <cfRule type="cellIs" dxfId="416" priority="452" operator="lessThan">
      <formula>0</formula>
    </cfRule>
  </conditionalFormatting>
  <conditionalFormatting sqref="I22:I29">
    <cfRule type="cellIs" dxfId="415" priority="451" operator="lessThan">
      <formula>0</formula>
    </cfRule>
  </conditionalFormatting>
  <conditionalFormatting sqref="I22:I29">
    <cfRule type="cellIs" dxfId="414" priority="450" operator="lessThan">
      <formula>0</formula>
    </cfRule>
  </conditionalFormatting>
  <conditionalFormatting sqref="I22:I29">
    <cfRule type="cellIs" dxfId="413" priority="449" operator="lessThan">
      <formula>0</formula>
    </cfRule>
  </conditionalFormatting>
  <conditionalFormatting sqref="I22:I29">
    <cfRule type="cellIs" dxfId="412" priority="448" operator="lessThan">
      <formula>0</formula>
    </cfRule>
  </conditionalFormatting>
  <conditionalFormatting sqref="I22:I29">
    <cfRule type="cellIs" dxfId="411" priority="447" operator="lessThan">
      <formula>0</formula>
    </cfRule>
  </conditionalFormatting>
  <conditionalFormatting sqref="I22:I29">
    <cfRule type="cellIs" dxfId="410" priority="446" operator="lessThan">
      <formula>0</formula>
    </cfRule>
  </conditionalFormatting>
  <conditionalFormatting sqref="I22:I29">
    <cfRule type="cellIs" dxfId="409" priority="445" operator="lessThan">
      <formula>0</formula>
    </cfRule>
  </conditionalFormatting>
  <conditionalFormatting sqref="I22:I29">
    <cfRule type="cellIs" dxfId="408" priority="444" operator="lessThan">
      <formula>0</formula>
    </cfRule>
  </conditionalFormatting>
  <conditionalFormatting sqref="I22:I29">
    <cfRule type="cellIs" dxfId="407" priority="443" operator="lessThan">
      <formula>0</formula>
    </cfRule>
  </conditionalFormatting>
  <conditionalFormatting sqref="I22:I29">
    <cfRule type="cellIs" dxfId="406" priority="442" operator="lessThan">
      <formula>0</formula>
    </cfRule>
  </conditionalFormatting>
  <conditionalFormatting sqref="I22:I29">
    <cfRule type="cellIs" dxfId="405" priority="441" operator="lessThan">
      <formula>0</formula>
    </cfRule>
  </conditionalFormatting>
  <conditionalFormatting sqref="I22:I29">
    <cfRule type="cellIs" dxfId="404" priority="440" operator="lessThan">
      <formula>0</formula>
    </cfRule>
  </conditionalFormatting>
  <conditionalFormatting sqref="I22:I29">
    <cfRule type="cellIs" dxfId="403" priority="439" operator="lessThan">
      <formula>0</formula>
    </cfRule>
  </conditionalFormatting>
  <conditionalFormatting sqref="I22:I29">
    <cfRule type="cellIs" dxfId="402" priority="438" operator="lessThan">
      <formula>0</formula>
    </cfRule>
  </conditionalFormatting>
  <conditionalFormatting sqref="I22:I29">
    <cfRule type="cellIs" dxfId="401" priority="437" operator="lessThan">
      <formula>0</formula>
    </cfRule>
  </conditionalFormatting>
  <conditionalFormatting sqref="I22:I29">
    <cfRule type="cellIs" dxfId="400" priority="436" operator="lessThan">
      <formula>0</formula>
    </cfRule>
  </conditionalFormatting>
  <conditionalFormatting sqref="I22:I29">
    <cfRule type="cellIs" dxfId="399" priority="435" operator="lessThan">
      <formula>0</formula>
    </cfRule>
  </conditionalFormatting>
  <conditionalFormatting sqref="I22:I29">
    <cfRule type="cellIs" dxfId="398" priority="434" operator="lessThan">
      <formula>0</formula>
    </cfRule>
  </conditionalFormatting>
  <conditionalFormatting sqref="I22:I29">
    <cfRule type="cellIs" dxfId="397" priority="433" operator="lessThan">
      <formula>0</formula>
    </cfRule>
  </conditionalFormatting>
  <conditionalFormatting sqref="I22:I29">
    <cfRule type="cellIs" dxfId="396" priority="432" operator="lessThan">
      <formula>0</formula>
    </cfRule>
  </conditionalFormatting>
  <conditionalFormatting sqref="I22:I29">
    <cfRule type="cellIs" dxfId="395" priority="431" operator="lessThan">
      <formula>0</formula>
    </cfRule>
  </conditionalFormatting>
  <conditionalFormatting sqref="I22:I29">
    <cfRule type="cellIs" dxfId="394" priority="430" operator="lessThan">
      <formula>0</formula>
    </cfRule>
  </conditionalFormatting>
  <conditionalFormatting sqref="I22:I29">
    <cfRule type="cellIs" dxfId="393" priority="429" operator="lessThan">
      <formula>0</formula>
    </cfRule>
  </conditionalFormatting>
  <conditionalFormatting sqref="I22:I29">
    <cfRule type="cellIs" dxfId="392" priority="428" operator="lessThan">
      <formula>0</formula>
    </cfRule>
  </conditionalFormatting>
  <conditionalFormatting sqref="I22:I29">
    <cfRule type="cellIs" dxfId="391" priority="427" operator="lessThan">
      <formula>0</formula>
    </cfRule>
  </conditionalFormatting>
  <conditionalFormatting sqref="I22:I29">
    <cfRule type="cellIs" dxfId="390" priority="426" operator="lessThan">
      <formula>0</formula>
    </cfRule>
  </conditionalFormatting>
  <conditionalFormatting sqref="I22:I29">
    <cfRule type="cellIs" dxfId="389" priority="425" operator="lessThan">
      <formula>0</formula>
    </cfRule>
  </conditionalFormatting>
  <conditionalFormatting sqref="I22:I29">
    <cfRule type="cellIs" dxfId="388" priority="424" operator="lessThan">
      <formula>0</formula>
    </cfRule>
  </conditionalFormatting>
  <conditionalFormatting sqref="I22:I29">
    <cfRule type="cellIs" dxfId="387" priority="423" operator="lessThan">
      <formula>0</formula>
    </cfRule>
  </conditionalFormatting>
  <conditionalFormatting sqref="I22:I29">
    <cfRule type="cellIs" dxfId="386" priority="422" operator="lessThan">
      <formula>0</formula>
    </cfRule>
  </conditionalFormatting>
  <conditionalFormatting sqref="I22:I29">
    <cfRule type="cellIs" dxfId="385" priority="421" operator="lessThan">
      <formula>0</formula>
    </cfRule>
  </conditionalFormatting>
  <conditionalFormatting sqref="I22:I29">
    <cfRule type="cellIs" dxfId="384" priority="420" operator="lessThan">
      <formula>0</formula>
    </cfRule>
  </conditionalFormatting>
  <conditionalFormatting sqref="I22:I29">
    <cfRule type="cellIs" dxfId="383" priority="419" operator="lessThan">
      <formula>0</formula>
    </cfRule>
  </conditionalFormatting>
  <conditionalFormatting sqref="I22:I29">
    <cfRule type="cellIs" dxfId="382" priority="418" operator="lessThan">
      <formula>0</formula>
    </cfRule>
  </conditionalFormatting>
  <conditionalFormatting sqref="I22:I29">
    <cfRule type="cellIs" dxfId="381" priority="417" operator="lessThan">
      <formula>0</formula>
    </cfRule>
  </conditionalFormatting>
  <conditionalFormatting sqref="I22:I29">
    <cfRule type="cellIs" dxfId="380" priority="416" operator="lessThan">
      <formula>0</formula>
    </cfRule>
  </conditionalFormatting>
  <conditionalFormatting sqref="I22:I29">
    <cfRule type="cellIs" dxfId="379" priority="415" operator="lessThan">
      <formula>0</formula>
    </cfRule>
  </conditionalFormatting>
  <conditionalFormatting sqref="I22:I29">
    <cfRule type="cellIs" dxfId="378" priority="414" operator="lessThan">
      <formula>0</formula>
    </cfRule>
  </conditionalFormatting>
  <conditionalFormatting sqref="I22:I29">
    <cfRule type="cellIs" dxfId="377" priority="413" operator="lessThan">
      <formula>0</formula>
    </cfRule>
  </conditionalFormatting>
  <conditionalFormatting sqref="I22:I29">
    <cfRule type="cellIs" dxfId="376" priority="412" operator="lessThan">
      <formula>0</formula>
    </cfRule>
  </conditionalFormatting>
  <conditionalFormatting sqref="I22:I29">
    <cfRule type="cellIs" dxfId="375" priority="411" operator="lessThan">
      <formula>0</formula>
    </cfRule>
  </conditionalFormatting>
  <conditionalFormatting sqref="I22:I29">
    <cfRule type="cellIs" dxfId="374" priority="410" operator="lessThan">
      <formula>0</formula>
    </cfRule>
  </conditionalFormatting>
  <conditionalFormatting sqref="I22:I29">
    <cfRule type="cellIs" dxfId="373" priority="409" operator="lessThan">
      <formula>0</formula>
    </cfRule>
  </conditionalFormatting>
  <conditionalFormatting sqref="I22:I29">
    <cfRule type="cellIs" dxfId="372" priority="408" operator="lessThan">
      <formula>0</formula>
    </cfRule>
  </conditionalFormatting>
  <conditionalFormatting sqref="I22:I29">
    <cfRule type="cellIs" dxfId="371" priority="407" operator="lessThan">
      <formula>0</formula>
    </cfRule>
  </conditionalFormatting>
  <conditionalFormatting sqref="I22:I29">
    <cfRule type="cellIs" dxfId="370" priority="406" operator="lessThan">
      <formula>0</formula>
    </cfRule>
  </conditionalFormatting>
  <conditionalFormatting sqref="I22:I29">
    <cfRule type="cellIs" dxfId="369" priority="405" operator="lessThan">
      <formula>0</formula>
    </cfRule>
  </conditionalFormatting>
  <conditionalFormatting sqref="I22:I29">
    <cfRule type="cellIs" dxfId="368" priority="404" operator="lessThan">
      <formula>0</formula>
    </cfRule>
  </conditionalFormatting>
  <conditionalFormatting sqref="I22:I29">
    <cfRule type="cellIs" dxfId="367" priority="403" operator="lessThan">
      <formula>0</formula>
    </cfRule>
  </conditionalFormatting>
  <conditionalFormatting sqref="I22:I29">
    <cfRule type="cellIs" dxfId="366" priority="402" operator="lessThan">
      <formula>0</formula>
    </cfRule>
  </conditionalFormatting>
  <conditionalFormatting sqref="I22:I29">
    <cfRule type="cellIs" dxfId="365" priority="401" operator="lessThan">
      <formula>0</formula>
    </cfRule>
  </conditionalFormatting>
  <conditionalFormatting sqref="I22:I29">
    <cfRule type="cellIs" dxfId="364" priority="400" operator="lessThan">
      <formula>0</formula>
    </cfRule>
  </conditionalFormatting>
  <conditionalFormatting sqref="I22:I29">
    <cfRule type="cellIs" dxfId="363" priority="399" operator="lessThan">
      <formula>0</formula>
    </cfRule>
  </conditionalFormatting>
  <conditionalFormatting sqref="I22:I29">
    <cfRule type="cellIs" dxfId="362" priority="398" operator="lessThan">
      <formula>0</formula>
    </cfRule>
  </conditionalFormatting>
  <conditionalFormatting sqref="I22:I29">
    <cfRule type="cellIs" dxfId="361" priority="397" operator="lessThan">
      <formula>0</formula>
    </cfRule>
  </conditionalFormatting>
  <conditionalFormatting sqref="I22:I29">
    <cfRule type="cellIs" dxfId="360" priority="396" operator="lessThan">
      <formula>0</formula>
    </cfRule>
  </conditionalFormatting>
  <conditionalFormatting sqref="I22:I29">
    <cfRule type="cellIs" dxfId="359" priority="395" operator="lessThan">
      <formula>0</formula>
    </cfRule>
  </conditionalFormatting>
  <conditionalFormatting sqref="I22:I29">
    <cfRule type="cellIs" dxfId="358" priority="394" operator="lessThan">
      <formula>0</formula>
    </cfRule>
  </conditionalFormatting>
  <conditionalFormatting sqref="I22:I29">
    <cfRule type="cellIs" dxfId="357" priority="393" operator="lessThan">
      <formula>0</formula>
    </cfRule>
  </conditionalFormatting>
  <conditionalFormatting sqref="I22:I29">
    <cfRule type="cellIs" dxfId="356" priority="392" operator="lessThan">
      <formula>0</formula>
    </cfRule>
  </conditionalFormatting>
  <conditionalFormatting sqref="I22:I29">
    <cfRule type="cellIs" dxfId="355" priority="391" operator="lessThan">
      <formula>0</formula>
    </cfRule>
  </conditionalFormatting>
  <conditionalFormatting sqref="I22:I29">
    <cfRule type="cellIs" dxfId="354" priority="390" operator="lessThan">
      <formula>0</formula>
    </cfRule>
  </conditionalFormatting>
  <conditionalFormatting sqref="I22:I29">
    <cfRule type="cellIs" dxfId="353" priority="389" operator="lessThan">
      <formula>0</formula>
    </cfRule>
  </conditionalFormatting>
  <conditionalFormatting sqref="I22:I29">
    <cfRule type="cellIs" dxfId="352" priority="388" operator="lessThan">
      <formula>0</formula>
    </cfRule>
  </conditionalFormatting>
  <conditionalFormatting sqref="I22:I29">
    <cfRule type="cellIs" dxfId="351" priority="387" operator="lessThan">
      <formula>0</formula>
    </cfRule>
  </conditionalFormatting>
  <conditionalFormatting sqref="I22:I29">
    <cfRule type="cellIs" dxfId="350" priority="386" operator="lessThan">
      <formula>0</formula>
    </cfRule>
  </conditionalFormatting>
  <conditionalFormatting sqref="I22:I29">
    <cfRule type="cellIs" dxfId="349" priority="385" operator="lessThan">
      <formula>0</formula>
    </cfRule>
  </conditionalFormatting>
  <conditionalFormatting sqref="I22:I29">
    <cfRule type="cellIs" dxfId="348" priority="384" operator="lessThan">
      <formula>0</formula>
    </cfRule>
  </conditionalFormatting>
  <conditionalFormatting sqref="I22:I29">
    <cfRule type="cellIs" dxfId="347" priority="383" operator="lessThan">
      <formula>0</formula>
    </cfRule>
  </conditionalFormatting>
  <conditionalFormatting sqref="I22:I29">
    <cfRule type="cellIs" dxfId="346" priority="382" operator="lessThan">
      <formula>0</formula>
    </cfRule>
  </conditionalFormatting>
  <conditionalFormatting sqref="I22:I29">
    <cfRule type="cellIs" dxfId="345" priority="381" operator="lessThan">
      <formula>0</formula>
    </cfRule>
  </conditionalFormatting>
  <conditionalFormatting sqref="I22:I29">
    <cfRule type="cellIs" dxfId="344" priority="380" operator="lessThan">
      <formula>0</formula>
    </cfRule>
  </conditionalFormatting>
  <conditionalFormatting sqref="I22:I29">
    <cfRule type="cellIs" dxfId="343" priority="379" operator="lessThan">
      <formula>0</formula>
    </cfRule>
  </conditionalFormatting>
  <conditionalFormatting sqref="I22:I29">
    <cfRule type="cellIs" dxfId="342" priority="378" operator="lessThan">
      <formula>0</formula>
    </cfRule>
  </conditionalFormatting>
  <conditionalFormatting sqref="I22:I29">
    <cfRule type="cellIs" dxfId="341" priority="377" operator="lessThan">
      <formula>0</formula>
    </cfRule>
  </conditionalFormatting>
  <conditionalFormatting sqref="I22:I29">
    <cfRule type="cellIs" dxfId="340" priority="376" operator="lessThan">
      <formula>0</formula>
    </cfRule>
  </conditionalFormatting>
  <conditionalFormatting sqref="I22:I29">
    <cfRule type="cellIs" dxfId="339" priority="375" operator="lessThan">
      <formula>0</formula>
    </cfRule>
  </conditionalFormatting>
  <conditionalFormatting sqref="I22:I29">
    <cfRule type="cellIs" dxfId="338" priority="374" operator="lessThan">
      <formula>0</formula>
    </cfRule>
  </conditionalFormatting>
  <conditionalFormatting sqref="I22:I29">
    <cfRule type="cellIs" dxfId="337" priority="373" operator="lessThan">
      <formula>0</formula>
    </cfRule>
  </conditionalFormatting>
  <conditionalFormatting sqref="I22:I29">
    <cfRule type="cellIs" dxfId="336" priority="372" operator="lessThan">
      <formula>0</formula>
    </cfRule>
  </conditionalFormatting>
  <conditionalFormatting sqref="I22:I29">
    <cfRule type="cellIs" dxfId="335" priority="371" operator="lessThan">
      <formula>0</formula>
    </cfRule>
  </conditionalFormatting>
  <conditionalFormatting sqref="I22:I29">
    <cfRule type="cellIs" dxfId="334" priority="370" operator="lessThan">
      <formula>0</formula>
    </cfRule>
  </conditionalFormatting>
  <conditionalFormatting sqref="I22:I29">
    <cfRule type="cellIs" dxfId="333" priority="369" operator="lessThan">
      <formula>0</formula>
    </cfRule>
  </conditionalFormatting>
  <conditionalFormatting sqref="I22:I29">
    <cfRule type="cellIs" dxfId="332" priority="368" operator="lessThan">
      <formula>0</formula>
    </cfRule>
  </conditionalFormatting>
  <conditionalFormatting sqref="I22:I29">
    <cfRule type="cellIs" dxfId="331" priority="367" operator="lessThan">
      <formula>0</formula>
    </cfRule>
  </conditionalFormatting>
  <conditionalFormatting sqref="I22:I29">
    <cfRule type="cellIs" dxfId="330" priority="366" operator="lessThan">
      <formula>0</formula>
    </cfRule>
  </conditionalFormatting>
  <conditionalFormatting sqref="I22:I29">
    <cfRule type="cellIs" dxfId="329" priority="365" operator="lessThan">
      <formula>0</formula>
    </cfRule>
  </conditionalFormatting>
  <conditionalFormatting sqref="I22:I29">
    <cfRule type="cellIs" dxfId="328" priority="364" operator="lessThan">
      <formula>0</formula>
    </cfRule>
  </conditionalFormatting>
  <conditionalFormatting sqref="I22:I29">
    <cfRule type="cellIs" dxfId="327" priority="363" operator="lessThan">
      <formula>0</formula>
    </cfRule>
  </conditionalFormatting>
  <conditionalFormatting sqref="I22:I29">
    <cfRule type="cellIs" dxfId="326" priority="362" operator="lessThan">
      <formula>0</formula>
    </cfRule>
  </conditionalFormatting>
  <conditionalFormatting sqref="I22:I29">
    <cfRule type="cellIs" dxfId="325" priority="361" operator="lessThan">
      <formula>0</formula>
    </cfRule>
  </conditionalFormatting>
  <conditionalFormatting sqref="I22:I29">
    <cfRule type="cellIs" dxfId="324" priority="360" operator="lessThan">
      <formula>0</formula>
    </cfRule>
  </conditionalFormatting>
  <conditionalFormatting sqref="I22:I29">
    <cfRule type="cellIs" dxfId="323" priority="359" operator="lessThan">
      <formula>0</formula>
    </cfRule>
  </conditionalFormatting>
  <conditionalFormatting sqref="I22:I29">
    <cfRule type="cellIs" dxfId="322" priority="358" operator="lessThan">
      <formula>0</formula>
    </cfRule>
  </conditionalFormatting>
  <conditionalFormatting sqref="I22:I29">
    <cfRule type="cellIs" dxfId="321" priority="357" operator="lessThan">
      <formula>0</formula>
    </cfRule>
  </conditionalFormatting>
  <conditionalFormatting sqref="I22:I29">
    <cfRule type="cellIs" dxfId="320" priority="356" operator="lessThan">
      <formula>0</formula>
    </cfRule>
  </conditionalFormatting>
  <conditionalFormatting sqref="I22:I29">
    <cfRule type="cellIs" dxfId="319" priority="355" operator="lessThan">
      <formula>0</formula>
    </cfRule>
  </conditionalFormatting>
  <conditionalFormatting sqref="I22:I29">
    <cfRule type="cellIs" dxfId="318" priority="354" operator="lessThan">
      <formula>0</formula>
    </cfRule>
  </conditionalFormatting>
  <conditionalFormatting sqref="I22:I29">
    <cfRule type="cellIs" dxfId="317" priority="353" operator="lessThan">
      <formula>0</formula>
    </cfRule>
  </conditionalFormatting>
  <conditionalFormatting sqref="I22:I29">
    <cfRule type="cellIs" dxfId="316" priority="352" operator="lessThan">
      <formula>0</formula>
    </cfRule>
  </conditionalFormatting>
  <conditionalFormatting sqref="I22:I29">
    <cfRule type="cellIs" dxfId="315" priority="351" operator="lessThan">
      <formula>0</formula>
    </cfRule>
  </conditionalFormatting>
  <conditionalFormatting sqref="I22:I29">
    <cfRule type="cellIs" dxfId="314" priority="350" operator="lessThan">
      <formula>0</formula>
    </cfRule>
  </conditionalFormatting>
  <conditionalFormatting sqref="I22:I29">
    <cfRule type="cellIs" dxfId="313" priority="349" operator="lessThan">
      <formula>0</formula>
    </cfRule>
  </conditionalFormatting>
  <conditionalFormatting sqref="I22:I29">
    <cfRule type="cellIs" dxfId="312" priority="348" operator="lessThan">
      <formula>0</formula>
    </cfRule>
  </conditionalFormatting>
  <conditionalFormatting sqref="I22:I29">
    <cfRule type="cellIs" dxfId="311" priority="347" operator="lessThan">
      <formula>0</formula>
    </cfRule>
  </conditionalFormatting>
  <conditionalFormatting sqref="I22:I29">
    <cfRule type="cellIs" dxfId="310" priority="346" operator="lessThan">
      <formula>0</formula>
    </cfRule>
  </conditionalFormatting>
  <conditionalFormatting sqref="I22:I29">
    <cfRule type="cellIs" dxfId="309" priority="345" operator="lessThan">
      <formula>0</formula>
    </cfRule>
  </conditionalFormatting>
  <conditionalFormatting sqref="I22:I29">
    <cfRule type="cellIs" dxfId="308" priority="344" operator="lessThan">
      <formula>0</formula>
    </cfRule>
  </conditionalFormatting>
  <conditionalFormatting sqref="I22:I29">
    <cfRule type="cellIs" dxfId="307" priority="343" operator="lessThan">
      <formula>0</formula>
    </cfRule>
  </conditionalFormatting>
  <conditionalFormatting sqref="I22:I29">
    <cfRule type="cellIs" dxfId="306" priority="342" operator="lessThan">
      <formula>0</formula>
    </cfRule>
  </conditionalFormatting>
  <conditionalFormatting sqref="I22:I29">
    <cfRule type="cellIs" dxfId="305" priority="341" operator="lessThan">
      <formula>0</formula>
    </cfRule>
  </conditionalFormatting>
  <conditionalFormatting sqref="I22:I29">
    <cfRule type="cellIs" dxfId="304" priority="340" operator="lessThan">
      <formula>0</formula>
    </cfRule>
  </conditionalFormatting>
  <conditionalFormatting sqref="I22:I29">
    <cfRule type="cellIs" dxfId="303" priority="339" operator="lessThan">
      <formula>0</formula>
    </cfRule>
  </conditionalFormatting>
  <conditionalFormatting sqref="I22:I29">
    <cfRule type="cellIs" dxfId="302" priority="338" operator="lessThan">
      <formula>0</formula>
    </cfRule>
  </conditionalFormatting>
  <conditionalFormatting sqref="I22:I29">
    <cfRule type="cellIs" dxfId="301" priority="337" operator="lessThan">
      <formula>0</formula>
    </cfRule>
  </conditionalFormatting>
  <conditionalFormatting sqref="I22:I29">
    <cfRule type="cellIs" dxfId="300" priority="336" operator="lessThan">
      <formula>0</formula>
    </cfRule>
  </conditionalFormatting>
  <conditionalFormatting sqref="I22:I29">
    <cfRule type="cellIs" dxfId="299" priority="335" operator="lessThan">
      <formula>0</formula>
    </cfRule>
  </conditionalFormatting>
  <conditionalFormatting sqref="I22:I29">
    <cfRule type="cellIs" dxfId="298" priority="334" operator="lessThan">
      <formula>0</formula>
    </cfRule>
  </conditionalFormatting>
  <conditionalFormatting sqref="I22:I29">
    <cfRule type="cellIs" dxfId="297" priority="333" operator="lessThan">
      <formula>0</formula>
    </cfRule>
  </conditionalFormatting>
  <conditionalFormatting sqref="I22:I29">
    <cfRule type="cellIs" dxfId="296" priority="332" operator="lessThan">
      <formula>0</formula>
    </cfRule>
  </conditionalFormatting>
  <conditionalFormatting sqref="I22:I29">
    <cfRule type="cellIs" dxfId="295" priority="331" operator="lessThan">
      <formula>0</formula>
    </cfRule>
  </conditionalFormatting>
  <conditionalFormatting sqref="I22:I29">
    <cfRule type="cellIs" dxfId="294" priority="330" operator="lessThan">
      <formula>0</formula>
    </cfRule>
  </conditionalFormatting>
  <conditionalFormatting sqref="I22:I29">
    <cfRule type="cellIs" dxfId="293" priority="329" operator="lessThan">
      <formula>0</formula>
    </cfRule>
  </conditionalFormatting>
  <conditionalFormatting sqref="I22:I29">
    <cfRule type="cellIs" dxfId="292" priority="328" operator="lessThan">
      <formula>0</formula>
    </cfRule>
  </conditionalFormatting>
  <conditionalFormatting sqref="I22:I29">
    <cfRule type="cellIs" dxfId="291" priority="327" operator="lessThan">
      <formula>0</formula>
    </cfRule>
  </conditionalFormatting>
  <conditionalFormatting sqref="I22:I29">
    <cfRule type="cellIs" dxfId="290" priority="326" operator="lessThan">
      <formula>0</formula>
    </cfRule>
  </conditionalFormatting>
  <conditionalFormatting sqref="I22:I29">
    <cfRule type="cellIs" dxfId="289" priority="325" operator="lessThan">
      <formula>0</formula>
    </cfRule>
  </conditionalFormatting>
  <conditionalFormatting sqref="I22:I29">
    <cfRule type="cellIs" dxfId="288" priority="324" operator="lessThan">
      <formula>0</formula>
    </cfRule>
  </conditionalFormatting>
  <conditionalFormatting sqref="I22:I29">
    <cfRule type="cellIs" dxfId="287" priority="323" operator="lessThan">
      <formula>0</formula>
    </cfRule>
  </conditionalFormatting>
  <conditionalFormatting sqref="I22:I29">
    <cfRule type="cellIs" dxfId="286" priority="322" operator="lessThan">
      <formula>0</formula>
    </cfRule>
  </conditionalFormatting>
  <conditionalFormatting sqref="I22:I29">
    <cfRule type="cellIs" dxfId="285" priority="321" operator="lessThan">
      <formula>0</formula>
    </cfRule>
  </conditionalFormatting>
  <conditionalFormatting sqref="I22:I29">
    <cfRule type="cellIs" dxfId="284" priority="320" operator="lessThan">
      <formula>0</formula>
    </cfRule>
  </conditionalFormatting>
  <conditionalFormatting sqref="I22:I29">
    <cfRule type="cellIs" dxfId="283" priority="319" operator="lessThan">
      <formula>0</formula>
    </cfRule>
  </conditionalFormatting>
  <conditionalFormatting sqref="I22:I29">
    <cfRule type="cellIs" dxfId="282" priority="318" operator="lessThan">
      <formula>0</formula>
    </cfRule>
  </conditionalFormatting>
  <conditionalFormatting sqref="I22:I29">
    <cfRule type="cellIs" dxfId="281" priority="317" operator="lessThan">
      <formula>0</formula>
    </cfRule>
  </conditionalFormatting>
  <conditionalFormatting sqref="I22:I29">
    <cfRule type="cellIs" dxfId="280" priority="316" operator="lessThan">
      <formula>0</formula>
    </cfRule>
  </conditionalFormatting>
  <conditionalFormatting sqref="I22:I29">
    <cfRule type="cellIs" dxfId="279" priority="315" operator="lessThan">
      <formula>0</formula>
    </cfRule>
  </conditionalFormatting>
  <conditionalFormatting sqref="I22:I29">
    <cfRule type="cellIs" dxfId="278" priority="314" operator="lessThan">
      <formula>0</formula>
    </cfRule>
  </conditionalFormatting>
  <conditionalFormatting sqref="I22:I29">
    <cfRule type="cellIs" dxfId="277" priority="313" operator="lessThan">
      <formula>0</formula>
    </cfRule>
  </conditionalFormatting>
  <conditionalFormatting sqref="I22:I29">
    <cfRule type="cellIs" dxfId="276" priority="312" operator="lessThan">
      <formula>0</formula>
    </cfRule>
  </conditionalFormatting>
  <conditionalFormatting sqref="I22:I29">
    <cfRule type="cellIs" dxfId="275" priority="311" operator="lessThan">
      <formula>0</formula>
    </cfRule>
  </conditionalFormatting>
  <conditionalFormatting sqref="I22:I29">
    <cfRule type="cellIs" dxfId="274" priority="310" operator="lessThan">
      <formula>0</formula>
    </cfRule>
  </conditionalFormatting>
  <conditionalFormatting sqref="I22:I29">
    <cfRule type="cellIs" dxfId="273" priority="309" operator="lessThan">
      <formula>0</formula>
    </cfRule>
  </conditionalFormatting>
  <conditionalFormatting sqref="I22:I29">
    <cfRule type="cellIs" dxfId="272" priority="308" operator="lessThan">
      <formula>0</formula>
    </cfRule>
  </conditionalFormatting>
  <conditionalFormatting sqref="I22:I29">
    <cfRule type="cellIs" dxfId="271" priority="307" operator="lessThan">
      <formula>0</formula>
    </cfRule>
  </conditionalFormatting>
  <conditionalFormatting sqref="I22:I29">
    <cfRule type="cellIs" dxfId="270" priority="306" operator="lessThan">
      <formula>0</formula>
    </cfRule>
  </conditionalFormatting>
  <conditionalFormatting sqref="I22:I29">
    <cfRule type="cellIs" dxfId="269" priority="305" operator="lessThan">
      <formula>0</formula>
    </cfRule>
  </conditionalFormatting>
  <conditionalFormatting sqref="I22:I29">
    <cfRule type="cellIs" dxfId="268" priority="304" operator="lessThan">
      <formula>0</formula>
    </cfRule>
  </conditionalFormatting>
  <conditionalFormatting sqref="I22:I29">
    <cfRule type="cellIs" dxfId="267" priority="303" operator="lessThan">
      <formula>0</formula>
    </cfRule>
  </conditionalFormatting>
  <conditionalFormatting sqref="I22:I29">
    <cfRule type="cellIs" dxfId="266" priority="302" operator="lessThan">
      <formula>0</formula>
    </cfRule>
  </conditionalFormatting>
  <conditionalFormatting sqref="I22:I29">
    <cfRule type="cellIs" dxfId="265" priority="301" operator="lessThan">
      <formula>0</formula>
    </cfRule>
  </conditionalFormatting>
  <conditionalFormatting sqref="I22:I29">
    <cfRule type="cellIs" dxfId="264" priority="300" operator="lessThan">
      <formula>0</formula>
    </cfRule>
  </conditionalFormatting>
  <conditionalFormatting sqref="I22:I29">
    <cfRule type="cellIs" dxfId="263" priority="299" operator="lessThan">
      <formula>0</formula>
    </cfRule>
  </conditionalFormatting>
  <conditionalFormatting sqref="I22:I29">
    <cfRule type="cellIs" dxfId="262" priority="298" operator="lessThan">
      <formula>0</formula>
    </cfRule>
  </conditionalFormatting>
  <conditionalFormatting sqref="I22:I29">
    <cfRule type="cellIs" dxfId="261" priority="297" operator="lessThan">
      <formula>0</formula>
    </cfRule>
  </conditionalFormatting>
  <conditionalFormatting sqref="I22:I29">
    <cfRule type="cellIs" dxfId="260" priority="296" operator="lessThan">
      <formula>0</formula>
    </cfRule>
  </conditionalFormatting>
  <conditionalFormatting sqref="I22:I29">
    <cfRule type="cellIs" dxfId="259" priority="295" operator="lessThan">
      <formula>0</formula>
    </cfRule>
  </conditionalFormatting>
  <conditionalFormatting sqref="I22:I29">
    <cfRule type="cellIs" dxfId="258" priority="294" operator="lessThan">
      <formula>0</formula>
    </cfRule>
  </conditionalFormatting>
  <conditionalFormatting sqref="I22:I29">
    <cfRule type="cellIs" dxfId="257" priority="293" operator="lessThan">
      <formula>0</formula>
    </cfRule>
  </conditionalFormatting>
  <conditionalFormatting sqref="I22:I29">
    <cfRule type="cellIs" dxfId="256" priority="292" operator="lessThan">
      <formula>0</formula>
    </cfRule>
  </conditionalFormatting>
  <conditionalFormatting sqref="I22:I29">
    <cfRule type="cellIs" dxfId="255" priority="291" operator="lessThan">
      <formula>0</formula>
    </cfRule>
  </conditionalFormatting>
  <conditionalFormatting sqref="I22:I29">
    <cfRule type="cellIs" dxfId="254" priority="290" operator="lessThan">
      <formula>0</formula>
    </cfRule>
  </conditionalFormatting>
  <conditionalFormatting sqref="I22:I29">
    <cfRule type="cellIs" dxfId="253" priority="289" operator="lessThan">
      <formula>0</formula>
    </cfRule>
  </conditionalFormatting>
  <conditionalFormatting sqref="I22:I29">
    <cfRule type="cellIs" dxfId="252" priority="288" operator="lessThan">
      <formula>0</formula>
    </cfRule>
  </conditionalFormatting>
  <conditionalFormatting sqref="I22:I29">
    <cfRule type="cellIs" dxfId="251" priority="287" operator="lessThan">
      <formula>0</formula>
    </cfRule>
  </conditionalFormatting>
  <conditionalFormatting sqref="I22:I29">
    <cfRule type="cellIs" dxfId="250" priority="286" operator="lessThan">
      <formula>0</formula>
    </cfRule>
  </conditionalFormatting>
  <conditionalFormatting sqref="I22:I29">
    <cfRule type="cellIs" dxfId="249" priority="285" operator="lessThan">
      <formula>0</formula>
    </cfRule>
  </conditionalFormatting>
  <conditionalFormatting sqref="I22:I29">
    <cfRule type="cellIs" dxfId="248" priority="284" operator="lessThan">
      <formula>0</formula>
    </cfRule>
  </conditionalFormatting>
  <conditionalFormatting sqref="I22:I29">
    <cfRule type="cellIs" dxfId="247" priority="283" operator="lessThan">
      <formula>0</formula>
    </cfRule>
  </conditionalFormatting>
  <conditionalFormatting sqref="I22:I29">
    <cfRule type="cellIs" dxfId="246" priority="282" operator="lessThan">
      <formula>0</formula>
    </cfRule>
  </conditionalFormatting>
  <conditionalFormatting sqref="I22:I29">
    <cfRule type="cellIs" dxfId="245" priority="281" operator="lessThan">
      <formula>0</formula>
    </cfRule>
  </conditionalFormatting>
  <conditionalFormatting sqref="I22:I29">
    <cfRule type="cellIs" dxfId="244" priority="280" operator="lessThan">
      <formula>0</formula>
    </cfRule>
  </conditionalFormatting>
  <conditionalFormatting sqref="I22:I29">
    <cfRule type="cellIs" dxfId="243" priority="279" operator="lessThan">
      <formula>0</formula>
    </cfRule>
  </conditionalFormatting>
  <conditionalFormatting sqref="I22:I29">
    <cfRule type="cellIs" dxfId="242" priority="278" operator="lessThan">
      <formula>0</formula>
    </cfRule>
  </conditionalFormatting>
  <conditionalFormatting sqref="I22:I29">
    <cfRule type="cellIs" dxfId="241" priority="277" operator="lessThan">
      <formula>0</formula>
    </cfRule>
  </conditionalFormatting>
  <conditionalFormatting sqref="I22:I29">
    <cfRule type="cellIs" dxfId="240" priority="276" operator="lessThan">
      <formula>0</formula>
    </cfRule>
  </conditionalFormatting>
  <conditionalFormatting sqref="I22:I29">
    <cfRule type="cellIs" dxfId="239" priority="275" operator="lessThan">
      <formula>0</formula>
    </cfRule>
  </conditionalFormatting>
  <conditionalFormatting sqref="I22:I29">
    <cfRule type="cellIs" dxfId="238" priority="274" operator="lessThan">
      <formula>0</formula>
    </cfRule>
  </conditionalFormatting>
  <conditionalFormatting sqref="I22:I29">
    <cfRule type="cellIs" dxfId="237" priority="273" operator="lessThan">
      <formula>0</formula>
    </cfRule>
  </conditionalFormatting>
  <conditionalFormatting sqref="I22:I29">
    <cfRule type="cellIs" dxfId="236" priority="272" operator="lessThan">
      <formula>0</formula>
    </cfRule>
  </conditionalFormatting>
  <conditionalFormatting sqref="I22:I29">
    <cfRule type="cellIs" dxfId="235" priority="271" operator="lessThan">
      <formula>0</formula>
    </cfRule>
  </conditionalFormatting>
  <conditionalFormatting sqref="I22:I29">
    <cfRule type="cellIs" dxfId="234" priority="270" operator="lessThan">
      <formula>0</formula>
    </cfRule>
  </conditionalFormatting>
  <conditionalFormatting sqref="I22:I29">
    <cfRule type="cellIs" dxfId="233" priority="269" operator="lessThan">
      <formula>0</formula>
    </cfRule>
  </conditionalFormatting>
  <conditionalFormatting sqref="I22:I29">
    <cfRule type="cellIs" dxfId="232" priority="268" operator="lessThan">
      <formula>0</formula>
    </cfRule>
  </conditionalFormatting>
  <conditionalFormatting sqref="I22:I29">
    <cfRule type="cellIs" dxfId="231" priority="267" operator="lessThan">
      <formula>0</formula>
    </cfRule>
  </conditionalFormatting>
  <conditionalFormatting sqref="I22:I29">
    <cfRule type="cellIs" dxfId="230" priority="266" operator="lessThan">
      <formula>0</formula>
    </cfRule>
  </conditionalFormatting>
  <conditionalFormatting sqref="I22:I29">
    <cfRule type="cellIs" dxfId="229" priority="265" operator="lessThan">
      <formula>0</formula>
    </cfRule>
  </conditionalFormatting>
  <conditionalFormatting sqref="I22:I29">
    <cfRule type="cellIs" dxfId="228" priority="264" operator="lessThan">
      <formula>0</formula>
    </cfRule>
  </conditionalFormatting>
  <conditionalFormatting sqref="I22:I29">
    <cfRule type="cellIs" dxfId="227" priority="263" operator="lessThan">
      <formula>0</formula>
    </cfRule>
  </conditionalFormatting>
  <conditionalFormatting sqref="I22:I29">
    <cfRule type="cellIs" dxfId="226" priority="262" operator="lessThan">
      <formula>0</formula>
    </cfRule>
  </conditionalFormatting>
  <conditionalFormatting sqref="I22:I29">
    <cfRule type="cellIs" dxfId="225" priority="261" operator="lessThan">
      <formula>0</formula>
    </cfRule>
  </conditionalFormatting>
  <conditionalFormatting sqref="I22:I29">
    <cfRule type="cellIs" dxfId="224" priority="260" operator="lessThan">
      <formula>0</formula>
    </cfRule>
  </conditionalFormatting>
  <conditionalFormatting sqref="I22:I29">
    <cfRule type="cellIs" dxfId="223" priority="259" operator="lessThan">
      <formula>0</formula>
    </cfRule>
  </conditionalFormatting>
  <conditionalFormatting sqref="I22:I29">
    <cfRule type="cellIs" dxfId="222" priority="258" operator="lessThan">
      <formula>0</formula>
    </cfRule>
  </conditionalFormatting>
  <conditionalFormatting sqref="I22:I29">
    <cfRule type="cellIs" dxfId="221" priority="257" operator="lessThan">
      <formula>0</formula>
    </cfRule>
  </conditionalFormatting>
  <conditionalFormatting sqref="I22:I29">
    <cfRule type="cellIs" dxfId="220" priority="256" operator="lessThan">
      <formula>0</formula>
    </cfRule>
  </conditionalFormatting>
  <conditionalFormatting sqref="I22:I29">
    <cfRule type="cellIs" dxfId="219" priority="255" operator="lessThan">
      <formula>0</formula>
    </cfRule>
  </conditionalFormatting>
  <conditionalFormatting sqref="I22:I29">
    <cfRule type="cellIs" dxfId="218" priority="254" operator="lessThan">
      <formula>0</formula>
    </cfRule>
  </conditionalFormatting>
  <conditionalFormatting sqref="I22:I29">
    <cfRule type="cellIs" dxfId="217" priority="253" operator="lessThan">
      <formula>0</formula>
    </cfRule>
  </conditionalFormatting>
  <conditionalFormatting sqref="I22:I29">
    <cfRule type="cellIs" dxfId="216" priority="252" operator="lessThan">
      <formula>0</formula>
    </cfRule>
  </conditionalFormatting>
  <conditionalFormatting sqref="I22:I29">
    <cfRule type="cellIs" dxfId="215" priority="251" operator="lessThan">
      <formula>0</formula>
    </cfRule>
  </conditionalFormatting>
  <conditionalFormatting sqref="I22:I29">
    <cfRule type="cellIs" dxfId="214" priority="250" operator="lessThan">
      <formula>0</formula>
    </cfRule>
  </conditionalFormatting>
  <conditionalFormatting sqref="I22:I29">
    <cfRule type="cellIs" dxfId="213" priority="249" operator="lessThan">
      <formula>0</formula>
    </cfRule>
  </conditionalFormatting>
  <conditionalFormatting sqref="I22:I29">
    <cfRule type="cellIs" dxfId="212" priority="248" operator="lessThan">
      <formula>0</formula>
    </cfRule>
  </conditionalFormatting>
  <conditionalFormatting sqref="I22:I29">
    <cfRule type="cellIs" dxfId="211" priority="247" operator="lessThan">
      <formula>0</formula>
    </cfRule>
  </conditionalFormatting>
  <conditionalFormatting sqref="I22:I29">
    <cfRule type="cellIs" dxfId="210" priority="246" operator="lessThan">
      <formula>0</formula>
    </cfRule>
  </conditionalFormatting>
  <conditionalFormatting sqref="I22:I29">
    <cfRule type="cellIs" dxfId="209" priority="245" operator="lessThan">
      <formula>0</formula>
    </cfRule>
  </conditionalFormatting>
  <conditionalFormatting sqref="I22:I29">
    <cfRule type="cellIs" dxfId="208" priority="244" operator="lessThan">
      <formula>0</formula>
    </cfRule>
  </conditionalFormatting>
  <conditionalFormatting sqref="I22:I29">
    <cfRule type="cellIs" dxfId="207" priority="243" operator="lessThan">
      <formula>0</formula>
    </cfRule>
  </conditionalFormatting>
  <conditionalFormatting sqref="I22:I29">
    <cfRule type="cellIs" dxfId="206" priority="242" operator="lessThan">
      <formula>0</formula>
    </cfRule>
  </conditionalFormatting>
  <conditionalFormatting sqref="I22:I29">
    <cfRule type="cellIs" dxfId="205" priority="241" operator="lessThan">
      <formula>0</formula>
    </cfRule>
  </conditionalFormatting>
  <conditionalFormatting sqref="I22:I29">
    <cfRule type="cellIs" dxfId="204" priority="240" operator="lessThan">
      <formula>0</formula>
    </cfRule>
  </conditionalFormatting>
  <conditionalFormatting sqref="I22:I29">
    <cfRule type="cellIs" dxfId="203" priority="239" operator="lessThan">
      <formula>0</formula>
    </cfRule>
  </conditionalFormatting>
  <conditionalFormatting sqref="I22:I29">
    <cfRule type="cellIs" dxfId="202" priority="238" operator="lessThan">
      <formula>0</formula>
    </cfRule>
  </conditionalFormatting>
  <conditionalFormatting sqref="I22:I29">
    <cfRule type="cellIs" dxfId="201" priority="237" operator="lessThan">
      <formula>0</formula>
    </cfRule>
  </conditionalFormatting>
  <conditionalFormatting sqref="I22:I29">
    <cfRule type="cellIs" dxfId="200" priority="236" operator="lessThan">
      <formula>0</formula>
    </cfRule>
  </conditionalFormatting>
  <conditionalFormatting sqref="I22:I29">
    <cfRule type="cellIs" dxfId="199" priority="235" operator="lessThan">
      <formula>0</formula>
    </cfRule>
  </conditionalFormatting>
  <conditionalFormatting sqref="I22:I29">
    <cfRule type="cellIs" dxfId="198" priority="234" operator="lessThan">
      <formula>0</formula>
    </cfRule>
  </conditionalFormatting>
  <conditionalFormatting sqref="I22:I29">
    <cfRule type="cellIs" dxfId="197" priority="233" operator="lessThan">
      <formula>0</formula>
    </cfRule>
  </conditionalFormatting>
  <conditionalFormatting sqref="I22:I29">
    <cfRule type="cellIs" dxfId="196" priority="232" operator="lessThan">
      <formula>0</formula>
    </cfRule>
  </conditionalFormatting>
  <conditionalFormatting sqref="I22:I29">
    <cfRule type="cellIs" dxfId="195" priority="231" operator="lessThan">
      <formula>0</formula>
    </cfRule>
  </conditionalFormatting>
  <conditionalFormatting sqref="I22:I29">
    <cfRule type="cellIs" dxfId="194" priority="230" operator="lessThan">
      <formula>0</formula>
    </cfRule>
  </conditionalFormatting>
  <conditionalFormatting sqref="I22:I29">
    <cfRule type="cellIs" dxfId="193" priority="229" operator="lessThan">
      <formula>0</formula>
    </cfRule>
  </conditionalFormatting>
  <conditionalFormatting sqref="I22:I29">
    <cfRule type="cellIs" dxfId="192" priority="228" operator="lessThan">
      <formula>0</formula>
    </cfRule>
  </conditionalFormatting>
  <conditionalFormatting sqref="I22:I29">
    <cfRule type="cellIs" dxfId="191" priority="227" operator="lessThan">
      <formula>0</formula>
    </cfRule>
  </conditionalFormatting>
  <conditionalFormatting sqref="I22:I29">
    <cfRule type="cellIs" dxfId="190" priority="226" operator="lessThan">
      <formula>0</formula>
    </cfRule>
  </conditionalFormatting>
  <conditionalFormatting sqref="I22:I29">
    <cfRule type="cellIs" dxfId="189" priority="225" operator="lessThan">
      <formula>0</formula>
    </cfRule>
  </conditionalFormatting>
  <conditionalFormatting sqref="I22:I29">
    <cfRule type="cellIs" dxfId="188" priority="224" operator="lessThan">
      <formula>0</formula>
    </cfRule>
  </conditionalFormatting>
  <conditionalFormatting sqref="I22:I29">
    <cfRule type="cellIs" dxfId="187" priority="223" operator="lessThan">
      <formula>0</formula>
    </cfRule>
  </conditionalFormatting>
  <conditionalFormatting sqref="I22:I29">
    <cfRule type="cellIs" dxfId="186" priority="222" operator="lessThan">
      <formula>0</formula>
    </cfRule>
  </conditionalFormatting>
  <conditionalFormatting sqref="I22:I29">
    <cfRule type="cellIs" dxfId="185" priority="221" operator="lessThan">
      <formula>0</formula>
    </cfRule>
  </conditionalFormatting>
  <conditionalFormatting sqref="I22:I29">
    <cfRule type="cellIs" dxfId="184" priority="220" operator="lessThan">
      <formula>0</formula>
    </cfRule>
  </conditionalFormatting>
  <conditionalFormatting sqref="I22:I29">
    <cfRule type="cellIs" dxfId="183" priority="219" operator="lessThan">
      <formula>0</formula>
    </cfRule>
  </conditionalFormatting>
  <conditionalFormatting sqref="I22:I29">
    <cfRule type="cellIs" dxfId="182" priority="218" operator="lessThan">
      <formula>0</formula>
    </cfRule>
  </conditionalFormatting>
  <conditionalFormatting sqref="I22:I29">
    <cfRule type="cellIs" dxfId="181" priority="217" operator="lessThan">
      <formula>0</formula>
    </cfRule>
  </conditionalFormatting>
  <conditionalFormatting sqref="I22:I29">
    <cfRule type="cellIs" dxfId="180" priority="216" operator="lessThan">
      <formula>0</formula>
    </cfRule>
  </conditionalFormatting>
  <conditionalFormatting sqref="I22:I29">
    <cfRule type="cellIs" dxfId="179" priority="215" operator="lessThan">
      <formula>0</formula>
    </cfRule>
  </conditionalFormatting>
  <conditionalFormatting sqref="I22:I29">
    <cfRule type="cellIs" dxfId="178" priority="214" operator="lessThan">
      <formula>0</formula>
    </cfRule>
  </conditionalFormatting>
  <conditionalFormatting sqref="I22:I29">
    <cfRule type="cellIs" dxfId="177" priority="213" operator="lessThan">
      <formula>0</formula>
    </cfRule>
  </conditionalFormatting>
  <conditionalFormatting sqref="I22:I29">
    <cfRule type="cellIs" dxfId="176" priority="212" operator="lessThan">
      <formula>0</formula>
    </cfRule>
  </conditionalFormatting>
  <conditionalFormatting sqref="I22:I29">
    <cfRule type="cellIs" dxfId="175" priority="211" operator="lessThan">
      <formula>0</formula>
    </cfRule>
  </conditionalFormatting>
  <conditionalFormatting sqref="I22:I29">
    <cfRule type="cellIs" dxfId="174" priority="210" operator="lessThan">
      <formula>0</formula>
    </cfRule>
  </conditionalFormatting>
  <conditionalFormatting sqref="I22:I29">
    <cfRule type="cellIs" dxfId="173" priority="209" operator="lessThan">
      <formula>0</formula>
    </cfRule>
  </conditionalFormatting>
  <conditionalFormatting sqref="I22:I29">
    <cfRule type="cellIs" dxfId="172" priority="208" operator="lessThan">
      <formula>0</formula>
    </cfRule>
  </conditionalFormatting>
  <conditionalFormatting sqref="I22:I29">
    <cfRule type="cellIs" dxfId="171" priority="207" operator="lessThan">
      <formula>0</formula>
    </cfRule>
  </conditionalFormatting>
  <conditionalFormatting sqref="I22:I29">
    <cfRule type="cellIs" dxfId="170" priority="206" operator="lessThan">
      <formula>0</formula>
    </cfRule>
  </conditionalFormatting>
  <conditionalFormatting sqref="I22:I29">
    <cfRule type="cellIs" dxfId="169" priority="205" operator="lessThan">
      <formula>0</formula>
    </cfRule>
  </conditionalFormatting>
  <conditionalFormatting sqref="I22:I29">
    <cfRule type="cellIs" dxfId="168" priority="204" operator="lessThan">
      <formula>0</formula>
    </cfRule>
  </conditionalFormatting>
  <conditionalFormatting sqref="I22:I29">
    <cfRule type="cellIs" dxfId="167" priority="203" operator="lessThan">
      <formula>0</formula>
    </cfRule>
  </conditionalFormatting>
  <conditionalFormatting sqref="I22:I29">
    <cfRule type="cellIs" dxfId="166" priority="202" operator="lessThan">
      <formula>0</formula>
    </cfRule>
  </conditionalFormatting>
  <conditionalFormatting sqref="I22:I29">
    <cfRule type="cellIs" dxfId="165" priority="201" operator="lessThan">
      <formula>0</formula>
    </cfRule>
  </conditionalFormatting>
  <conditionalFormatting sqref="I22:I29">
    <cfRule type="cellIs" dxfId="164" priority="200" operator="lessThan">
      <formula>0</formula>
    </cfRule>
  </conditionalFormatting>
  <conditionalFormatting sqref="I22:I29">
    <cfRule type="cellIs" dxfId="163" priority="199" operator="lessThan">
      <formula>0</formula>
    </cfRule>
  </conditionalFormatting>
  <conditionalFormatting sqref="I22:I29">
    <cfRule type="cellIs" dxfId="162" priority="198" operator="lessThan">
      <formula>0</formula>
    </cfRule>
  </conditionalFormatting>
  <conditionalFormatting sqref="I22:I29">
    <cfRule type="cellIs" dxfId="161" priority="197" operator="lessThan">
      <formula>0</formula>
    </cfRule>
  </conditionalFormatting>
  <conditionalFormatting sqref="I22:I29">
    <cfRule type="cellIs" dxfId="160" priority="196" operator="lessThan">
      <formula>0</formula>
    </cfRule>
  </conditionalFormatting>
  <conditionalFormatting sqref="I22:I29">
    <cfRule type="cellIs" dxfId="159" priority="195" operator="lessThan">
      <formula>0</formula>
    </cfRule>
  </conditionalFormatting>
  <conditionalFormatting sqref="I22:I29">
    <cfRule type="cellIs" dxfId="158" priority="194" operator="lessThan">
      <formula>0</formula>
    </cfRule>
  </conditionalFormatting>
  <conditionalFormatting sqref="I22:I29">
    <cfRule type="cellIs" dxfId="157" priority="193" operator="lessThan">
      <formula>0</formula>
    </cfRule>
  </conditionalFormatting>
  <conditionalFormatting sqref="I22:I29">
    <cfRule type="cellIs" dxfId="156" priority="192" operator="lessThan">
      <formula>0</formula>
    </cfRule>
  </conditionalFormatting>
  <conditionalFormatting sqref="I22:I29">
    <cfRule type="cellIs" dxfId="155" priority="191" operator="lessThan">
      <formula>0</formula>
    </cfRule>
  </conditionalFormatting>
  <conditionalFormatting sqref="I22:I29">
    <cfRule type="cellIs" dxfId="154" priority="190" operator="lessThan">
      <formula>0</formula>
    </cfRule>
  </conditionalFormatting>
  <conditionalFormatting sqref="I22:I29">
    <cfRule type="cellIs" dxfId="153" priority="189" operator="lessThan">
      <formula>0</formula>
    </cfRule>
  </conditionalFormatting>
  <conditionalFormatting sqref="I22:I29">
    <cfRule type="cellIs" dxfId="152" priority="188" operator="lessThan">
      <formula>0</formula>
    </cfRule>
  </conditionalFormatting>
  <conditionalFormatting sqref="I22:I29">
    <cfRule type="cellIs" dxfId="151" priority="187" operator="lessThan">
      <formula>0</formula>
    </cfRule>
  </conditionalFormatting>
  <conditionalFormatting sqref="I22:I29">
    <cfRule type="cellIs" dxfId="150" priority="186" operator="lessThan">
      <formula>0</formula>
    </cfRule>
  </conditionalFormatting>
  <conditionalFormatting sqref="I22:I29">
    <cfRule type="cellIs" dxfId="149" priority="185" operator="lessThan">
      <formula>0</formula>
    </cfRule>
  </conditionalFormatting>
  <conditionalFormatting sqref="I22:I29">
    <cfRule type="cellIs" dxfId="148" priority="184" operator="lessThan">
      <formula>0</formula>
    </cfRule>
  </conditionalFormatting>
  <conditionalFormatting sqref="I22:I29">
    <cfRule type="cellIs" dxfId="147" priority="183" operator="lessThan">
      <formula>0</formula>
    </cfRule>
  </conditionalFormatting>
  <conditionalFormatting sqref="I22:I29">
    <cfRule type="cellIs" dxfId="146" priority="182" operator="lessThan">
      <formula>0</formula>
    </cfRule>
  </conditionalFormatting>
  <conditionalFormatting sqref="I22:I29">
    <cfRule type="cellIs" dxfId="145" priority="181" operator="lessThan">
      <formula>0</formula>
    </cfRule>
  </conditionalFormatting>
  <conditionalFormatting sqref="I22:I29">
    <cfRule type="cellIs" dxfId="144" priority="180" operator="lessThan">
      <formula>0</formula>
    </cfRule>
  </conditionalFormatting>
  <conditionalFormatting sqref="I22:I29">
    <cfRule type="cellIs" dxfId="143" priority="179" operator="lessThan">
      <formula>0</formula>
    </cfRule>
  </conditionalFormatting>
  <conditionalFormatting sqref="I22:I29">
    <cfRule type="cellIs" dxfId="142" priority="178" operator="lessThan">
      <formula>0</formula>
    </cfRule>
  </conditionalFormatting>
  <conditionalFormatting sqref="I22:I29">
    <cfRule type="cellIs" dxfId="141" priority="177" operator="lessThan">
      <formula>0</formula>
    </cfRule>
  </conditionalFormatting>
  <conditionalFormatting sqref="I22:I29">
    <cfRule type="cellIs" dxfId="140" priority="176" operator="lessThan">
      <formula>0</formula>
    </cfRule>
  </conditionalFormatting>
  <conditionalFormatting sqref="I22:I29">
    <cfRule type="cellIs" dxfId="139" priority="175" operator="lessThan">
      <formula>0</formula>
    </cfRule>
  </conditionalFormatting>
  <conditionalFormatting sqref="I22:I29">
    <cfRule type="cellIs" dxfId="138" priority="174" operator="lessThan">
      <formula>0</formula>
    </cfRule>
  </conditionalFormatting>
  <conditionalFormatting sqref="I22:I29">
    <cfRule type="cellIs" dxfId="137" priority="173" operator="lessThan">
      <formula>0</formula>
    </cfRule>
  </conditionalFormatting>
  <conditionalFormatting sqref="I22:I29">
    <cfRule type="cellIs" dxfId="136" priority="172" operator="lessThan">
      <formula>0</formula>
    </cfRule>
  </conditionalFormatting>
  <conditionalFormatting sqref="I22:I29">
    <cfRule type="cellIs" dxfId="135" priority="171" operator="lessThan">
      <formula>0</formula>
    </cfRule>
  </conditionalFormatting>
  <conditionalFormatting sqref="I22:I29">
    <cfRule type="cellIs" dxfId="134" priority="170" operator="lessThan">
      <formula>0</formula>
    </cfRule>
  </conditionalFormatting>
  <conditionalFormatting sqref="I22:I29">
    <cfRule type="cellIs" dxfId="133" priority="169" operator="lessThan">
      <formula>0</formula>
    </cfRule>
  </conditionalFormatting>
  <conditionalFormatting sqref="I22:I29">
    <cfRule type="cellIs" dxfId="132" priority="168" operator="lessThan">
      <formula>0</formula>
    </cfRule>
  </conditionalFormatting>
  <conditionalFormatting sqref="I22:I29">
    <cfRule type="cellIs" dxfId="131" priority="167" operator="lessThan">
      <formula>0</formula>
    </cfRule>
  </conditionalFormatting>
  <conditionalFormatting sqref="I22:I29">
    <cfRule type="cellIs" dxfId="130" priority="166" operator="lessThan">
      <formula>0</formula>
    </cfRule>
  </conditionalFormatting>
  <conditionalFormatting sqref="I22:I29">
    <cfRule type="cellIs" dxfId="129" priority="165" operator="lessThan">
      <formula>0</formula>
    </cfRule>
  </conditionalFormatting>
  <conditionalFormatting sqref="I22:I29">
    <cfRule type="cellIs" dxfId="128" priority="164" operator="lessThan">
      <formula>0</formula>
    </cfRule>
  </conditionalFormatting>
  <conditionalFormatting sqref="I22:I29">
    <cfRule type="cellIs" dxfId="127" priority="163" operator="lessThan">
      <formula>0</formula>
    </cfRule>
  </conditionalFormatting>
  <conditionalFormatting sqref="I22:I29">
    <cfRule type="cellIs" dxfId="126" priority="162" operator="lessThan">
      <formula>0</formula>
    </cfRule>
  </conditionalFormatting>
  <conditionalFormatting sqref="I22:I29">
    <cfRule type="cellIs" dxfId="125" priority="161" operator="lessThan">
      <formula>0</formula>
    </cfRule>
  </conditionalFormatting>
  <conditionalFormatting sqref="I22:I29">
    <cfRule type="cellIs" dxfId="124" priority="160" operator="lessThan">
      <formula>0</formula>
    </cfRule>
  </conditionalFormatting>
  <conditionalFormatting sqref="I22:I29">
    <cfRule type="cellIs" dxfId="123" priority="159" operator="lessThan">
      <formula>0</formula>
    </cfRule>
  </conditionalFormatting>
  <conditionalFormatting sqref="I22:I29">
    <cfRule type="cellIs" dxfId="122" priority="158" operator="lessThan">
      <formula>0</formula>
    </cfRule>
  </conditionalFormatting>
  <conditionalFormatting sqref="I22:I29">
    <cfRule type="cellIs" dxfId="121" priority="157" operator="lessThan">
      <formula>0</formula>
    </cfRule>
  </conditionalFormatting>
  <conditionalFormatting sqref="I22:I29">
    <cfRule type="cellIs" dxfId="120" priority="156" operator="lessThan">
      <formula>0</formula>
    </cfRule>
  </conditionalFormatting>
  <conditionalFormatting sqref="I22:I29">
    <cfRule type="cellIs" dxfId="119" priority="155" operator="lessThan">
      <formula>0</formula>
    </cfRule>
  </conditionalFormatting>
  <conditionalFormatting sqref="I22:I29">
    <cfRule type="cellIs" dxfId="118" priority="154" operator="lessThan">
      <formula>0</formula>
    </cfRule>
  </conditionalFormatting>
  <conditionalFormatting sqref="I22:I29">
    <cfRule type="cellIs" dxfId="117" priority="153" operator="lessThan">
      <formula>0</formula>
    </cfRule>
  </conditionalFormatting>
  <conditionalFormatting sqref="I22:I29">
    <cfRule type="cellIs" dxfId="116" priority="152" operator="lessThan">
      <formula>0</formula>
    </cfRule>
  </conditionalFormatting>
  <conditionalFormatting sqref="I22:I29">
    <cfRule type="cellIs" dxfId="115" priority="151" operator="lessThan">
      <formula>0</formula>
    </cfRule>
  </conditionalFormatting>
  <conditionalFormatting sqref="I22:I29">
    <cfRule type="cellIs" dxfId="114" priority="150" operator="lessThan">
      <formula>0</formula>
    </cfRule>
  </conditionalFormatting>
  <conditionalFormatting sqref="I22:I29">
    <cfRule type="cellIs" dxfId="113" priority="149" operator="lessThan">
      <formula>0</formula>
    </cfRule>
  </conditionalFormatting>
  <conditionalFormatting sqref="I22:I29">
    <cfRule type="cellIs" dxfId="112" priority="148" operator="lessThan">
      <formula>0</formula>
    </cfRule>
  </conditionalFormatting>
  <conditionalFormatting sqref="I22:I29">
    <cfRule type="cellIs" dxfId="111" priority="147" operator="lessThan">
      <formula>0</formula>
    </cfRule>
  </conditionalFormatting>
  <conditionalFormatting sqref="I22:I29">
    <cfRule type="cellIs" dxfId="110" priority="146" operator="lessThan">
      <formula>0</formula>
    </cfRule>
  </conditionalFormatting>
  <conditionalFormatting sqref="I22:I29">
    <cfRule type="cellIs" dxfId="109" priority="145" operator="lessThan">
      <formula>0</formula>
    </cfRule>
  </conditionalFormatting>
  <conditionalFormatting sqref="I22:I29">
    <cfRule type="cellIs" dxfId="108" priority="144" operator="lessThan">
      <formula>0</formula>
    </cfRule>
  </conditionalFormatting>
  <conditionalFormatting sqref="I22:I29">
    <cfRule type="cellIs" dxfId="107" priority="143" operator="lessThan">
      <formula>0</formula>
    </cfRule>
  </conditionalFormatting>
  <conditionalFormatting sqref="I22:I29">
    <cfRule type="cellIs" dxfId="106" priority="142" operator="lessThan">
      <formula>0</formula>
    </cfRule>
  </conditionalFormatting>
  <conditionalFormatting sqref="I22:I29">
    <cfRule type="cellIs" dxfId="105" priority="141" operator="lessThan">
      <formula>0</formula>
    </cfRule>
  </conditionalFormatting>
  <conditionalFormatting sqref="I22:I29">
    <cfRule type="cellIs" dxfId="104" priority="140" operator="lessThan">
      <formula>0</formula>
    </cfRule>
  </conditionalFormatting>
  <conditionalFormatting sqref="I22:I29">
    <cfRule type="cellIs" dxfId="103" priority="139" operator="lessThan">
      <formula>0</formula>
    </cfRule>
  </conditionalFormatting>
  <conditionalFormatting sqref="I22:I29">
    <cfRule type="cellIs" dxfId="102" priority="138" operator="lessThan">
      <formula>0</formula>
    </cfRule>
  </conditionalFormatting>
  <conditionalFormatting sqref="I22:I29">
    <cfRule type="cellIs" dxfId="101" priority="137" operator="lessThan">
      <formula>0</formula>
    </cfRule>
  </conditionalFormatting>
  <conditionalFormatting sqref="I22:I29">
    <cfRule type="cellIs" dxfId="100" priority="136" operator="lessThan">
      <formula>0</formula>
    </cfRule>
  </conditionalFormatting>
  <conditionalFormatting sqref="I22:I29">
    <cfRule type="cellIs" dxfId="99" priority="135" operator="lessThan">
      <formula>0</formula>
    </cfRule>
  </conditionalFormatting>
  <conditionalFormatting sqref="I22:I29">
    <cfRule type="cellIs" dxfId="98" priority="134" operator="lessThan">
      <formula>0</formula>
    </cfRule>
  </conditionalFormatting>
  <conditionalFormatting sqref="I22:I29">
    <cfRule type="cellIs" dxfId="97" priority="133" operator="lessThan">
      <formula>0</formula>
    </cfRule>
  </conditionalFormatting>
  <conditionalFormatting sqref="I22:I29">
    <cfRule type="cellIs" dxfId="96" priority="132" operator="lessThan">
      <formula>0</formula>
    </cfRule>
  </conditionalFormatting>
  <conditionalFormatting sqref="I22:I29">
    <cfRule type="cellIs" dxfId="95" priority="131" operator="lessThan">
      <formula>0</formula>
    </cfRule>
  </conditionalFormatting>
  <conditionalFormatting sqref="I22:I29">
    <cfRule type="cellIs" dxfId="94" priority="130" operator="lessThan">
      <formula>0</formula>
    </cfRule>
  </conditionalFormatting>
  <conditionalFormatting sqref="I22:I29">
    <cfRule type="cellIs" dxfId="93" priority="129" operator="lessThan">
      <formula>0</formula>
    </cfRule>
  </conditionalFormatting>
  <conditionalFormatting sqref="I22:I29">
    <cfRule type="cellIs" dxfId="92" priority="128" operator="lessThan">
      <formula>0</formula>
    </cfRule>
  </conditionalFormatting>
  <conditionalFormatting sqref="I22:I29">
    <cfRule type="cellIs" dxfId="91" priority="127" operator="lessThan">
      <formula>0</formula>
    </cfRule>
  </conditionalFormatting>
  <conditionalFormatting sqref="I22:I29">
    <cfRule type="cellIs" dxfId="90" priority="126" operator="lessThan">
      <formula>0</formula>
    </cfRule>
  </conditionalFormatting>
  <conditionalFormatting sqref="I22:I29">
    <cfRule type="cellIs" dxfId="89" priority="125" operator="lessThan">
      <formula>0</formula>
    </cfRule>
  </conditionalFormatting>
  <conditionalFormatting sqref="I22:I29">
    <cfRule type="cellIs" dxfId="88" priority="124" operator="lessThan">
      <formula>0</formula>
    </cfRule>
  </conditionalFormatting>
  <conditionalFormatting sqref="I22:I29">
    <cfRule type="cellIs" dxfId="87" priority="123" operator="lessThan">
      <formula>0</formula>
    </cfRule>
  </conditionalFormatting>
  <conditionalFormatting sqref="I22:I29">
    <cfRule type="cellIs" dxfId="86" priority="122" operator="lessThan">
      <formula>0</formula>
    </cfRule>
  </conditionalFormatting>
  <conditionalFormatting sqref="I22:I29">
    <cfRule type="cellIs" dxfId="85" priority="121" operator="lessThan">
      <formula>0</formula>
    </cfRule>
  </conditionalFormatting>
  <conditionalFormatting sqref="I22:I29">
    <cfRule type="cellIs" dxfId="84" priority="120" operator="lessThan">
      <formula>0</formula>
    </cfRule>
  </conditionalFormatting>
  <conditionalFormatting sqref="I22:I29">
    <cfRule type="cellIs" dxfId="83" priority="119" operator="lessThan">
      <formula>0</formula>
    </cfRule>
  </conditionalFormatting>
  <conditionalFormatting sqref="I22:I29">
    <cfRule type="cellIs" dxfId="82" priority="118" operator="lessThan">
      <formula>0</formula>
    </cfRule>
  </conditionalFormatting>
  <conditionalFormatting sqref="I22:I29">
    <cfRule type="cellIs" dxfId="81" priority="117" operator="lessThan">
      <formula>0</formula>
    </cfRule>
  </conditionalFormatting>
  <conditionalFormatting sqref="I22:I29">
    <cfRule type="cellIs" dxfId="80" priority="116" operator="lessThan">
      <formula>0</formula>
    </cfRule>
  </conditionalFormatting>
  <conditionalFormatting sqref="I22:I29">
    <cfRule type="cellIs" dxfId="79" priority="115" operator="lessThan">
      <formula>0</formula>
    </cfRule>
  </conditionalFormatting>
  <conditionalFormatting sqref="I22:I29">
    <cfRule type="cellIs" dxfId="78" priority="114" operator="lessThan">
      <formula>0</formula>
    </cfRule>
  </conditionalFormatting>
  <conditionalFormatting sqref="I22:I29">
    <cfRule type="cellIs" dxfId="77" priority="113" operator="lessThan">
      <formula>0</formula>
    </cfRule>
  </conditionalFormatting>
  <conditionalFormatting sqref="I22:I29">
    <cfRule type="cellIs" dxfId="76" priority="112" operator="lessThan">
      <formula>0</formula>
    </cfRule>
  </conditionalFormatting>
  <conditionalFormatting sqref="I22:I29">
    <cfRule type="cellIs" dxfId="75" priority="111" operator="lessThan">
      <formula>0</formula>
    </cfRule>
  </conditionalFormatting>
  <conditionalFormatting sqref="I22:I29">
    <cfRule type="cellIs" dxfId="74" priority="110" operator="lessThan">
      <formula>0</formula>
    </cfRule>
  </conditionalFormatting>
  <conditionalFormatting sqref="I22:I29">
    <cfRule type="cellIs" dxfId="73" priority="109" operator="lessThan">
      <formula>0</formula>
    </cfRule>
  </conditionalFormatting>
  <conditionalFormatting sqref="I22:I29">
    <cfRule type="cellIs" dxfId="72" priority="108" operator="lessThan">
      <formula>0</formula>
    </cfRule>
  </conditionalFormatting>
  <conditionalFormatting sqref="I22:I29">
    <cfRule type="cellIs" dxfId="71" priority="107" operator="lessThan">
      <formula>0</formula>
    </cfRule>
  </conditionalFormatting>
  <conditionalFormatting sqref="I22:I29">
    <cfRule type="cellIs" dxfId="70" priority="106" operator="lessThan">
      <formula>0</formula>
    </cfRule>
  </conditionalFormatting>
  <conditionalFormatting sqref="I22:I29">
    <cfRule type="cellIs" dxfId="69" priority="105" operator="lessThan">
      <formula>0</formula>
    </cfRule>
  </conditionalFormatting>
  <conditionalFormatting sqref="I22:I29">
    <cfRule type="cellIs" dxfId="68" priority="104" operator="lessThan">
      <formula>0</formula>
    </cfRule>
  </conditionalFormatting>
  <conditionalFormatting sqref="I22:I29">
    <cfRule type="cellIs" dxfId="67" priority="103" operator="lessThan">
      <formula>0</formula>
    </cfRule>
  </conditionalFormatting>
  <conditionalFormatting sqref="I22:I29">
    <cfRule type="cellIs" dxfId="66" priority="102" operator="lessThan">
      <formula>0</formula>
    </cfRule>
  </conditionalFormatting>
  <conditionalFormatting sqref="I22:I29">
    <cfRule type="cellIs" dxfId="65" priority="101" operator="lessThan">
      <formula>0</formula>
    </cfRule>
  </conditionalFormatting>
  <conditionalFormatting sqref="I22:I29">
    <cfRule type="cellIs" dxfId="64" priority="100" operator="lessThan">
      <formula>0</formula>
    </cfRule>
  </conditionalFormatting>
  <conditionalFormatting sqref="I22:I29">
    <cfRule type="cellIs" dxfId="63" priority="99" operator="lessThan">
      <formula>0</formula>
    </cfRule>
  </conditionalFormatting>
  <conditionalFormatting sqref="I22:I29">
    <cfRule type="cellIs" dxfId="62" priority="98" operator="lessThan">
      <formula>0</formula>
    </cfRule>
  </conditionalFormatting>
  <conditionalFormatting sqref="I22:I29">
    <cfRule type="cellIs" dxfId="61" priority="97" operator="lessThan">
      <formula>0</formula>
    </cfRule>
  </conditionalFormatting>
  <conditionalFormatting sqref="I22:I29">
    <cfRule type="cellIs" dxfId="60" priority="96" operator="lessThan">
      <formula>0</formula>
    </cfRule>
  </conditionalFormatting>
  <conditionalFormatting sqref="I22:I29">
    <cfRule type="cellIs" dxfId="59" priority="95" operator="lessThan">
      <formula>0</formula>
    </cfRule>
  </conditionalFormatting>
  <conditionalFormatting sqref="I22:I29">
    <cfRule type="cellIs" dxfId="58" priority="94" operator="lessThan">
      <formula>0</formula>
    </cfRule>
  </conditionalFormatting>
  <conditionalFormatting sqref="I22:I29">
    <cfRule type="cellIs" dxfId="57" priority="93" operator="lessThan">
      <formula>0</formula>
    </cfRule>
  </conditionalFormatting>
  <conditionalFormatting sqref="I22:I29">
    <cfRule type="cellIs" dxfId="56" priority="92" operator="lessThan">
      <formula>0</formula>
    </cfRule>
  </conditionalFormatting>
  <conditionalFormatting sqref="I22:I29">
    <cfRule type="cellIs" dxfId="55" priority="91" operator="lessThan">
      <formula>0</formula>
    </cfRule>
  </conditionalFormatting>
  <conditionalFormatting sqref="I22:I29">
    <cfRule type="cellIs" dxfId="54" priority="90" operator="lessThan">
      <formula>0</formula>
    </cfRule>
  </conditionalFormatting>
  <conditionalFormatting sqref="I22:I29">
    <cfRule type="cellIs" dxfId="53" priority="89" operator="lessThan">
      <formula>0</formula>
    </cfRule>
  </conditionalFormatting>
  <conditionalFormatting sqref="I22:I29">
    <cfRule type="cellIs" dxfId="52" priority="88" operator="lessThan">
      <formula>0</formula>
    </cfRule>
  </conditionalFormatting>
  <conditionalFormatting sqref="I22:I29">
    <cfRule type="cellIs" dxfId="51" priority="87" operator="lessThan">
      <formula>0</formula>
    </cfRule>
  </conditionalFormatting>
  <conditionalFormatting sqref="I22:I29">
    <cfRule type="cellIs" dxfId="50" priority="86" operator="lessThan">
      <formula>0</formula>
    </cfRule>
  </conditionalFormatting>
  <conditionalFormatting sqref="I22:I29">
    <cfRule type="cellIs" dxfId="49" priority="85" operator="lessThan">
      <formula>0</formula>
    </cfRule>
  </conditionalFormatting>
  <conditionalFormatting sqref="I22:I29">
    <cfRule type="cellIs" dxfId="48" priority="84" operator="lessThan">
      <formula>0</formula>
    </cfRule>
  </conditionalFormatting>
  <conditionalFormatting sqref="I22:I29">
    <cfRule type="cellIs" dxfId="47" priority="83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6"/>
  <sheetViews>
    <sheetView zoomScale="85" zoomScaleNormal="85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S25" sqref="S25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7" t="s">
        <v>84</v>
      </c>
      <c r="C1" s="402" t="e" cm="1">
        <f t="array" aca="1" ref="C1" ca="1">_xll.BDP(B1&amp;" EQUITY","LAST_PRICE")</f>
        <v>#NAME?</v>
      </c>
      <c r="D1" s="32" t="e">
        <f t="shared" ref="D1:D10" ca="1" si="0">C1/E1-1</f>
        <v>#NAME?</v>
      </c>
      <c r="E1" s="400" t="e">
        <f ca="1">_xll.BDP(B1&amp;" EQUITY","PX_YEST_CLOSE")</f>
        <v>#NAME?</v>
      </c>
      <c r="F1" t="s">
        <v>1097</v>
      </c>
      <c r="H1" s="399" t="e" cm="1">
        <f t="array" aca="1" ref="H1" ca="1">_xll.BDP(F1&amp;" EQUITY","LAST_PRICE")</f>
        <v>#NAME?</v>
      </c>
      <c r="I1" s="139" t="e">
        <f ca="1">H1/J1-1</f>
        <v>#NAME?</v>
      </c>
      <c r="J1" s="396" t="e">
        <f ca="1">_xll.BDP(F1&amp;" EQUITY","PX_YEST_CLOSE")</f>
        <v>#NAME?</v>
      </c>
      <c r="K1" s="397" t="s">
        <v>6</v>
      </c>
      <c r="L1" s="402" t="e" cm="1">
        <f t="array" aca="1" ref="L1" ca="1">_xll.BDP(K1&amp;" EQUITY","LAST_PRICE")</f>
        <v>#NAME?</v>
      </c>
      <c r="M1" s="32" t="e">
        <f t="shared" ref="M1:M10" ca="1" si="1">L1/N1-1</f>
        <v>#NAME?</v>
      </c>
      <c r="N1" s="400" t="e">
        <f ca="1">_xll.BDP(K1&amp;" EQUITY","PX_YEST_CLOSE")</f>
        <v>#NAME?</v>
      </c>
      <c r="P1" s="1" t="e">
        <f ca="1">S1/$M$6</f>
        <v>#VALUE!</v>
      </c>
      <c r="Q1" t="s">
        <v>578</v>
      </c>
      <c r="R1" s="5" t="e">
        <f ca="1">SUM(U17:U39)</f>
        <v>#VALUE!</v>
      </c>
      <c r="S1" s="5" t="e">
        <f ca="1">T1/R1/10000</f>
        <v>#VALUE!</v>
      </c>
      <c r="T1" s="205" t="e">
        <f ca="1">SUM(V17:V39)</f>
        <v>#VALUE!</v>
      </c>
      <c r="U1" s="338" t="e">
        <f ca="1">SUM(U15:U16)</f>
        <v>#VALUE!</v>
      </c>
      <c r="V1" s="295" t="e">
        <f ca="1">SUM(V15:V16)</f>
        <v>#VALUE!</v>
      </c>
      <c r="W1" s="205"/>
      <c r="Z1" s="205" t="e">
        <f>#REF!+#REF!+#REF!+#REF!+#REF!+#REF!+#REF!+#REF!</f>
        <v>#REF!</v>
      </c>
      <c r="AF1" t="s">
        <v>1106</v>
      </c>
      <c r="AG1" s="196" t="e">
        <f ca="1">_xll.BDP(AG2&amp;" index","LAST_PRICE")</f>
        <v>#NAME?</v>
      </c>
      <c r="AH1" s="196"/>
      <c r="AI1" s="196" t="e">
        <f ca="1">_xll.BDP(AI2&amp;" index","LAST_PRICE")</f>
        <v>#NAME?</v>
      </c>
    </row>
    <row r="2" spans="1:39">
      <c r="B2" s="397" t="s">
        <v>42</v>
      </c>
      <c r="C2" s="402" t="e" cm="1">
        <f t="array" aca="1" ref="C2" ca="1">_xll.BDP(B2&amp;" EQUITY","LAST_PRICE")</f>
        <v>#NAME?</v>
      </c>
      <c r="D2" s="32" t="e">
        <f t="shared" ca="1" si="0"/>
        <v>#NAME?</v>
      </c>
      <c r="E2" s="400" t="e">
        <f ca="1">_xll.BDP(B2&amp;" EQUITY","PX_YEST_CLOSE")</f>
        <v>#NAME?</v>
      </c>
      <c r="F2" t="s">
        <v>341</v>
      </c>
      <c r="H2" s="399" t="e" cm="1">
        <f t="array" aca="1" ref="H2" ca="1">_xll.BDP(F2&amp;" EQUITY","LAST_PRICE")</f>
        <v>#NAME?</v>
      </c>
      <c r="I2" s="139" t="e">
        <f t="shared" ref="I2:I8" ca="1" si="2">H2/J2-1</f>
        <v>#NAME?</v>
      </c>
      <c r="J2" s="396" t="e">
        <f ca="1">_xll.BDP(F2&amp;" EQUITY","PX_YEST_CLOSE")</f>
        <v>#NAME?</v>
      </c>
      <c r="K2" s="397" t="s">
        <v>37</v>
      </c>
      <c r="L2" s="402" t="e" cm="1">
        <f t="array" aca="1" ref="L2" ca="1">_xll.BDP(K2&amp;" EQUITY","LAST_PRICE")</f>
        <v>#NAME?</v>
      </c>
      <c r="M2" s="32" t="e">
        <f t="shared" ca="1" si="1"/>
        <v>#NAME?</v>
      </c>
      <c r="N2" s="400" t="e">
        <f ca="1">_xll.BDP(K2&amp;" EQUITY","PX_YEST_CLOSE")</f>
        <v>#NAME?</v>
      </c>
      <c r="O2" s="49"/>
      <c r="P2" s="1" t="e">
        <f ca="1">S2/$M$6</f>
        <v>#VALUE!</v>
      </c>
      <c r="Q2" t="s">
        <v>1147</v>
      </c>
      <c r="R2" s="5" t="e">
        <f ca="1">SUM(U22:U26)</f>
        <v>#VALUE!</v>
      </c>
      <c r="S2" s="5" t="e">
        <f ca="1">T2/R2/10000</f>
        <v>#VALUE!</v>
      </c>
      <c r="T2" s="205" t="e">
        <f ca="1">SUM(V22:V26)</f>
        <v>#VALUE!</v>
      </c>
      <c r="U2" s="338"/>
      <c r="V2" s="295"/>
      <c r="W2" s="205" t="e">
        <f ca="1">W5/W6</f>
        <v>#VALUE!</v>
      </c>
      <c r="Z2" s="18" t="s">
        <v>377</v>
      </c>
      <c r="AA2" s="5"/>
      <c r="AB2" s="1" t="e" cm="1">
        <f t="array" aca="1" ref="AB2" ca="1">_xll.BDP($A2&amp;" Equity","volatility_30d")</f>
        <v>#NAME?</v>
      </c>
      <c r="AC2" s="14" t="e" cm="1">
        <f t="array" aca="1" ref="AC2" ca="1">_xll.BDP($A2&amp;" Equity","EQY_BETA")</f>
        <v>#NAME?</v>
      </c>
      <c r="AD2" s="1" t="e" cm="1">
        <f t="array" aca="1" ref="AD2" ca="1">_xll.BDP($A2&amp;" Equity","EQY_BETA")</f>
        <v>#NAME?</v>
      </c>
      <c r="AF2" s="3"/>
      <c r="AG2" t="s">
        <v>574</v>
      </c>
      <c r="AH2" s="31"/>
      <c r="AI2" t="s">
        <v>2</v>
      </c>
      <c r="AL2" t="s">
        <v>97</v>
      </c>
    </row>
    <row r="3" spans="1:39" ht="15.75" thickBot="1">
      <c r="B3" s="397" t="s">
        <v>44</v>
      </c>
      <c r="C3" s="402" t="e" cm="1">
        <f t="array" aca="1" ref="C3" ca="1">_xll.BDP(B3&amp;" EQUITY","LAST_PRICE")</f>
        <v>#NAME?</v>
      </c>
      <c r="D3" s="32" t="e">
        <f t="shared" ca="1" si="0"/>
        <v>#NAME?</v>
      </c>
      <c r="E3" s="400" t="e">
        <f ca="1">_xll.BDP(B3&amp;" EQUITY","PX_YEST_CLOSE")</f>
        <v>#NAME?</v>
      </c>
      <c r="F3" t="s">
        <v>333</v>
      </c>
      <c r="H3" s="399" t="e" cm="1">
        <f t="array" aca="1" ref="H3" ca="1">_xll.BDP(F3&amp;" EQUITY","LAST_PRICE")</f>
        <v>#NAME?</v>
      </c>
      <c r="I3" s="139" t="e">
        <f t="shared" ca="1" si="2"/>
        <v>#NAME?</v>
      </c>
      <c r="J3" s="396" t="e">
        <f ca="1">_xll.BDP(F3&amp;" EQUITY","PX_YEST_CLOSE")</f>
        <v>#NAME?</v>
      </c>
      <c r="K3" s="397" t="s">
        <v>43</v>
      </c>
      <c r="L3" s="402" t="e" cm="1">
        <f t="array" aca="1" ref="L3" ca="1">_xll.BDP(K3&amp;" EQUITY","LAST_PRICE")</f>
        <v>#NAME?</v>
      </c>
      <c r="M3" s="32" t="e">
        <f t="shared" ca="1" si="1"/>
        <v>#NAME?</v>
      </c>
      <c r="N3" s="400" t="e">
        <f ca="1">_xll.BDP(K3&amp;" EQUITY","PX_YEST_CLOSE")</f>
        <v>#NAME?</v>
      </c>
      <c r="O3" s="5"/>
      <c r="P3" s="1" t="e">
        <f ca="1">S3/$M$6</f>
        <v>#VALUE!</v>
      </c>
      <c r="Q3" t="s">
        <v>1181</v>
      </c>
      <c r="R3" s="5" t="e">
        <f ca="1">SUM(U35:U39)</f>
        <v>#VALUE!</v>
      </c>
      <c r="S3" s="5" t="e">
        <f ca="1">T3/R3/10000</f>
        <v>#VALUE!</v>
      </c>
      <c r="T3" s="205" t="e">
        <f ca="1">SUM(V35:V39)</f>
        <v>#VALUE!</v>
      </c>
      <c r="U3" s="205" t="e">
        <f ca="1">U5/-U6</f>
        <v>#VALUE!</v>
      </c>
      <c r="W3" s="44" t="s">
        <v>98</v>
      </c>
      <c r="X3" s="5" t="e">
        <f ca="1">_xll.BDP("SPY Equity","LAST_PRICE")/_xll.BDP("SPY Equity","PX_YEST_CLOSE")-1</f>
        <v>#NAME?</v>
      </c>
      <c r="AC3" s="92" t="e" cm="1">
        <f t="array" aca="1" ref="AC3" ca="1">_xll.BDP("brl Curncy","LAST_PRICE")</f>
        <v>#NAME?</v>
      </c>
      <c r="AD3" s="8" t="e">
        <f ca="1">AD5*$AC$3</f>
        <v>#NAME?</v>
      </c>
      <c r="AF3" s="3" t="s">
        <v>1107</v>
      </c>
      <c r="AG3">
        <v>25550</v>
      </c>
      <c r="AH3" s="20" t="e">
        <f ca="1">AG3/$AG$1-1</f>
        <v>#NAME?</v>
      </c>
      <c r="AI3">
        <v>6904</v>
      </c>
      <c r="AJ3" s="20" t="e">
        <f t="shared" ref="AJ3:AJ4" ca="1" si="3">AI3/$AI$1-1</f>
        <v>#NAME?</v>
      </c>
    </row>
    <row r="4" spans="1:39" ht="30.75" thickBot="1">
      <c r="B4" s="397" t="s">
        <v>332</v>
      </c>
      <c r="C4" s="402" t="e" cm="1">
        <f t="array" aca="1" ref="C4" ca="1">_xll.BDP(B4&amp;" EQUITY","LAST_PRICE")</f>
        <v>#NAME?</v>
      </c>
      <c r="D4" s="32" t="e">
        <f t="shared" ca="1" si="0"/>
        <v>#NAME?</v>
      </c>
      <c r="E4" s="400" t="e">
        <f ca="1">_xll.BDP(B4&amp;" EQUITY","PX_YEST_CLOSE")</f>
        <v>#NAME?</v>
      </c>
      <c r="F4" t="s">
        <v>1098</v>
      </c>
      <c r="H4" s="399" t="e" cm="1">
        <f t="array" aca="1" ref="H4" ca="1">_xll.BDP(F4&amp;" EQUITY","LAST_PRICE")</f>
        <v>#NAME?</v>
      </c>
      <c r="I4" s="139" t="e">
        <f t="shared" ca="1" si="2"/>
        <v>#NAME?</v>
      </c>
      <c r="J4" s="396" t="e">
        <f ca="1">_xll.BDP(F4&amp;" EQUITY","PX_YEST_CLOSE")</f>
        <v>#NAME?</v>
      </c>
      <c r="K4" s="397" t="s">
        <v>0</v>
      </c>
      <c r="L4" s="402" t="e" cm="1">
        <f t="array" aca="1" ref="L4" ca="1">_xll.BDP(K4&amp;" EQUITY","LAST_PRICE")</f>
        <v>#NAME?</v>
      </c>
      <c r="M4" s="32" t="e">
        <f t="shared" ca="1" si="1"/>
        <v>#NAME?</v>
      </c>
      <c r="N4" s="400" t="e">
        <f ca="1">_xll.BDP(K4&amp;" EQUITY","PX_YEST_CLOSE")</f>
        <v>#NAME?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541</v>
      </c>
      <c r="AF4" s="3" t="s">
        <v>1108</v>
      </c>
      <c r="AG4">
        <v>24677</v>
      </c>
      <c r="AH4" s="20" t="e">
        <f t="shared" ref="AH4:AH5" ca="1" si="4">AG4/$AG$1-1</f>
        <v>#NAME?</v>
      </c>
      <c r="AI4">
        <v>6700</v>
      </c>
      <c r="AJ4" s="20" t="e">
        <f t="shared" ca="1" si="3"/>
        <v>#NAME?</v>
      </c>
    </row>
    <row r="5" spans="1:39">
      <c r="B5" s="397" t="s">
        <v>316</v>
      </c>
      <c r="C5" s="402" t="e" cm="1">
        <f t="array" aca="1" ref="C5" ca="1">_xll.BDP(B5&amp;" EQUITY","LAST_PRICE")</f>
        <v>#NAME?</v>
      </c>
      <c r="D5" s="32" t="e">
        <f t="shared" ca="1" si="0"/>
        <v>#NAME?</v>
      </c>
      <c r="E5" s="400" t="e">
        <f ca="1">_xll.BDP(B5&amp;" EQUITY","PX_YEST_CLOSE")</f>
        <v>#NAME?</v>
      </c>
      <c r="F5" t="s">
        <v>1099</v>
      </c>
      <c r="H5" s="399" t="e" cm="1">
        <f t="array" aca="1" ref="H5" ca="1">_xll.BDP(F5&amp;" EQUITY","LAST_PRICE")</f>
        <v>#NAME?</v>
      </c>
      <c r="I5" s="139" t="e">
        <f t="shared" ca="1" si="2"/>
        <v>#NAME?</v>
      </c>
      <c r="J5" s="396" t="e">
        <f ca="1">_xll.BDP(F5&amp;" EQUITY","PX_YEST_CLOSE")</f>
        <v>#NAME?</v>
      </c>
      <c r="K5" s="397" t="s">
        <v>3</v>
      </c>
      <c r="L5" s="401" t="e" cm="1">
        <f t="array" aca="1" ref="L5" ca="1">_xll.BDP(K5&amp;" EQUITY","LAST_PRICE")</f>
        <v>#NAME?</v>
      </c>
      <c r="M5" s="32" t="e">
        <f t="shared" ca="1" si="1"/>
        <v>#NAME?</v>
      </c>
      <c r="N5" s="400" t="e">
        <f ca="1">_xll.BDP(K5&amp;" EQUITY","PX_YEST_CLOSE")</f>
        <v>#NAME?</v>
      </c>
      <c r="O5" s="26">
        <f ca="1">SUMIF(O12:O44,"&gt;0")</f>
        <v>0</v>
      </c>
      <c r="P5" s="19">
        <f ca="1">SUMIF($F$12:$F$44,"Long",P12:P44)</f>
        <v>0</v>
      </c>
      <c r="R5" s="26">
        <f ca="1">SUMIF(R12:R44,"&gt;0")</f>
        <v>0</v>
      </c>
      <c r="S5" s="137">
        <f ca="1">SUMIF($F$12:$F$44,"Long",S12:S44)</f>
        <v>0</v>
      </c>
      <c r="T5" t="s">
        <v>47</v>
      </c>
      <c r="U5" s="32" t="e">
        <f ca="1">SUMIF($F$12:$F$44,"Long",U12:U44)</f>
        <v>#VALUE!</v>
      </c>
      <c r="V5" s="38" t="e">
        <f ca="1">SUMIF($F$12:$F$44,"Long",V12:V44)</f>
        <v>#VALUE!</v>
      </c>
      <c r="W5" s="5" t="e">
        <f ca="1">V5/U5/10000</f>
        <v>#VALUE!</v>
      </c>
      <c r="X5" s="5" t="e">
        <f ca="1">W5-$X$3</f>
        <v>#VALUE!</v>
      </c>
      <c r="Y5" s="54" t="e">
        <f ca="1">$U5*X5*10000</f>
        <v>#VALUE!</v>
      </c>
      <c r="Z5" s="9" t="e">
        <f ca="1">U5*$X$3*10000</f>
        <v>#VALUE!</v>
      </c>
      <c r="AA5" s="32" t="e">
        <f ca="1">SUMIF($F$12:$F$44,"Long",AA12:AA44)</f>
        <v>#VALUE!</v>
      </c>
      <c r="AB5" s="205" t="e">
        <f ca="1">AA5/U5</f>
        <v>#VALUE!</v>
      </c>
      <c r="AC5" s="86" t="s">
        <v>111</v>
      </c>
      <c r="AD5" s="87">
        <v>2370560457</v>
      </c>
      <c r="AE5" s="88">
        <f>AD5</f>
        <v>2370560457</v>
      </c>
      <c r="AF5" s="3" t="s">
        <v>1109</v>
      </c>
      <c r="AG5">
        <v>22750</v>
      </c>
      <c r="AH5" s="20" t="e">
        <f t="shared" ca="1" si="4"/>
        <v>#NAME?</v>
      </c>
      <c r="AI5">
        <v>6265</v>
      </c>
      <c r="AJ5" s="20" t="e">
        <f ca="1">AI5/$AI$1-1</f>
        <v>#NAME?</v>
      </c>
    </row>
    <row r="6" spans="1:39">
      <c r="B6" s="397" t="s">
        <v>27</v>
      </c>
      <c r="C6" s="402" t="e" cm="1">
        <f t="array" aca="1" ref="C6" ca="1">_xll.BDP(B6&amp;" EQUITY","LAST_PRICE")</f>
        <v>#NAME?</v>
      </c>
      <c r="D6" s="32" t="e">
        <f t="shared" ca="1" si="0"/>
        <v>#NAME?</v>
      </c>
      <c r="E6" s="400" t="e">
        <f ca="1">_xll.BDP(B6&amp;" EQUITY","PX_YEST_CLOSE")</f>
        <v>#NAME?</v>
      </c>
      <c r="F6" t="s">
        <v>1100</v>
      </c>
      <c r="H6" s="399" t="e" cm="1">
        <f t="array" aca="1" ref="H6" ca="1">_xll.BDP(F6&amp;" EQUITY","LAST_PRICE")</f>
        <v>#NAME?</v>
      </c>
      <c r="I6" s="139" t="e">
        <f t="shared" ca="1" si="2"/>
        <v>#NAME?</v>
      </c>
      <c r="J6" s="396" t="e">
        <f ca="1">_xll.BDP(F6&amp;" EQUITY","PX_YEST_CLOSE")</f>
        <v>#NAME?</v>
      </c>
      <c r="K6" s="397" t="s">
        <v>82</v>
      </c>
      <c r="L6" s="398" t="e" cm="1">
        <f t="array" aca="1" ref="L6" ca="1">_xll.BDP(K6&amp;" EQUITY","LAST_PRICE")</f>
        <v>#NAME?</v>
      </c>
      <c r="M6" s="32" t="e">
        <f t="shared" ca="1" si="1"/>
        <v>#NAME?</v>
      </c>
      <c r="N6" s="400" t="e">
        <f ca="1">_xll.BDP(K6&amp;" EQUITY","PX_YEST_CLOSE")</f>
        <v>#NAME?</v>
      </c>
      <c r="O6" s="26">
        <f ca="1">SUMIF(O12:O44,"&lt;0")</f>
        <v>0</v>
      </c>
      <c r="P6" s="19">
        <f ca="1">SUMIF($F$12:$F$44,"Short",P12:P44)</f>
        <v>0</v>
      </c>
      <c r="R6" s="26">
        <f ca="1">SUMIF(R12:R44,"&lt;0")</f>
        <v>0</v>
      </c>
      <c r="S6" s="137">
        <f ca="1">SUMIF($F$12:$F$44,"Short",S12:S44)</f>
        <v>0</v>
      </c>
      <c r="T6" t="s">
        <v>48</v>
      </c>
      <c r="U6" s="32" t="e">
        <f ca="1">SUMIF($F$12:$F$44,"Short",U12:U44)</f>
        <v>#VALUE!</v>
      </c>
      <c r="V6" s="38" t="e">
        <f ca="1">SUMIF($F$12:$F$44,"Short",V12:V44)</f>
        <v>#VALUE!</v>
      </c>
      <c r="W6" s="5" t="e">
        <f ca="1">V6/U6/10000</f>
        <v>#VALUE!</v>
      </c>
      <c r="X6" s="5" t="e">
        <f ca="1">$X$3-W6</f>
        <v>#NAME?</v>
      </c>
      <c r="Y6" s="54" t="e">
        <f ca="1">-$U6*X6*10000</f>
        <v>#VALUE!</v>
      </c>
      <c r="Z6" s="9" t="e">
        <f ca="1">U6*$X$3*10000</f>
        <v>#VALUE!</v>
      </c>
      <c r="AA6" s="32" t="e">
        <f ca="1">SUMIF($F$12:$F$44,"Short",AA12:AA44)</f>
        <v>#VALUE!</v>
      </c>
      <c r="AB6" s="205" t="e">
        <f ca="1">AA6/U6</f>
        <v>#VALUE!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7" t="s">
        <v>38</v>
      </c>
      <c r="C7" s="401" t="e" cm="1">
        <f t="array" aca="1" ref="C7" ca="1">_xll.BDP(B7&amp;" EQUITY","LAST_PRICE")</f>
        <v>#NAME?</v>
      </c>
      <c r="D7" s="32" t="e">
        <f t="shared" ca="1" si="0"/>
        <v>#NAME?</v>
      </c>
      <c r="E7" s="400" t="e">
        <f ca="1">_xll.BDP(B7&amp;" EQUITY","PX_YEST_CLOSE")</f>
        <v>#NAME?</v>
      </c>
      <c r="F7" t="s">
        <v>1105</v>
      </c>
      <c r="H7" s="399" t="e" cm="1">
        <f t="array" aca="1" ref="H7" ca="1">_xll.BDP(F7&amp;" EQUITY","LAST_PRICE")</f>
        <v>#NAME?</v>
      </c>
      <c r="I7" s="139" t="e">
        <f t="shared" ca="1" si="2"/>
        <v>#NAME?</v>
      </c>
      <c r="J7" s="396" t="e">
        <f ca="1">_xll.BDP(F7&amp;" EQUITY","PX_YEST_CLOSE")</f>
        <v>#NAME?</v>
      </c>
      <c r="K7" s="397" t="s">
        <v>88</v>
      </c>
      <c r="L7" s="401" t="e" cm="1">
        <f t="array" aca="1" ref="L7" ca="1">_xll.BDP(K7&amp;" EQUITY","LAST_PRICE")</f>
        <v>#NAME?</v>
      </c>
      <c r="M7" s="32" t="e">
        <f t="shared" ca="1" si="1"/>
        <v>#NAME?</v>
      </c>
      <c r="N7" s="400" t="e">
        <f ca="1">_xll.BDP(K7&amp;" EQUITY","PX_YEST_CLOSE")</f>
        <v>#NAME?</v>
      </c>
      <c r="O7" s="28">
        <f ca="1">O5+O6</f>
        <v>0</v>
      </c>
      <c r="P7" s="136">
        <f ca="1">SUM(P12:P44)</f>
        <v>0</v>
      </c>
      <c r="Q7" s="27"/>
      <c r="R7" s="28">
        <f ca="1">R5+R6</f>
        <v>0</v>
      </c>
      <c r="S7" s="136">
        <f ca="1">SUM(S12:S44)</f>
        <v>0</v>
      </c>
      <c r="T7" s="363" t="s">
        <v>926</v>
      </c>
      <c r="U7" s="271" t="e">
        <f ca="1">U5+U6</f>
        <v>#VALUE!</v>
      </c>
      <c r="V7" s="272" t="e">
        <f ca="1">V5+V6</f>
        <v>#VALUE!</v>
      </c>
      <c r="W7" s="43" t="e">
        <f ca="1">V7/U7/10000</f>
        <v>#VALUE!</v>
      </c>
      <c r="X7" s="43"/>
      <c r="Y7" s="55" t="e">
        <f ca="1">Y5+Y6</f>
        <v>#VALUE!</v>
      </c>
      <c r="Z7" s="46" t="e">
        <f ca="1">Z5+Z6</f>
        <v>#VALUE!</v>
      </c>
      <c r="AA7" s="33" t="e">
        <f ca="1">AA5+AA6</f>
        <v>#VALUE!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7" t="s">
        <v>229</v>
      </c>
      <c r="C8" s="398" t="e" cm="1">
        <f t="array" aca="1" ref="C8" ca="1">_xll.BDP(B8&amp;" EQUITY","LAST_PRICE")</f>
        <v>#NAME?</v>
      </c>
      <c r="D8" s="32" t="e">
        <f t="shared" ca="1" si="0"/>
        <v>#NAME?</v>
      </c>
      <c r="E8" s="400" t="e">
        <f ca="1">_xll.BDP(B8&amp;" EQUITY","PX_YEST_CLOSE")</f>
        <v>#NAME?</v>
      </c>
      <c r="F8" t="s">
        <v>280</v>
      </c>
      <c r="H8" s="399" t="e" cm="1">
        <f t="array" aca="1" ref="H8" ca="1">_xll.BDP(F8&amp;" EQUITY","LAST_PRICE")</f>
        <v>#NAME?</v>
      </c>
      <c r="I8" s="139" t="e">
        <f t="shared" ca="1" si="2"/>
        <v>#NAME?</v>
      </c>
      <c r="J8" s="396" t="e">
        <f ca="1">_xll.BDP(F8&amp;" EQUITY","PX_YEST_CLOSE")</f>
        <v>#NAME?</v>
      </c>
      <c r="K8" s="397" t="s">
        <v>89</v>
      </c>
      <c r="L8" s="401" t="e" cm="1">
        <f t="array" aca="1" ref="L8" ca="1">_xll.BDP(K8&amp;" EQUITY","LAST_PRICE")</f>
        <v>#NAME?</v>
      </c>
      <c r="M8" s="32" t="e">
        <f t="shared" ca="1" si="1"/>
        <v>#NAME?</v>
      </c>
      <c r="N8" s="400" t="e">
        <f ca="1">_xll.BDP(K8&amp;" EQUITY","PX_YEST_CLOSE")</f>
        <v>#NAME?</v>
      </c>
      <c r="O8" s="29">
        <f ca="1">O5-O6</f>
        <v>0</v>
      </c>
      <c r="P8" s="30"/>
      <c r="Q8" s="6"/>
      <c r="R8" s="29">
        <f ca="1">R5-R6</f>
        <v>0</v>
      </c>
      <c r="S8" s="30"/>
      <c r="T8" s="6" t="s">
        <v>15</v>
      </c>
      <c r="U8" s="34" t="e">
        <f ca="1">U5-U6</f>
        <v>#VALUE!</v>
      </c>
      <c r="V8" s="40"/>
      <c r="AA8" s="34" t="e">
        <f ca="1">AA5-AA6</f>
        <v>#VALUE!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7" t="s">
        <v>29</v>
      </c>
      <c r="C9" s="401" t="e" cm="1">
        <f t="array" aca="1" ref="C9" ca="1">_xll.BDP(B9&amp;" EQUITY","LAST_PRICE")</f>
        <v>#NAME?</v>
      </c>
      <c r="D9" s="32" t="e">
        <f t="shared" ca="1" si="0"/>
        <v>#NAME?</v>
      </c>
      <c r="E9" s="400" t="e">
        <f ca="1">_xll.BDP(B9&amp;" EQUITY","PX_YEST_CLOSE")</f>
        <v>#NAME?</v>
      </c>
      <c r="F9" t="s">
        <v>1122</v>
      </c>
      <c r="H9" s="399" t="e" cm="1">
        <f t="array" aca="1" ref="H9" ca="1">_xll.BDP(F9&amp;" EQUITY","LAST_PRICE")</f>
        <v>#NAME?</v>
      </c>
      <c r="I9" s="139" t="e">
        <f t="shared" ref="I9:I10" ca="1" si="5">H9/J9-1</f>
        <v>#NAME?</v>
      </c>
      <c r="J9" s="396" t="e">
        <f ca="1">_xll.BDP(F9&amp;" EQUITY","PX_YEST_CLOSE")</f>
        <v>#NAME?</v>
      </c>
      <c r="K9" s="397" t="s">
        <v>337</v>
      </c>
      <c r="L9" s="401" t="e" cm="1">
        <f t="array" aca="1" ref="L9" ca="1">_xll.BDP(K9&amp;" EQUITY","LAST_PRICE")</f>
        <v>#NAME?</v>
      </c>
      <c r="M9" s="32" t="e">
        <f t="shared" ca="1" si="1"/>
        <v>#NAME?</v>
      </c>
      <c r="N9" s="400" t="e">
        <f ca="1">_xll.BDP(K9&amp;" EQUITY","PX_YEST_CLOSE")</f>
        <v>#NAME?</v>
      </c>
      <c r="O9" s="29"/>
      <c r="P9" s="45"/>
      <c r="Q9" s="29"/>
      <c r="R9" s="29"/>
      <c r="S9" s="45"/>
      <c r="T9" s="266" t="s">
        <v>798</v>
      </c>
      <c r="U9" s="267" t="e">
        <f ca="1">SUM(U40:U40)</f>
        <v>#VALUE!</v>
      </c>
      <c r="V9" s="268" t="e">
        <f ca="1">SUM(V40:V40)</f>
        <v>#VALUE!</v>
      </c>
      <c r="W9" s="121">
        <v>1</v>
      </c>
      <c r="X9" s="177">
        <v>0.25</v>
      </c>
      <c r="AD9" s="17"/>
      <c r="AF9" s="3"/>
      <c r="AG9" s="205"/>
      <c r="AH9" s="31"/>
      <c r="AI9"/>
    </row>
    <row r="10" spans="1:39">
      <c r="B10" s="397" t="s">
        <v>553</v>
      </c>
      <c r="C10" s="401" t="e" cm="1">
        <f t="array" aca="1" ref="C10" ca="1">_xll.BDP(B10&amp;" EQUITY","LAST_PRICE")</f>
        <v>#NAME?</v>
      </c>
      <c r="D10" s="32" t="e">
        <f t="shared" ca="1" si="0"/>
        <v>#NAME?</v>
      </c>
      <c r="E10" s="400" t="e">
        <f ca="1">_xll.BDP(B10&amp;" EQUITY","PX_YEST_CLOSE")</f>
        <v>#NAME?</v>
      </c>
      <c r="F10" t="s">
        <v>271</v>
      </c>
      <c r="H10" s="399" t="e" cm="1">
        <f t="array" aca="1" ref="H10" ca="1">_xll.BDP(F10&amp;" EQUITY","LAST_PRICE")</f>
        <v>#NAME?</v>
      </c>
      <c r="I10" s="139" t="e">
        <f t="shared" ca="1" si="5"/>
        <v>#NAME?</v>
      </c>
      <c r="J10" s="396" t="e">
        <f ca="1">_xll.BDP(F10&amp;" EQUITY","PX_YEST_CLOSE")</f>
        <v>#NAME?</v>
      </c>
      <c r="K10" s="397" t="s">
        <v>78</v>
      </c>
      <c r="L10" s="401" t="e" cm="1">
        <f t="array" aca="1" ref="L10" ca="1">_xll.BDP(K10&amp;" EQUITY","LAST_PRICE")</f>
        <v>#NAME?</v>
      </c>
      <c r="M10" s="32" t="e">
        <f t="shared" ca="1" si="1"/>
        <v>#NAME?</v>
      </c>
      <c r="N10" s="400" t="e">
        <f ca="1">_xll.BDP(K10&amp;" EQUITY","PX_YEST_CLOSE")</f>
        <v>#NAME?</v>
      </c>
      <c r="P10" s="49">
        <f ca="1">SUM(Tabelad[D1 P&amp;L bps])</f>
        <v>0</v>
      </c>
      <c r="Q10" s="6"/>
      <c r="S10" s="49">
        <f ca="1">SUM(Tabelad[Options P&amp;L bps])</f>
        <v>0</v>
      </c>
      <c r="T10" s="269" t="s">
        <v>927</v>
      </c>
      <c r="U10" s="269" t="e">
        <f ca="1">U7+U9</f>
        <v>#VALUE!</v>
      </c>
      <c r="V10" s="270" t="e">
        <f ca="1">V7+V9</f>
        <v>#VALUE!</v>
      </c>
      <c r="W10" s="16">
        <f>AE7*W9/10000</f>
        <v>252436.04569999999</v>
      </c>
      <c r="X10" s="274"/>
      <c r="Y10" s="53">
        <v>0.35</v>
      </c>
      <c r="Z10" s="37" t="e">
        <f ca="1">SUM(Tabelad[Column1])</f>
        <v>#NAME?</v>
      </c>
      <c r="AA10" s="124" t="e">
        <f ca="1">SUM(Tabelad[Expo Beta Adj])</f>
        <v>#VALUE!</v>
      </c>
      <c r="AD10" s="15" t="e">
        <f ca="1">SUM(Tabelad[Daily P&amp;L])</f>
        <v>#VALUE!</v>
      </c>
      <c r="AE10" s="139"/>
      <c r="AF10" s="185" t="e">
        <f ca="1">_xll.BDP(B10&amp;" Equity","EXPECTED_REPORT_DT")</f>
        <v>#NAME?</v>
      </c>
      <c r="AG10" s="139"/>
      <c r="AH10" s="19" t="e">
        <f ca="1">SUM(AH12:AH44)+#REF!+#REF!</f>
        <v>#VALUE!</v>
      </c>
      <c r="AI10"/>
    </row>
    <row r="11" spans="1:39" s="10" customFormat="1" ht="36" customHeight="1" thickBot="1">
      <c r="A11" s="311"/>
      <c r="B11" s="56" t="s">
        <v>117</v>
      </c>
      <c r="C11" s="56" t="s">
        <v>542</v>
      </c>
      <c r="D11" s="56" t="s">
        <v>543</v>
      </c>
      <c r="E11" s="56" t="s">
        <v>119</v>
      </c>
      <c r="F11" s="56" t="s">
        <v>120</v>
      </c>
      <c r="G11" s="56" t="s">
        <v>121</v>
      </c>
      <c r="H11" s="56" t="s">
        <v>382</v>
      </c>
      <c r="I11" s="343" t="s">
        <v>122</v>
      </c>
      <c r="J11" s="344" t="s">
        <v>51</v>
      </c>
      <c r="K11" s="356" t="s">
        <v>123</v>
      </c>
      <c r="L11" s="345" t="s">
        <v>124</v>
      </c>
      <c r="M11" s="346" t="s">
        <v>125</v>
      </c>
      <c r="N11" s="345" t="s">
        <v>126</v>
      </c>
      <c r="O11" s="56" t="s">
        <v>99</v>
      </c>
      <c r="P11" s="344" t="s">
        <v>100</v>
      </c>
      <c r="Q11" s="345" t="s">
        <v>127</v>
      </c>
      <c r="R11" s="56" t="s">
        <v>101</v>
      </c>
      <c r="S11" s="344" t="s">
        <v>102</v>
      </c>
      <c r="T11" s="56" t="s">
        <v>11</v>
      </c>
      <c r="U11" s="56" t="s">
        <v>103</v>
      </c>
      <c r="V11" s="344" t="s">
        <v>104</v>
      </c>
      <c r="W11" s="56" t="s">
        <v>128</v>
      </c>
      <c r="X11" s="343" t="s">
        <v>129</v>
      </c>
      <c r="Y11" s="347" t="s">
        <v>130</v>
      </c>
      <c r="Z11" s="56" t="s">
        <v>1145</v>
      </c>
      <c r="AA11" s="56" t="s">
        <v>131</v>
      </c>
      <c r="AB11" s="347" t="s">
        <v>373</v>
      </c>
      <c r="AC11" s="56" t="s">
        <v>1146</v>
      </c>
      <c r="AD11" s="56" t="s">
        <v>378</v>
      </c>
      <c r="AE11" s="10" t="s">
        <v>132</v>
      </c>
      <c r="AF11" s="10" t="s">
        <v>133</v>
      </c>
      <c r="AG11" s="56" t="s">
        <v>134</v>
      </c>
      <c r="AH11" s="348" t="s">
        <v>135</v>
      </c>
      <c r="AI11" s="56" t="s">
        <v>473</v>
      </c>
      <c r="AJ11" s="10" t="s">
        <v>136</v>
      </c>
    </row>
    <row r="12" spans="1:39">
      <c r="B12" s="39" t="s">
        <v>334</v>
      </c>
      <c r="C12" t="s">
        <v>573</v>
      </c>
      <c r="E12" t="s">
        <v>137</v>
      </c>
      <c r="F12" s="21" t="e">
        <f t="shared" ref="F12:F14" ca="1" si="6">IF(T12&gt;0,"Long","Short")</f>
        <v>#VALUE!</v>
      </c>
      <c r="G12" s="15"/>
      <c r="H12" s="362">
        <v>3678</v>
      </c>
      <c r="I12" s="35" t="e" cm="1">
        <f t="array" aca="1" ref="I12" ca="1">_xll.BDP(B12&amp;" Equity","LAST_PRICE")</f>
        <v>#NAME?</v>
      </c>
      <c r="J12" s="50" t="e">
        <f t="shared" ref="J12:J44" ca="1" si="7">I12/K12-1</f>
        <v>#NAME?</v>
      </c>
      <c r="K12" s="355" t="e">
        <f ca="1">_xll.BDP(B12&amp;" equity","PX_YEST_CLOSE")</f>
        <v>#NAME?</v>
      </c>
      <c r="L12" s="52" t="e">
        <f ca="1">_xll.BDP(E12&amp;" Curncy","PX_LAST")</f>
        <v>#NAME?</v>
      </c>
      <c r="M12" s="51">
        <v>1</v>
      </c>
      <c r="N12" s="15" t="str">
        <f t="shared" ref="N12:N44" ca="1" si="8">IFERROR(IF(((I12/L12)*H12*M12)&lt;&gt;0,((I12/L12)*H12*M12),0),"-")</f>
        <v>-</v>
      </c>
      <c r="O12" s="284" t="str">
        <f ca="1">IFERROR(IF(Tabelad[[#This Row],[D1 Exp USD]]&lt;&gt;0,N12/$AE$7,0),"-")</f>
        <v>-</v>
      </c>
      <c r="P12" s="19" t="str">
        <f ca="1">IFERROR(IF(Tabelad[[#This Row],[D1 Exp USD]]&lt;&gt;0,((I12-K12)/L12*M12*H12)/$AD$7*10000,0),"-")</f>
        <v>-</v>
      </c>
      <c r="Q12" s="15">
        <f ca="1"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8">
        <f t="shared" ref="R12:R14" ca="1" si="9">Q12/$AE$7</f>
        <v>0</v>
      </c>
      <c r="S12" s="19">
        <f ca="1"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 t="e">
        <f t="shared" ref="T12:T44" ca="1" si="10">N12+Q12</f>
        <v>#VALUE!</v>
      </c>
      <c r="U12" s="47" t="e">
        <f t="shared" ref="U12:U44" ca="1" si="11">T12/$AE$7</f>
        <v>#VALUE!</v>
      </c>
      <c r="V12" s="19" t="e">
        <f t="shared" ref="V12:V44" ca="1" si="12">P12+S12</f>
        <v>#VALUE!</v>
      </c>
      <c r="W12" s="15" t="e">
        <f t="shared" ref="W12:W44" ca="1" si="13">$W$10/(I12/L12*M12)</f>
        <v>#NAME?</v>
      </c>
      <c r="X12" s="18"/>
      <c r="Y12" s="301" t="e">
        <f ca="1">Tabelad[[#This Row],[Exp %]]*$Y$10*$AD$7/Tabelad[[#This Row],[Price Today]]</f>
        <v>#VALUE!</v>
      </c>
      <c r="Z12" s="195" t="e">
        <f ca="1">Tabelad[[#This Row],[Vol 10d]]/16*Tabelad[[#This Row],[Exp %]]*100</f>
        <v>#NAME?</v>
      </c>
      <c r="AA12" s="18" t="e">
        <f ca="1">Tabelad[[#This Row],[Exp %]]*Tabelad[[#This Row],[Beta]]</f>
        <v>#VALUE!</v>
      </c>
      <c r="AB12" s="35" t="e">
        <f ca="1">_xll.BDP($B12&amp;" Equity","volatility_10d")</f>
        <v>#NAME?</v>
      </c>
      <c r="AC12" s="35" t="e">
        <f ca="1">_xll.BDP(B12&amp;" EQUITY","eqy_beta")</f>
        <v>#NAME?</v>
      </c>
      <c r="AD12" s="15" t="e">
        <f ca="1">Tabelad[[#This Row],[D1 P&amp;L bps]]*$AD$5/10000</f>
        <v>#VALUE!</v>
      </c>
      <c r="AE12" s="206"/>
      <c r="AF12" s="185" t="e">
        <f ca="1">_xll.BDP(B12&amp;" Equity","EXPECTED_REPORT_DT")</f>
        <v>#NAME?</v>
      </c>
      <c r="AG12" s="139" t="e">
        <f ca="1">_xll.BDP(B12&amp;" Index","CHG_PCT_1D_PRE_FROM_REGULAR")/100</f>
        <v>#NAME?</v>
      </c>
      <c r="AH12" s="19" t="e">
        <f t="shared" ref="AH12:AH44" ca="1" si="14">(T12*AG12)/$AD$7*10000</f>
        <v>#VALUE!</v>
      </c>
      <c r="AI12" s="361" t="e">
        <f ca="1">_xll.BDP(B12&amp;" Equity","DVD_EX_DT")</f>
        <v>#NAME?</v>
      </c>
    </row>
    <row r="13" spans="1:39">
      <c r="B13" s="39" t="s">
        <v>801</v>
      </c>
      <c r="C13" t="s">
        <v>573</v>
      </c>
      <c r="E13" t="s">
        <v>137</v>
      </c>
      <c r="F13" s="21" t="e">
        <f t="shared" ca="1" si="6"/>
        <v>#VALUE!</v>
      </c>
      <c r="G13" s="15"/>
      <c r="H13" s="362">
        <v>4500</v>
      </c>
      <c r="I13" s="35" t="e" cm="1">
        <f t="array" aca="1" ref="I13" ca="1">_xll.BDP(B13&amp;" Equity","LAST_PRICE")</f>
        <v>#NAME?</v>
      </c>
      <c r="J13" s="50" t="e">
        <f t="shared" ca="1" si="7"/>
        <v>#NAME?</v>
      </c>
      <c r="K13" s="355" t="e">
        <f ca="1">_xll.BDP(B13&amp;" equity","PX_YEST_CLOSE")</f>
        <v>#NAME?</v>
      </c>
      <c r="L13" s="52" t="e">
        <f ca="1">_xll.BDP(E13&amp;" Curncy","PX_LAST")</f>
        <v>#NAME?</v>
      </c>
      <c r="M13" s="51">
        <v>1</v>
      </c>
      <c r="N13" s="15" t="str">
        <f t="shared" ca="1" si="8"/>
        <v>-</v>
      </c>
      <c r="O13" s="284" t="str">
        <f ca="1">IFERROR(IF(Tabelad[[#This Row],[D1 Exp USD]]&lt;&gt;0,N13/$AE$7,0),"-")</f>
        <v>-</v>
      </c>
      <c r="P13" s="19" t="str">
        <f ca="1">IFERROR(IF(Tabelad[[#This Row],[D1 Exp USD]]&lt;&gt;0,((I13-K13)/L13*M13*H13)/$AD$7*10000,0),"-")</f>
        <v>-</v>
      </c>
      <c r="Q13" s="15">
        <f ca="1"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8">
        <f t="shared" ca="1" si="9"/>
        <v>0</v>
      </c>
      <c r="S13" s="19">
        <f ca="1"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 t="e">
        <f t="shared" ca="1" si="10"/>
        <v>#VALUE!</v>
      </c>
      <c r="U13" s="47" t="e">
        <f t="shared" ca="1" si="11"/>
        <v>#VALUE!</v>
      </c>
      <c r="V13" s="19" t="e">
        <f t="shared" ca="1" si="12"/>
        <v>#VALUE!</v>
      </c>
      <c r="W13" s="15" t="e">
        <f t="shared" ca="1" si="13"/>
        <v>#NAME?</v>
      </c>
      <c r="X13" s="18"/>
      <c r="Y13" s="301" t="e">
        <f ca="1">Tabelad[[#This Row],[Exp %]]*$Y$10*$AD$7/Tabelad[[#This Row],[Price Today]]</f>
        <v>#VALUE!</v>
      </c>
      <c r="Z13" s="195" t="e">
        <f ca="1">Tabelad[[#This Row],[Vol 10d]]/16*Tabelad[[#This Row],[Exp %]]*100</f>
        <v>#NAME?</v>
      </c>
      <c r="AA13" s="18" t="e">
        <f ca="1">Tabelad[[#This Row],[Exp %]]*Tabelad[[#This Row],[Beta]]</f>
        <v>#VALUE!</v>
      </c>
      <c r="AB13" s="35" t="e">
        <f ca="1">_xll.BDP($B13&amp;" Equity","volatility_10d")</f>
        <v>#NAME?</v>
      </c>
      <c r="AC13" s="35" t="e">
        <f ca="1">_xll.BDP(B13&amp;" EQUITY","eqy_beta")</f>
        <v>#NAME?</v>
      </c>
      <c r="AD13" s="15" t="e">
        <f ca="1">Tabelad[[#This Row],[D1 P&amp;L bps]]*$AD$5/10000</f>
        <v>#VALUE!</v>
      </c>
      <c r="AE13" s="206"/>
      <c r="AF13" s="185" t="e">
        <f ca="1">_xll.BDP(B13&amp;" Equity","EXPECTED_REPORT_DT")</f>
        <v>#NAME?</v>
      </c>
      <c r="AG13" s="139" t="e">
        <f ca="1">_xll.BDP(B13&amp;" Index","CHG_PCT_1D_PRE_FROM_REGULAR")/100</f>
        <v>#NAME?</v>
      </c>
      <c r="AH13" s="19" t="e">
        <f t="shared" ca="1" si="14"/>
        <v>#VALUE!</v>
      </c>
      <c r="AI13" s="361" t="e">
        <f ca="1">_xll.BDP(B13&amp;" Equity","DVD_EX_DT")</f>
        <v>#NAME?</v>
      </c>
    </row>
    <row r="14" spans="1:39">
      <c r="B14" s="39" t="s">
        <v>7</v>
      </c>
      <c r="C14" t="s">
        <v>573</v>
      </c>
      <c r="E14" t="s">
        <v>137</v>
      </c>
      <c r="F14" s="21" t="e">
        <f t="shared" ca="1" si="6"/>
        <v>#VALUE!</v>
      </c>
      <c r="G14" s="15"/>
      <c r="H14" s="362">
        <v>10000</v>
      </c>
      <c r="I14" s="35" t="e" cm="1">
        <f t="array" aca="1" ref="I14" ca="1">_xll.BDP(B14&amp;" Equity","LAST_PRICE")</f>
        <v>#NAME?</v>
      </c>
      <c r="J14" s="50" t="e">
        <f t="shared" ca="1" si="7"/>
        <v>#NAME?</v>
      </c>
      <c r="K14" s="355" t="e">
        <f ca="1">_xll.BDP(B14&amp;" equity","PX_YEST_CLOSE")</f>
        <v>#NAME?</v>
      </c>
      <c r="L14" s="52" t="e">
        <f ca="1">_xll.BDP(E14&amp;" Curncy","PX_LAST")</f>
        <v>#NAME?</v>
      </c>
      <c r="M14" s="51">
        <v>1</v>
      </c>
      <c r="N14" s="15" t="str">
        <f t="shared" ca="1" si="8"/>
        <v>-</v>
      </c>
      <c r="O14" s="284" t="str">
        <f ca="1">IFERROR(IF(Tabelad[[#This Row],[D1 Exp USD]]&lt;&gt;0,N14/$AE$7,0),"-")</f>
        <v>-</v>
      </c>
      <c r="P14" s="19" t="str">
        <f ca="1">IFERROR(IF(Tabelad[[#This Row],[D1 Exp USD]]&lt;&gt;0,((I14-K14)/L14*M14*H14)/$AD$7*10000,0),"-")</f>
        <v>-</v>
      </c>
      <c r="Q14" s="15">
        <f ca="1">IF(SUM(SUMIFS(Options!$AL$4:$AL$28, Options!$D$4:$D$28, B14), SUMIFS(Options!$AL$4:$AL$28, Options!$D$4:$D$28, B14 &amp; " US"))=0,0,SUM(SUMIFS(Options!$AL$4:$AL$28, Options!$D$4:$D$28, B14), SUMIFS(Options!$AL$4:$AL$28, Options!$D$4:$D$28, B14 &amp; " US")))</f>
        <v>0</v>
      </c>
      <c r="R14" s="18">
        <f t="shared" ca="1" si="9"/>
        <v>0</v>
      </c>
      <c r="S14" s="19">
        <f ca="1">IF(SUM(SUMIFS(Options!$AK$4:$AK$28, Options!$D$4:$D$28, B14), SUMIFS(Options!$AK$4:$AK$28, Options!$D$4:$D$28, B14 &amp; " US"))=0,0,SUM(SUMIFS(Options!$AK$4:$AK$28, Options!$D$4:$D$28, B14), SUMIFS(Options!AK$4:$AK$28, Options!$D$4:$D$28, B14 &amp; " US")))</f>
        <v>0</v>
      </c>
      <c r="T14" s="13" t="e">
        <f t="shared" ca="1" si="10"/>
        <v>#VALUE!</v>
      </c>
      <c r="U14" s="47" t="e">
        <f t="shared" ca="1" si="11"/>
        <v>#VALUE!</v>
      </c>
      <c r="V14" s="19" t="e">
        <f t="shared" ca="1" si="12"/>
        <v>#VALUE!</v>
      </c>
      <c r="W14" s="15" t="e">
        <f t="shared" ca="1" si="13"/>
        <v>#NAME?</v>
      </c>
      <c r="X14" s="18"/>
      <c r="Y14" s="301" t="e">
        <f ca="1">Tabelad[[#This Row],[Exp %]]*$Y$10*$AD$7/Tabelad[[#This Row],[Price Today]]</f>
        <v>#VALUE!</v>
      </c>
      <c r="Z14" s="195" t="e">
        <f ca="1">Tabelad[[#This Row],[Vol 10d]]/16*Tabelad[[#This Row],[Exp %]]*100</f>
        <v>#NAME?</v>
      </c>
      <c r="AA14" s="18" t="e">
        <f ca="1">Tabelad[[#This Row],[Exp %]]*Tabelad[[#This Row],[Beta]]</f>
        <v>#VALUE!</v>
      </c>
      <c r="AB14" s="35" t="e">
        <f ca="1">_xll.BDP($B14&amp;" Equity","volatility_10d")</f>
        <v>#NAME?</v>
      </c>
      <c r="AC14" s="35" t="e">
        <f ca="1">_xll.BDP(B14&amp;" EQUITY","eqy_beta")</f>
        <v>#NAME?</v>
      </c>
      <c r="AD14" s="15" t="e">
        <f ca="1">Tabelad[[#This Row],[D1 P&amp;L bps]]*$AD$5/10000</f>
        <v>#VALUE!</v>
      </c>
      <c r="AE14" s="206"/>
      <c r="AF14" s="185" t="e">
        <f ca="1">_xll.BDP(B14&amp;" Equity","EXPECTED_REPORT_DT")</f>
        <v>#NAME?</v>
      </c>
      <c r="AG14" s="139" t="e">
        <f ca="1">_xll.BDP(B14&amp;" Index","CHG_PCT_1D_PRE_FROM_REGULAR")/100</f>
        <v>#NAME?</v>
      </c>
      <c r="AH14" s="19" t="e">
        <f t="shared" ca="1" si="14"/>
        <v>#VALUE!</v>
      </c>
      <c r="AI14" s="361" t="e">
        <f ca="1">_xll.BDP(B14&amp;" Equity","DVD_EX_DT")</f>
        <v>#NAME?</v>
      </c>
    </row>
    <row r="15" spans="1:39" s="58" customFormat="1">
      <c r="A15" s="488"/>
      <c r="B15" s="349" t="s">
        <v>82</v>
      </c>
      <c r="C15" s="58" t="s">
        <v>26</v>
      </c>
      <c r="E15" s="58" t="s">
        <v>137</v>
      </c>
      <c r="F15" s="133" t="e">
        <f t="shared" ref="F15" ca="1" si="15">IF(T15&gt;0,"Long","Short")</f>
        <v>#VALUE!</v>
      </c>
      <c r="G15" s="330"/>
      <c r="H15" s="457"/>
      <c r="I15" s="14" t="e" cm="1">
        <f t="array" aca="1" ref="I15" ca="1">_xll.BDP(B15&amp;" Equity","LAST_PRICE")</f>
        <v>#NAME?</v>
      </c>
      <c r="J15" s="456" t="e">
        <f t="shared" ref="J15" ca="1" si="16">I15/K15-1</f>
        <v>#NAME?</v>
      </c>
      <c r="K15" s="489" t="e">
        <f ca="1">_xll.BDP(B15&amp;" equity","PX_YEST_CLOSE")</f>
        <v>#NAME?</v>
      </c>
      <c r="L15" s="8" t="e">
        <f ca="1">_xll.BDP(E15&amp;" Curncy","PX_LAST")</f>
        <v>#NAME?</v>
      </c>
      <c r="M15" s="455">
        <v>1</v>
      </c>
      <c r="N15" s="330" t="str">
        <f t="shared" ref="N15" ca="1" si="17">IFERROR(IF(((I15/L15)*H15*M15)&lt;&gt;0,((I15/L15)*H15*M15),0),"-")</f>
        <v>-</v>
      </c>
      <c r="O15" s="494" t="str">
        <f ca="1">IFERROR(IF(Tabelad[[#This Row],[D1 Exp USD]]&lt;&gt;0,N15/$AE$7,0),"-")</f>
        <v>-</v>
      </c>
      <c r="P15" s="454" t="str">
        <f ca="1">IFERROR(IF(Tabelad[[#This Row],[D1 Exp USD]]&lt;&gt;0,((I15-K15)/L15*M15*H15)/$AD$7*10000,0),"-")</f>
        <v>-</v>
      </c>
      <c r="Q15" s="330">
        <f ca="1">IF(SUM(SUMIFS(Options!$AL$4:$AL$28, Options!$D$4:$D$28, B15), SUMIFS(Options!$AL$4:$AL$28, Options!$D$4:$D$28, B15 &amp; " US"))=0,0,SUM(SUMIFS(Options!$AL$4:$AL$28, Options!$D$4:$D$28, B15), SUMIFS(Options!$AL$4:$AL$28, Options!$D$4:$D$28, B15 &amp; " US")))</f>
        <v>0</v>
      </c>
      <c r="R15" s="125">
        <f t="shared" ref="R15" ca="1" si="18">Q15/$AE$7</f>
        <v>0</v>
      </c>
      <c r="S15" s="454">
        <f ca="1">IF(SUM(SUMIFS(Options!$AK$4:$AK$28, Options!$D$4:$D$28, B15), SUMIFS(Options!$AK$4:$AK$28, Options!$D$4:$D$28, B15 &amp; " US"))=0,0,SUM(SUMIFS(Options!$AK$4:$AK$28, Options!$D$4:$D$28, B15), SUMIFS(Options!AK$4:$AK$28, Options!$D$4:$D$28, B15 &amp; " US")))</f>
        <v>0</v>
      </c>
      <c r="T15" s="495" t="e">
        <f t="shared" ref="T15" ca="1" si="19">N15+Q15</f>
        <v>#VALUE!</v>
      </c>
      <c r="U15" s="496" t="e">
        <f t="shared" ref="U15" ca="1" si="20">T15/$AE$7</f>
        <v>#VALUE!</v>
      </c>
      <c r="V15" s="454" t="e">
        <f t="shared" ref="V15" ca="1" si="21">P15+S15</f>
        <v>#VALUE!</v>
      </c>
      <c r="W15" s="330" t="e">
        <f t="shared" ref="W15" ca="1" si="22">$W$10/(I15/L15*M15)</f>
        <v>#NAME?</v>
      </c>
      <c r="X15" s="125"/>
      <c r="Y15" s="453" t="e">
        <f ca="1">Tabelad[[#This Row],[Exp %]]*$Y$10*$AD$7/Tabelad[[#This Row],[Price Today]]</f>
        <v>#VALUE!</v>
      </c>
      <c r="Z15" s="452" t="e">
        <f ca="1">Tabelad[[#This Row],[Vol 10d]]/16*Tabelad[[#This Row],[Exp %]]*100</f>
        <v>#NAME?</v>
      </c>
      <c r="AA15" s="125" t="e">
        <f ca="1">Tabelad[[#This Row],[Exp %]]*Tabelad[[#This Row],[Beta]]</f>
        <v>#VALUE!</v>
      </c>
      <c r="AB15" s="14" t="e">
        <f ca="1">_xll.BDP($B15&amp;" Equity","volatility_10d")</f>
        <v>#NAME?</v>
      </c>
      <c r="AC15" s="14" t="e">
        <f ca="1">_xll.BDP(B15&amp;" EQUITY","eqy_beta")</f>
        <v>#NAME?</v>
      </c>
      <c r="AD15" s="330" t="e">
        <f ca="1">Tabelad[[#This Row],[D1 P&amp;L bps]]*$AD$5/10000</f>
        <v>#VALUE!</v>
      </c>
      <c r="AE15" s="265"/>
      <c r="AF15" s="451" t="e">
        <f ca="1">_xll.BDP(B15&amp;" Equity","EXPECTED_REPORT_DT")</f>
        <v>#NAME?</v>
      </c>
      <c r="AG15" s="450" t="e">
        <f ca="1">_xll.BDP(B15&amp;" Index","CHG_PCT_1D_PRE_FROM_REGULAR")/100</f>
        <v>#NAME?</v>
      </c>
      <c r="AH15" s="454" t="e">
        <f t="shared" ref="AH15" ca="1" si="23">(T15*AG15)/$AD$7*10000</f>
        <v>#VALUE!</v>
      </c>
      <c r="AI15" s="449" t="e">
        <f ca="1">_xll.BDP(B15&amp;" Equity","DVD_EX_DT")</f>
        <v>#NAME?</v>
      </c>
    </row>
    <row r="16" spans="1:39" s="310" customFormat="1">
      <c r="A16" s="497"/>
      <c r="B16" s="498" t="s">
        <v>574</v>
      </c>
      <c r="C16" s="310" t="s">
        <v>26</v>
      </c>
      <c r="E16" s="310" t="s">
        <v>137</v>
      </c>
      <c r="F16" s="499" t="e">
        <f t="shared" ref="F16" ca="1" si="24">IF(T16&gt;0,"Long","Short")</f>
        <v>#VALUE!</v>
      </c>
      <c r="G16" s="500"/>
      <c r="H16" s="501">
        <v>-15</v>
      </c>
      <c r="I16" s="121" t="e" cm="1">
        <f t="array" aca="1" ref="I16" ca="1">_xll.BDP(B16&amp;" Index","LAST_PRICE")</f>
        <v>#NAME?</v>
      </c>
      <c r="J16" s="502" t="e">
        <f t="shared" ca="1" si="7"/>
        <v>#NAME?</v>
      </c>
      <c r="K16" s="355" t="e">
        <f ca="1">_xll.BDP(B16&amp;" Index","PX_YEST_CLOSE")</f>
        <v>#NAME?</v>
      </c>
      <c r="L16" s="177" t="e">
        <f ca="1">_xll.BDP(E16&amp;" Curncy","PX_LAST")</f>
        <v>#NAME?</v>
      </c>
      <c r="M16" s="503">
        <v>20</v>
      </c>
      <c r="N16" s="500" t="str">
        <f t="shared" ref="N16" ca="1" si="25">IFERROR(IF(((I16/L16)*H16*M16)&lt;&gt;0,((I16/L16)*H16*M16),0),"-")</f>
        <v>-</v>
      </c>
      <c r="O16" s="504" t="str">
        <f ca="1">IFERROR(IF(Tabelad[[#This Row],[D1 Exp USD]]&lt;&gt;0,N16/$AE$7,0),"-")</f>
        <v>-</v>
      </c>
      <c r="P16" s="505" t="str">
        <f ca="1">IFERROR(IF(Tabelad[[#This Row],[D1 Exp USD]]&lt;&gt;0,((I16-K16)/L16*M16*H16)/$AD$7*10000,0),"-")</f>
        <v>-</v>
      </c>
      <c r="Q16" s="500"/>
      <c r="R16" s="338"/>
      <c r="S16" s="505"/>
      <c r="T16" s="506" t="e">
        <f t="shared" ref="T16" ca="1" si="26">N16+Q16</f>
        <v>#VALUE!</v>
      </c>
      <c r="U16" s="507" t="e">
        <f t="shared" ref="U16" ca="1" si="27">T16/$AE$7</f>
        <v>#VALUE!</v>
      </c>
      <c r="V16" s="505" t="e">
        <f t="shared" ref="V16" ca="1" si="28">P16+S16</f>
        <v>#VALUE!</v>
      </c>
      <c r="W16" s="500" t="e">
        <f t="shared" ref="W16" ca="1" si="29">$W$10/(I16/L16*M16)</f>
        <v>#NAME?</v>
      </c>
      <c r="X16" s="338"/>
      <c r="Y16" s="508" t="e">
        <f ca="1">Tabelad[[#This Row],[Exp %]]*$Y$10*$AD$7/Tabelad[[#This Row],[Price Today]]</f>
        <v>#VALUE!</v>
      </c>
      <c r="Z16" s="509" t="e">
        <f ca="1">Tabelad[[#This Row],[Vol 10d]]/16*Tabelad[[#This Row],[Exp %]]*100</f>
        <v>#NAME?</v>
      </c>
      <c r="AA16" s="338"/>
      <c r="AB16" s="121" t="e">
        <f ca="1">_xll.BDP($B16&amp;" Index","volatility_10d")</f>
        <v>#NAME?</v>
      </c>
      <c r="AC16" s="121" t="e">
        <f ca="1">_xll.BDP(B16&amp;" Index","eqy_beta")</f>
        <v>#NAME?</v>
      </c>
      <c r="AD16" s="500" t="e">
        <f ca="1">Tabelad[[#This Row],[D1 P&amp;L bps]]*$AD$5/10000</f>
        <v>#VALUE!</v>
      </c>
      <c r="AE16" s="295"/>
      <c r="AF16" s="510" t="e">
        <f ca="1">_xll.BDP(B16&amp;" Index","EXPECTED_REPORT_DT")</f>
        <v>#NAME?</v>
      </c>
      <c r="AG16" s="511" t="e">
        <f ca="1">_xll.BDP(B16&amp;" Index","CHG_PCT_1D_PRE_FROM_REGULAR")/100</f>
        <v>#NAME?</v>
      </c>
      <c r="AH16" s="505" t="e">
        <f t="shared" ref="AH16" ca="1" si="30">(T16*AG16)/$AD$7*10000</f>
        <v>#VALUE!</v>
      </c>
      <c r="AI16" s="512" t="e">
        <f ca="1">_xll.BDP(B16&amp;" Index","DVD_EX_DT")</f>
        <v>#NAME?</v>
      </c>
    </row>
    <row r="17" spans="1:35">
      <c r="B17" s="39" t="s">
        <v>808</v>
      </c>
      <c r="C17" t="s">
        <v>904</v>
      </c>
      <c r="E17" t="s">
        <v>137</v>
      </c>
      <c r="F17" s="21" t="s">
        <v>47</v>
      </c>
      <c r="G17" s="15"/>
      <c r="H17" s="362">
        <v>2000</v>
      </c>
      <c r="I17" s="35" t="e" cm="1">
        <f t="array" aca="1" ref="I17" ca="1">_xll.BDP(B17&amp;" Equity","LAST_PRICE")</f>
        <v>#NAME?</v>
      </c>
      <c r="J17" s="50" t="e">
        <f t="shared" ca="1" si="7"/>
        <v>#NAME?</v>
      </c>
      <c r="K17" s="355" t="e">
        <f ca="1">_xll.BDP(B17&amp;" equity","PX_YEST_CLOSE")</f>
        <v>#NAME?</v>
      </c>
      <c r="L17" s="52" t="e">
        <f ca="1">_xll.BDP(E17&amp;" Curncy","PX_LAST")</f>
        <v>#NAME?</v>
      </c>
      <c r="M17" s="51">
        <v>1</v>
      </c>
      <c r="N17" s="15" t="str">
        <f t="shared" ca="1" si="8"/>
        <v>-</v>
      </c>
      <c r="O17" s="284" t="str">
        <f ca="1">IFERROR(IF(Tabelad[[#This Row],[D1 Exp USD]]&lt;&gt;0,N17/$AE$7,0),"-")</f>
        <v>-</v>
      </c>
      <c r="P17" s="19" t="str">
        <f ca="1">IFERROR(IF(Tabelad[[#This Row],[D1 Exp USD]]&lt;&gt;0,((I17-K17)/L17*M17*H17)/$AD$7*10000,0),"-")</f>
        <v>-</v>
      </c>
      <c r="Q17" s="15">
        <f ca="1">IF(SUM(SUMIFS(Options!$AL$4:$AL$28, Options!$D$4:$D$28, B17), SUMIFS(Options!$AL$4:$AL$28, Options!$D$4:$D$28, B17 &amp; " US"))=0,0,SUM(SUMIFS(Options!$AL$4:$AL$28, Options!$D$4:$D$28, B17), SUMIFS(Options!$AL$4:$AL$28, Options!$D$4:$D$28, B17 &amp; " US")))</f>
        <v>0</v>
      </c>
      <c r="R17" s="18">
        <f t="shared" ref="R17:R23" ca="1" si="31">Q17/$AE$7</f>
        <v>0</v>
      </c>
      <c r="S17" s="19">
        <f ca="1">IF(SUM(SUMIFS(Options!$AK$4:$AK$28, Options!$D$4:$D$28, B17), SUMIFS(Options!$AK$4:$AK$28, Options!$D$4:$D$28, B17 &amp; " US"))=0,0,SUM(SUMIFS(Options!$AK$4:$AK$28, Options!$D$4:$D$28, B17), SUMIFS(Options!AK$4:$AK$28, Options!$D$4:$D$28, B17 &amp; " US")))</f>
        <v>0</v>
      </c>
      <c r="T17" s="13" t="e">
        <f t="shared" ca="1" si="10"/>
        <v>#VALUE!</v>
      </c>
      <c r="U17" s="47" t="e">
        <f t="shared" ca="1" si="11"/>
        <v>#VALUE!</v>
      </c>
      <c r="V17" s="19" t="e">
        <f t="shared" ca="1" si="12"/>
        <v>#VALUE!</v>
      </c>
      <c r="W17" s="15" t="e">
        <f t="shared" ca="1" si="13"/>
        <v>#NAME?</v>
      </c>
      <c r="X17" s="18"/>
      <c r="Y17" s="301" t="e">
        <f ca="1">Tabelad[[#This Row],[Exp %]]*$Y$10*$AD$7/Tabelad[[#This Row],[Price Today]]</f>
        <v>#VALUE!</v>
      </c>
      <c r="Z17" s="195" t="e">
        <f ca="1">Tabelad[[#This Row],[Vol 10d]]/16*Tabelad[[#This Row],[Exp %]]*100</f>
        <v>#NAME?</v>
      </c>
      <c r="AA17" s="18" t="e">
        <f ca="1">Tabelad[[#This Row],[Exp %]]*Tabelad[[#This Row],[Beta]]</f>
        <v>#VALUE!</v>
      </c>
      <c r="AB17" s="35" t="e">
        <f ca="1">_xll.BDP($B17&amp;" Equity","volatility_10d")</f>
        <v>#NAME?</v>
      </c>
      <c r="AC17" s="35" t="e">
        <f ca="1">_xll.BDP(B17&amp;" EQUITY","eqy_beta")</f>
        <v>#NAME?</v>
      </c>
      <c r="AD17" s="15" t="e">
        <f ca="1">Tabelad[[#This Row],[D1 P&amp;L bps]]*$AD$5/10000</f>
        <v>#VALUE!</v>
      </c>
      <c r="AE17" s="206"/>
      <c r="AF17" s="185" t="e">
        <f ca="1">_xll.BDP(B17&amp;" Equity","EXPECTED_REPORT_DT")</f>
        <v>#NAME?</v>
      </c>
      <c r="AG17" s="139" t="e">
        <f ca="1">_xll.BDP(B17&amp;" Index","CHG_PCT_1D_PRE_FROM_REGULAR")/100</f>
        <v>#NAME?</v>
      </c>
      <c r="AH17" s="19" t="e">
        <f t="shared" ca="1" si="14"/>
        <v>#VALUE!</v>
      </c>
      <c r="AI17" s="361" t="e">
        <f ca="1">_xll.BDP(B17&amp;" Equity","DVD_EX_DT")</f>
        <v>#NAME?</v>
      </c>
    </row>
    <row r="18" spans="1:35">
      <c r="B18" s="39" t="s">
        <v>29</v>
      </c>
      <c r="C18" t="s">
        <v>904</v>
      </c>
      <c r="E18" t="s">
        <v>137</v>
      </c>
      <c r="F18" s="21" t="s">
        <v>47</v>
      </c>
      <c r="G18" s="15"/>
      <c r="H18" s="362">
        <v>8100</v>
      </c>
      <c r="I18" s="35" t="e" cm="1">
        <f t="array" aca="1" ref="I18" ca="1">_xll.BDP(B18&amp;" Equity","LAST_PRICE")</f>
        <v>#NAME?</v>
      </c>
      <c r="J18" s="50" t="e">
        <f t="shared" ref="J18" ca="1" si="32">I18/K18-1</f>
        <v>#NAME?</v>
      </c>
      <c r="K18" s="355" t="e">
        <f ca="1">_xll.BDP(B18&amp;" equity","PX_YEST_CLOSE")</f>
        <v>#NAME?</v>
      </c>
      <c r="L18" s="52" t="e">
        <f ca="1">_xll.BDP(E18&amp;" Curncy","PX_LAST")</f>
        <v>#NAME?</v>
      </c>
      <c r="M18" s="51">
        <v>1</v>
      </c>
      <c r="N18" s="15" t="str">
        <f t="shared" ref="N18" ca="1" si="33">IFERROR(IF(((I18/L18)*H18*M18)&lt;&gt;0,((I18/L18)*H18*M18),0),"-")</f>
        <v>-</v>
      </c>
      <c r="O18" s="284" t="str">
        <f ca="1">IFERROR(IF(Tabelad[[#This Row],[D1 Exp USD]]&lt;&gt;0,N18/$AE$7,0),"-")</f>
        <v>-</v>
      </c>
      <c r="P18" s="19" t="str">
        <f ca="1">IFERROR(IF(Tabelad[[#This Row],[D1 Exp USD]]&lt;&gt;0,((I18-K18)/L18*M18*H18)/$AD$7*10000,0),"-")</f>
        <v>-</v>
      </c>
      <c r="Q18" s="15">
        <f ca="1">IF(SUM(SUMIFS(Options!$AL$4:$AL$28, Options!$D$4:$D$28, B18), SUMIFS(Options!$AL$4:$AL$28, Options!$D$4:$D$28, B18 &amp; " US"))=0,0,SUM(SUMIFS(Options!$AL$4:$AL$28, Options!$D$4:$D$28, B18), SUMIFS(Options!$AL$4:$AL$28, Options!$D$4:$D$28, B18 &amp; " US")))</f>
        <v>0</v>
      </c>
      <c r="R18" s="18">
        <f t="shared" ref="R18" ca="1" si="34">Q18/$AE$7</f>
        <v>0</v>
      </c>
      <c r="S18" s="19">
        <f ca="1">IF(SUM(SUMIFS(Options!$AK$4:$AK$28, Options!$D$4:$D$28, B18), SUMIFS(Options!$AK$4:$AK$28, Options!$D$4:$D$28, B18 &amp; " US"))=0,0,SUM(SUMIFS(Options!$AK$4:$AK$28, Options!$D$4:$D$28, B18), SUMIFS(Options!AK$4:$AK$28, Options!$D$4:$D$28, B18 &amp; " US")))</f>
        <v>0</v>
      </c>
      <c r="T18" s="13" t="e">
        <f t="shared" ref="T18" ca="1" si="35">N18+Q18</f>
        <v>#VALUE!</v>
      </c>
      <c r="U18" s="47" t="e">
        <f t="shared" ref="U18" ca="1" si="36">T18/$AE$7</f>
        <v>#VALUE!</v>
      </c>
      <c r="V18" s="19" t="e">
        <f t="shared" ref="V18" ca="1" si="37">P18+S18</f>
        <v>#VALUE!</v>
      </c>
      <c r="W18" s="15" t="e">
        <f t="shared" ref="W18" ca="1" si="38">$W$10/(I18/L18*M18)</f>
        <v>#NAME?</v>
      </c>
      <c r="X18" s="18"/>
      <c r="Y18" s="301" t="e">
        <f ca="1">Tabelad[[#This Row],[Exp %]]*$Y$10*$AD$7/Tabelad[[#This Row],[Price Today]]</f>
        <v>#VALUE!</v>
      </c>
      <c r="Z18" s="195" t="e">
        <f ca="1">Tabelad[[#This Row],[Vol 10d]]/16*Tabelad[[#This Row],[Exp %]]*100</f>
        <v>#NAME?</v>
      </c>
      <c r="AA18" s="18" t="e">
        <f ca="1">Tabelad[[#This Row],[Exp %]]*Tabelad[[#This Row],[Beta]]</f>
        <v>#VALUE!</v>
      </c>
      <c r="AB18" s="35" t="e">
        <f ca="1">_xll.BDP($B18&amp;" Equity","volatility_10d")</f>
        <v>#NAME?</v>
      </c>
      <c r="AC18" s="35" t="e" cm="1">
        <f t="array" aca="1" ref="AC18" ca="1">_xll.BDP(B18&amp;" EQUITY","eqy_beta")</f>
        <v>#NAME?</v>
      </c>
      <c r="AD18" s="15" t="e">
        <f ca="1">Tabelad[[#This Row],[D1 P&amp;L bps]]*$AD$5/10000</f>
        <v>#VALUE!</v>
      </c>
      <c r="AE18" s="206"/>
      <c r="AF18" s="185" t="e">
        <f ca="1">_xll.BDP(B18&amp;" Equity","EXPECTED_REPORT_DT")</f>
        <v>#NAME?</v>
      </c>
      <c r="AG18" s="139" t="e">
        <f ca="1">_xll.BDP(B18&amp;" Index","CHG_PCT_1D_PRE_FROM_REGULAR")/100</f>
        <v>#NAME?</v>
      </c>
      <c r="AH18" s="19" t="e">
        <f t="shared" ref="AH18" ca="1" si="39">(T18*AG18)/$AD$7*10000</f>
        <v>#VALUE!</v>
      </c>
      <c r="AI18" s="361" t="e">
        <f ca="1">_xll.BDP(B18&amp;" Equity","DVD_EX_DT")</f>
        <v>#NAME?</v>
      </c>
    </row>
    <row r="19" spans="1:35">
      <c r="B19" s="39" t="s">
        <v>316</v>
      </c>
      <c r="C19" t="s">
        <v>904</v>
      </c>
      <c r="E19" t="s">
        <v>137</v>
      </c>
      <c r="F19" s="21" t="s">
        <v>48</v>
      </c>
      <c r="G19" s="15"/>
      <c r="H19" s="362"/>
      <c r="I19" s="35" t="e" cm="1">
        <f t="array" aca="1" ref="I19" ca="1">_xll.BDP(B19&amp;" Equity","LAST_PRICE")</f>
        <v>#NAME?</v>
      </c>
      <c r="J19" s="50" t="e">
        <f t="shared" ref="J19" ca="1" si="40">I19/K19-1</f>
        <v>#NAME?</v>
      </c>
      <c r="K19" s="355" t="e">
        <f ca="1">_xll.BDP(B19&amp;" equity","PX_YEST_CLOSE")</f>
        <v>#NAME?</v>
      </c>
      <c r="L19" s="52" t="e">
        <f ca="1">_xll.BDP(E19&amp;" Curncy","PX_LAST")</f>
        <v>#NAME?</v>
      </c>
      <c r="M19" s="51">
        <v>1</v>
      </c>
      <c r="N19" s="15" t="str">
        <f t="shared" ref="N19" ca="1" si="41">IFERROR(IF(((I19/L19)*H19*M19)&lt;&gt;0,((I19/L19)*H19*M19),0),"-")</f>
        <v>-</v>
      </c>
      <c r="O19" s="284" t="str">
        <f ca="1">IFERROR(IF(Tabelad[[#This Row],[D1 Exp USD]]&lt;&gt;0,N19/$AE$7,0),"-")</f>
        <v>-</v>
      </c>
      <c r="P19" s="19" t="str">
        <f ca="1">IFERROR(IF(Tabelad[[#This Row],[D1 Exp USD]]&lt;&gt;0,((I19-K19)/L19*M19*H19)/$AD$7*10000,0),"-")</f>
        <v>-</v>
      </c>
      <c r="Q19" s="15">
        <f ca="1">IF(SUM(SUMIFS(Options!$AL$4:$AL$28, Options!$D$4:$D$28, B19), SUMIFS(Options!$AL$4:$AL$28, Options!$D$4:$D$28, B19 &amp; " US"))=0,0,SUM(SUMIFS(Options!$AL$4:$AL$28, Options!$D$4:$D$28, B19), SUMIFS(Options!$AL$4:$AL$28, Options!$D$4:$D$28, B19 &amp; " US")))</f>
        <v>0</v>
      </c>
      <c r="R19" s="18">
        <f t="shared" ref="R19" ca="1" si="42">Q19/$AE$7</f>
        <v>0</v>
      </c>
      <c r="S19" s="19">
        <f ca="1">IF(SUM(SUMIFS(Options!$AK$4:$AK$28, Options!$D$4:$D$28, B19), SUMIFS(Options!$AK$4:$AK$28, Options!$D$4:$D$28, B19 &amp; " US"))=0,0,SUM(SUMIFS(Options!$AK$4:$AK$28, Options!$D$4:$D$28, B19), SUMIFS(Options!AK$4:$AK$28, Options!$D$4:$D$28, B19 &amp; " US")))</f>
        <v>0</v>
      </c>
      <c r="T19" s="13" t="e">
        <f t="shared" ref="T19" ca="1" si="43">N19+Q19</f>
        <v>#VALUE!</v>
      </c>
      <c r="U19" s="47" t="e">
        <f t="shared" ref="U19" ca="1" si="44">T19/$AE$7</f>
        <v>#VALUE!</v>
      </c>
      <c r="V19" s="19" t="e">
        <f t="shared" ref="V19" ca="1" si="45">P19+S19</f>
        <v>#VALUE!</v>
      </c>
      <c r="W19" s="15" t="e">
        <f t="shared" ref="W19" ca="1" si="46">$W$10/(I19/L19*M19)</f>
        <v>#NAME?</v>
      </c>
      <c r="X19" s="18"/>
      <c r="Y19" s="301" t="e">
        <f ca="1">Tabelad[[#This Row],[Exp %]]*$Y$10*$AD$7/Tabelad[[#This Row],[Price Today]]</f>
        <v>#VALUE!</v>
      </c>
      <c r="Z19" s="195" t="e">
        <f ca="1">Tabelad[[#This Row],[Vol 10d]]/16*Tabelad[[#This Row],[Exp %]]*100</f>
        <v>#NAME?</v>
      </c>
      <c r="AA19" s="18" t="e">
        <f ca="1">Tabelad[[#This Row],[Exp %]]*Tabelad[[#This Row],[Beta]]</f>
        <v>#VALUE!</v>
      </c>
      <c r="AB19" s="35" t="e">
        <f ca="1">_xll.BDP($B19&amp;" Equity","volatility_10d")</f>
        <v>#NAME?</v>
      </c>
      <c r="AC19" s="35" t="e" cm="1">
        <f t="array" aca="1" ref="AC19" ca="1">_xll.BDP(B19&amp;" EQUITY","eqy_beta")</f>
        <v>#NAME?</v>
      </c>
      <c r="AD19" s="15" t="e">
        <f ca="1">Tabelad[[#This Row],[D1 P&amp;L bps]]*$AD$5/10000</f>
        <v>#VALUE!</v>
      </c>
      <c r="AE19" s="206"/>
      <c r="AF19" s="185" t="e">
        <f ca="1">_xll.BDP(B19&amp;" Equity","EXPECTED_REPORT_DT")</f>
        <v>#NAME?</v>
      </c>
      <c r="AG19" s="139" t="e">
        <f ca="1">_xll.BDP(B19&amp;" Index","CHG_PCT_1D_PRE_FROM_REGULAR")/100</f>
        <v>#NAME?</v>
      </c>
      <c r="AH19" s="19" t="e">
        <f t="shared" ref="AH19" ca="1" si="47">(T19*AG19)/$AD$7*10000</f>
        <v>#VALUE!</v>
      </c>
      <c r="AI19" s="361" t="e">
        <f ca="1">_xll.BDP(B19&amp;" Equity","DVD_EX_DT")</f>
        <v>#NAME?</v>
      </c>
    </row>
    <row r="20" spans="1:35">
      <c r="B20" s="39" t="s">
        <v>1104</v>
      </c>
      <c r="C20" t="s">
        <v>904</v>
      </c>
      <c r="E20" t="s">
        <v>137</v>
      </c>
      <c r="F20" s="21" t="s">
        <v>48</v>
      </c>
      <c r="G20" s="15"/>
      <c r="H20" s="362"/>
      <c r="I20" s="35" t="e" cm="1">
        <f t="array" aca="1" ref="I20" ca="1">_xll.BDP(B20&amp;" Equity","LAST_PRICE")</f>
        <v>#NAME?</v>
      </c>
      <c r="J20" s="50" t="e">
        <f t="shared" ca="1" si="7"/>
        <v>#NAME?</v>
      </c>
      <c r="K20" s="355" t="e">
        <f ca="1">_xll.BDP(B20&amp;" equity","PX_YEST_CLOSE")</f>
        <v>#NAME?</v>
      </c>
      <c r="L20" s="52" t="e">
        <f ca="1">_xll.BDP(E20&amp;" Curncy","PX_LAST")</f>
        <v>#NAME?</v>
      </c>
      <c r="M20" s="51">
        <v>1</v>
      </c>
      <c r="N20" s="15" t="str">
        <f t="shared" ca="1" si="8"/>
        <v>-</v>
      </c>
      <c r="O20" s="284" t="str">
        <f ca="1">IFERROR(IF(Tabelad[[#This Row],[D1 Exp USD]]&lt;&gt;0,N20/$AE$7,0),"-")</f>
        <v>-</v>
      </c>
      <c r="P20" s="19" t="str">
        <f ca="1">IFERROR(IF(Tabelad[[#This Row],[D1 Exp USD]]&lt;&gt;0,((I20-K20)/L20*M20*H20)/$AD$7*10000,0),"-")</f>
        <v>-</v>
      </c>
      <c r="Q20" s="15">
        <f ca="1">IF(SUM(SUMIFS(Options!$AL$4:$AL$28, Options!$D$4:$D$28, B20), SUMIFS(Options!$AL$4:$AL$28, Options!$D$4:$D$28, B20 &amp; " US"))=0,0,SUM(SUMIFS(Options!$AL$4:$AL$28, Options!$D$4:$D$28, B20), SUMIFS(Options!$AL$4:$AL$28, Options!$D$4:$D$28, B20 &amp; " US")))</f>
        <v>0</v>
      </c>
      <c r="R20" s="18">
        <f ca="1">Q20/$AE$7</f>
        <v>0</v>
      </c>
      <c r="S20" s="19">
        <f ca="1">IF(SUM(SUMIFS(Options!$AK$4:$AK$28, Options!$D$4:$D$28, B20), SUMIFS(Options!$AK$4:$AK$28, Options!$D$4:$D$28, B20 &amp; " US"))=0,0,SUM(SUMIFS(Options!$AK$4:$AK$28, Options!$D$4:$D$28, B20), SUMIFS(Options!AK$4:$AK$28, Options!$D$4:$D$28, B20 &amp; " US")))</f>
        <v>0</v>
      </c>
      <c r="T20" s="13" t="e">
        <f t="shared" ca="1" si="10"/>
        <v>#VALUE!</v>
      </c>
      <c r="U20" s="47" t="e">
        <f t="shared" ca="1" si="11"/>
        <v>#VALUE!</v>
      </c>
      <c r="V20" s="19" t="e">
        <f t="shared" ca="1" si="12"/>
        <v>#VALUE!</v>
      </c>
      <c r="W20" s="15" t="e">
        <f t="shared" ca="1" si="13"/>
        <v>#NAME?</v>
      </c>
      <c r="X20" s="18"/>
      <c r="Y20" s="301" t="e">
        <f ca="1">Tabelad[[#This Row],[Exp %]]*$Y$10*$AD$7/Tabelad[[#This Row],[Price Today]]</f>
        <v>#VALUE!</v>
      </c>
      <c r="Z20" s="195" t="e">
        <f ca="1">Tabelad[[#This Row],[Vol 10d]]/16*Tabelad[[#This Row],[Exp %]]*100</f>
        <v>#NAME?</v>
      </c>
      <c r="AA20" s="18" t="e">
        <f ca="1">Tabelad[[#This Row],[Exp %]]*Tabelad[[#This Row],[Beta]]</f>
        <v>#VALUE!</v>
      </c>
      <c r="AB20" s="35" t="e">
        <f ca="1">_xll.BDP($B20&amp;" Equity","volatility_10d")</f>
        <v>#NAME?</v>
      </c>
      <c r="AC20" s="35" t="e" cm="1">
        <f t="array" aca="1" ref="AC20" ca="1">_xll.BDP(B20&amp;" EQUITY","eqy_beta")</f>
        <v>#NAME?</v>
      </c>
      <c r="AD20" s="15" t="e">
        <f ca="1">Tabelad[[#This Row],[D1 P&amp;L bps]]*$AD$5/10000</f>
        <v>#VALUE!</v>
      </c>
      <c r="AE20" s="206"/>
      <c r="AF20" s="185" t="e">
        <f ca="1">_xll.BDP(B20&amp;" Equity","EXPECTED_REPORT_DT")</f>
        <v>#NAME?</v>
      </c>
      <c r="AG20" s="139" t="e">
        <f ca="1">_xll.BDP(B20&amp;" Index","CHG_PCT_1D_PRE_FROM_REGULAR")/100</f>
        <v>#NAME?</v>
      </c>
      <c r="AH20" s="19" t="e">
        <f t="shared" ca="1" si="14"/>
        <v>#VALUE!</v>
      </c>
      <c r="AI20" s="361" t="e">
        <f ca="1">_xll.BDP(B20&amp;" Equity","DVD_EX_DT")</f>
        <v>#NAME?</v>
      </c>
    </row>
    <row r="21" spans="1:35" s="446" customFormat="1" ht="15.75" thickBot="1">
      <c r="A21" s="448"/>
      <c r="B21" s="447" t="s">
        <v>426</v>
      </c>
      <c r="C21" s="446" t="s">
        <v>797</v>
      </c>
      <c r="E21" s="446" t="s">
        <v>137</v>
      </c>
      <c r="F21" s="459" t="s">
        <v>47</v>
      </c>
      <c r="G21" s="475"/>
      <c r="H21" s="471">
        <v>38496</v>
      </c>
      <c r="I21" s="474" t="e" cm="1">
        <f t="array" aca="1" ref="I21" ca="1">_xll.BDP(B21&amp;" Equity","LAST_PRICE")</f>
        <v>#NAME?</v>
      </c>
      <c r="J21" s="469" t="e">
        <f ca="1">I21/K21-1</f>
        <v>#NAME?</v>
      </c>
      <c r="K21" s="473" t="e">
        <f ca="1">_xll.BDP(B21&amp;" equity","PX_YEST_CLOSE")</f>
        <v>#NAME?</v>
      </c>
      <c r="L21" s="468" t="e">
        <f ca="1">_xll.BDP(E21&amp;" Curncy","PX_LAST")</f>
        <v>#NAME?</v>
      </c>
      <c r="M21" s="472">
        <v>1</v>
      </c>
      <c r="N21" s="475" t="str">
        <f ca="1">IFERROR(IF(((I21/L21)*H21*M21)&lt;&gt;0,((I21/L21)*H21*M21),0),"-")</f>
        <v>-</v>
      </c>
      <c r="O21" s="470" t="str">
        <f ca="1">IFERROR(IF(Tabelad[[#This Row],[D1 Exp USD]]&lt;&gt;0,N21/$AE$7,0),"-")</f>
        <v>-</v>
      </c>
      <c r="P21" s="467" t="str">
        <f ca="1">IFERROR(IF(Tabelad[[#This Row],[D1 Exp USD]]&lt;&gt;0,((I21-K21)/L21*M21*H21)/$AD$7*10000,0),"-")</f>
        <v>-</v>
      </c>
      <c r="Q21" s="475">
        <f ca="1">IF(SUM(SUMIFS(Options!$AL$4:$AL$28, Options!$D$4:$D$28, B21), SUMIFS(Options!$AL$4:$AL$28, Options!$D$4:$D$28, B21 &amp; " US"))=0,0,SUM(SUMIFS(Options!$AL$4:$AL$28, Options!$D$4:$D$28, B21), SUMIFS(Options!$AL$4:$AL$28, Options!$D$4:$D$28, B21 &amp; " US")))</f>
        <v>0</v>
      </c>
      <c r="R21" s="274">
        <f ca="1">Q21/$AE$7</f>
        <v>0</v>
      </c>
      <c r="S21" s="467">
        <f ca="1">IF(SUM(SUMIFS(Options!$AK$4:$AK$28, Options!$D$4:$D$28, B21), SUMIFS(Options!$AK$4:$AK$28, Options!$D$4:$D$28, B21 &amp; " US"))=0,0,SUM(SUMIFS(Options!$AK$4:$AK$28, Options!$D$4:$D$28, B21), SUMIFS(Options!AK$4:$AK$28, Options!$D$4:$D$28, B21 &amp; " US")))</f>
        <v>0</v>
      </c>
      <c r="T21" s="464" t="e">
        <f ca="1">N21+Q21</f>
        <v>#VALUE!</v>
      </c>
      <c r="U21" s="466" t="e">
        <f ca="1">T21/$AE$7</f>
        <v>#VALUE!</v>
      </c>
      <c r="V21" s="467" t="e">
        <f ca="1">P21+S21</f>
        <v>#VALUE!</v>
      </c>
      <c r="W21" s="475" t="e">
        <f ca="1">$W$10/(I21/L21*M21)</f>
        <v>#NAME?</v>
      </c>
      <c r="X21" s="274"/>
      <c r="Y21" s="463" t="e">
        <f ca="1">Tabelad[[#This Row],[Exp %]]*$Y$10*$AD$7/Tabelad[[#This Row],[Price Today]]</f>
        <v>#VALUE!</v>
      </c>
      <c r="Z21" s="465" t="e">
        <f ca="1">Tabelad[[#This Row],[Vol 10d]]/16*Tabelad[[#This Row],[Exp %]]*100</f>
        <v>#NAME?</v>
      </c>
      <c r="AA21" s="274" t="e">
        <f ca="1">Tabelad[[#This Row],[Exp %]]*Tabelad[[#This Row],[Beta]]</f>
        <v>#VALUE!</v>
      </c>
      <c r="AB21" s="474" t="e">
        <f ca="1">_xll.BDP($B21&amp;" Equity","volatility_10d")</f>
        <v>#NAME?</v>
      </c>
      <c r="AC21" s="474" t="e">
        <f ca="1">_xll.BDP(B21&amp;" EQUITY","eqy_beta")</f>
        <v>#NAME?</v>
      </c>
      <c r="AD21" s="475" t="e">
        <f ca="1">Tabelad[[#This Row],[D1 P&amp;L bps]]*$AD$5/10000</f>
        <v>#VALUE!</v>
      </c>
      <c r="AE21" s="462"/>
      <c r="AF21" s="461" t="e">
        <f ca="1">_xll.BDP(B21&amp;" Equity","EXPECTED_REPORT_DT")</f>
        <v>#NAME?</v>
      </c>
      <c r="AG21" s="460" t="e">
        <f ca="1">_xll.BDP(B21&amp;" Index","CHG_PCT_1D_PRE_FROM_REGULAR")/100</f>
        <v>#NAME?</v>
      </c>
      <c r="AH21" s="467" t="e">
        <f ca="1">(T21*AG21)/$AD$7*10000</f>
        <v>#VALUE!</v>
      </c>
      <c r="AI21" s="458" t="e">
        <f ca="1">_xll.BDP(B21&amp;" Equity","DVD_EX_DT")</f>
        <v>#NAME?</v>
      </c>
    </row>
    <row r="22" spans="1:35">
      <c r="B22" s="408" t="s">
        <v>433</v>
      </c>
      <c r="C22" s="424" t="s">
        <v>797</v>
      </c>
      <c r="D22" s="424"/>
      <c r="E22" s="424" t="s">
        <v>771</v>
      </c>
      <c r="F22" s="425" t="s">
        <v>47</v>
      </c>
      <c r="G22" s="409"/>
      <c r="H22" s="426">
        <v>1563</v>
      </c>
      <c r="I22" s="410" t="e" cm="1">
        <f t="array" aca="1" ref="I22" ca="1">_xll.BDP(B22&amp;" Equity","LAST_PRICE")</f>
        <v>#NAME?</v>
      </c>
      <c r="J22" s="411" t="e">
        <f t="shared" ca="1" si="7"/>
        <v>#NAME?</v>
      </c>
      <c r="K22" s="412" t="e">
        <f ca="1">_xll.BDP(B22&amp;" equity","PX_YEST_CLOSE")</f>
        <v>#NAME?</v>
      </c>
      <c r="L22" s="413" t="e">
        <f ca="1">_xll.BDP(E22&amp;" Curncy","PX_LAST")</f>
        <v>#NAME?</v>
      </c>
      <c r="M22" s="414">
        <v>1</v>
      </c>
      <c r="N22" s="409" t="str">
        <f t="shared" ca="1" si="8"/>
        <v>-</v>
      </c>
      <c r="O22" s="415" t="str">
        <f ca="1">IFERROR(IF(Tabelad[[#This Row],[D1 Exp USD]]&lt;&gt;0,N22/$AE$7,0),"-")</f>
        <v>-</v>
      </c>
      <c r="P22" s="416" t="str">
        <f ca="1">IFERROR(IF(Tabelad[[#This Row],[D1 Exp USD]]&lt;&gt;0,((I22-K22)/L22*M22*H22)/$AD$7*10000,0),"-")</f>
        <v>-</v>
      </c>
      <c r="Q22" s="409">
        <f ca="1">IF(SUM(SUMIFS(Options!$AL$4:$AL$28, Options!$D$4:$D$28, B22), SUMIFS(Options!$AL$4:$AL$28, Options!$D$4:$D$28, B22 &amp; " US"))=0,0,SUM(SUMIFS(Options!$AL$4:$AL$28, Options!$D$4:$D$28, B22), SUMIFS(Options!$AL$4:$AL$28, Options!$D$4:$D$28, B22 &amp; " US")))</f>
        <v>0</v>
      </c>
      <c r="R22" s="417">
        <f t="shared" ca="1" si="31"/>
        <v>0</v>
      </c>
      <c r="S22" s="418">
        <f ca="1">IF(SUM(SUMIFS(Options!$AK$4:$AK$28, Options!$D$4:$D$28, B22), SUMIFS(Options!$AK$4:$AK$28, Options!$D$4:$D$28, B22 &amp; " US"))=0,0,SUM(SUMIFS(Options!$AK$4:$AK$28, Options!$D$4:$D$28, B22), SUMIFS(Options!AK$4:$AK$28, Options!$D$4:$D$28, B22 &amp; " US")))</f>
        <v>0</v>
      </c>
      <c r="T22" s="427" t="e">
        <f t="shared" ca="1" si="10"/>
        <v>#VALUE!</v>
      </c>
      <c r="U22" s="406" t="e">
        <f t="shared" ca="1" si="11"/>
        <v>#VALUE!</v>
      </c>
      <c r="V22" s="403" t="e">
        <f t="shared" ca="1" si="12"/>
        <v>#VALUE!</v>
      </c>
      <c r="W22" s="15" t="e">
        <f t="shared" ca="1" si="13"/>
        <v>#NAME?</v>
      </c>
      <c r="X22" s="18"/>
      <c r="Y22" s="301" t="e">
        <f ca="1">Tabelad[[#This Row],[Exp %]]*$Y$10*$AD$7/Tabelad[[#This Row],[Price Today]]</f>
        <v>#VALUE!</v>
      </c>
      <c r="Z22" s="195" t="e">
        <f ca="1">Tabelad[[#This Row],[Vol 10d]]/16*Tabelad[[#This Row],[Exp %]]*100</f>
        <v>#NAME?</v>
      </c>
      <c r="AA22" s="18" t="e">
        <f ca="1">Tabelad[[#This Row],[Exp %]]*Tabelad[[#This Row],[Beta]]</f>
        <v>#VALUE!</v>
      </c>
      <c r="AB22" s="35" t="e">
        <f ca="1">_xll.BDP($B22&amp;" Equity","volatility_10d")</f>
        <v>#NAME?</v>
      </c>
      <c r="AC22" s="35" t="e">
        <f ca="1">_xll.BDP(B22&amp;" EQUITY","eqy_beta")</f>
        <v>#NAME?</v>
      </c>
      <c r="AD22" s="15" t="e">
        <f ca="1">Tabelad[[#This Row],[D1 P&amp;L bps]]*$AD$5/10000</f>
        <v>#VALUE!</v>
      </c>
      <c r="AE22" s="206"/>
      <c r="AF22" s="185" t="e">
        <f ca="1">_xll.BDP(B22&amp;" Equity","EXPECTED_REPORT_DT")</f>
        <v>#NAME?</v>
      </c>
      <c r="AG22" s="139" t="e">
        <f ca="1">_xll.BDP(B22&amp;" Index","CHG_PCT_1D_PRE_FROM_REGULAR")/100</f>
        <v>#NAME?</v>
      </c>
      <c r="AH22" s="19" t="e">
        <f t="shared" ca="1" si="14"/>
        <v>#VALUE!</v>
      </c>
      <c r="AI22" s="361" t="e">
        <f ca="1">_xll.BDP(B22&amp;" Equity","DVD_EX_DT")</f>
        <v>#NAME?</v>
      </c>
    </row>
    <row r="23" spans="1:35">
      <c r="B23" s="419" t="s">
        <v>524</v>
      </c>
      <c r="C23" t="s">
        <v>797</v>
      </c>
      <c r="E23" t="s">
        <v>771</v>
      </c>
      <c r="F23" s="21" t="s">
        <v>47</v>
      </c>
      <c r="G23" s="420"/>
      <c r="H23" s="362">
        <v>1468</v>
      </c>
      <c r="I23" s="421" t="e" cm="1">
        <f t="array" aca="1" ref="I23" ca="1">_xll.BDP(B23&amp;" Equity","LAST_PRICE")</f>
        <v>#NAME?</v>
      </c>
      <c r="J23" s="50" t="e">
        <f t="shared" ca="1" si="7"/>
        <v>#NAME?</v>
      </c>
      <c r="K23" s="355" t="e">
        <f ca="1">_xll.BDP(B23&amp;" equity","PX_YEST_CLOSE")</f>
        <v>#NAME?</v>
      </c>
      <c r="L23" s="422" t="e">
        <f ca="1">_xll.BDP(E23&amp;" Curncy","PX_LAST")</f>
        <v>#NAME?</v>
      </c>
      <c r="M23" s="51">
        <v>1</v>
      </c>
      <c r="N23" s="420" t="str">
        <f t="shared" ca="1" si="8"/>
        <v>-</v>
      </c>
      <c r="O23" s="423" t="str">
        <f ca="1">IFERROR(IF(Tabelad[[#This Row],[D1 Exp USD]]&lt;&gt;0,N23/$AE$7,0),"-")</f>
        <v>-</v>
      </c>
      <c r="P23" s="19" t="str">
        <f ca="1">IFERROR(IF(Tabelad[[#This Row],[D1 Exp USD]]&lt;&gt;0,((I23-K23)/L23*M23*H23)/$AD$7*10000,0),"-")</f>
        <v>-</v>
      </c>
      <c r="Q23" s="420">
        <f ca="1">IF(SUM(SUMIFS(Options!$AL$4:$AL$28, Options!$D$4:$D$28, B23), SUMIFS(Options!$AL$4:$AL$28, Options!$D$4:$D$28, B23 &amp; " US"))=0,0,SUM(SUMIFS(Options!$AL$4:$AL$28, Options!$D$4:$D$28, B23), SUMIFS(Options!$AL$4:$AL$28, Options!$D$4:$D$28, B23 &amp; " US")))</f>
        <v>0</v>
      </c>
      <c r="R23" s="139">
        <f t="shared" ca="1" si="31"/>
        <v>0</v>
      </c>
      <c r="S23" s="185">
        <f ca="1">IF(SUM(SUMIFS(Options!$AK$4:$AK$28, Options!$D$4:$D$28, B23), SUMIFS(Options!$AK$4:$AK$28, Options!$D$4:$D$28, B23 &amp; " US"))=0,0,SUM(SUMIFS(Options!$AK$4:$AK$28, Options!$D$4:$D$28, B23), SUMIFS(Options!AK$4:$AK$28, Options!$D$4:$D$28, B23 &amp; " US")))</f>
        <v>0</v>
      </c>
      <c r="T23" s="428" t="e">
        <f t="shared" ca="1" si="10"/>
        <v>#VALUE!</v>
      </c>
      <c r="U23" s="407" t="e">
        <f t="shared" ca="1" si="11"/>
        <v>#VALUE!</v>
      </c>
      <c r="V23" s="404" t="e">
        <f t="shared" ca="1" si="12"/>
        <v>#VALUE!</v>
      </c>
      <c r="W23" s="15" t="e">
        <f t="shared" ca="1" si="13"/>
        <v>#NAME?</v>
      </c>
      <c r="X23" s="18"/>
      <c r="Y23" s="301" t="e">
        <f ca="1">Tabelad[[#This Row],[Exp %]]*$Y$10*$AD$7/Tabelad[[#This Row],[Price Today]]</f>
        <v>#VALUE!</v>
      </c>
      <c r="Z23" s="195" t="e">
        <f ca="1">Tabelad[[#This Row],[Vol 10d]]/16*Tabelad[[#This Row],[Exp %]]*100</f>
        <v>#NAME?</v>
      </c>
      <c r="AA23" s="18" t="e">
        <f ca="1">Tabelad[[#This Row],[Exp %]]*Tabelad[[#This Row],[Beta]]</f>
        <v>#VALUE!</v>
      </c>
      <c r="AB23" s="35" t="e">
        <f ca="1">_xll.BDP($B23&amp;" Equity","volatility_10d")</f>
        <v>#NAME?</v>
      </c>
      <c r="AC23" s="35" t="e">
        <f ca="1">_xll.BDP(B23&amp;" EQUITY","eqy_beta")</f>
        <v>#NAME?</v>
      </c>
      <c r="AD23" s="15" t="e">
        <f ca="1">Tabelad[[#This Row],[D1 P&amp;L bps]]*$AD$5/10000</f>
        <v>#VALUE!</v>
      </c>
      <c r="AE23" s="206"/>
      <c r="AF23" s="185" t="e">
        <f ca="1">_xll.BDP(B23&amp;" Equity","EXPECTED_REPORT_DT")</f>
        <v>#NAME?</v>
      </c>
      <c r="AG23" s="139" t="e">
        <f ca="1">_xll.BDP(B23&amp;" Index","CHG_PCT_1D_PRE_FROM_REGULAR")/100</f>
        <v>#NAME?</v>
      </c>
      <c r="AH23" s="19" t="e">
        <f t="shared" ca="1" si="14"/>
        <v>#VALUE!</v>
      </c>
      <c r="AI23" s="361" t="e">
        <f ca="1">_xll.BDP(B23&amp;" Equity","DVD_EX_DT")</f>
        <v>#NAME?</v>
      </c>
    </row>
    <row r="24" spans="1:35">
      <c r="B24" s="419" t="s">
        <v>1073</v>
      </c>
      <c r="C24" t="s">
        <v>797</v>
      </c>
      <c r="E24" t="s">
        <v>771</v>
      </c>
      <c r="F24" s="21" t="s">
        <v>47</v>
      </c>
      <c r="G24" s="420"/>
      <c r="H24" s="362">
        <v>7080</v>
      </c>
      <c r="I24" s="421" t="e" cm="1">
        <f t="array" aca="1" ref="I24" ca="1">_xll.BDP(B24&amp;" Equity","LAST_PRICE")</f>
        <v>#NAME?</v>
      </c>
      <c r="J24" s="50" t="e">
        <f t="shared" ca="1" si="7"/>
        <v>#NAME?</v>
      </c>
      <c r="K24" s="355" t="e">
        <f ca="1">_xll.BDP(B24&amp;" equity","PX_YEST_CLOSE")</f>
        <v>#NAME?</v>
      </c>
      <c r="L24" s="422" t="e">
        <f ca="1">_xll.BDP(E24&amp;" Curncy","PX_LAST")</f>
        <v>#NAME?</v>
      </c>
      <c r="M24" s="51">
        <v>1</v>
      </c>
      <c r="N24" s="420" t="str">
        <f t="shared" ca="1" si="8"/>
        <v>-</v>
      </c>
      <c r="O24" s="423" t="str">
        <f ca="1">IFERROR(IF(Tabelad[[#This Row],[D1 Exp USD]]&lt;&gt;0,N24/$AE$7,0),"-")</f>
        <v>-</v>
      </c>
      <c r="P24" s="19" t="str">
        <f ca="1">IFERROR(IF(Tabelad[[#This Row],[D1 Exp USD]]&lt;&gt;0,((I24-K24)/L24*M24*H24)/$AD$7*10000,0),"-")</f>
        <v>-</v>
      </c>
      <c r="Q24" s="420">
        <f ca="1">IF(SUM(SUMIFS(Options!$AL$4:$AL$28, Options!$D$4:$D$28, B24), SUMIFS(Options!$AL$4:$AL$28, Options!$D$4:$D$28, B24 &amp; " US"))=0,0,SUM(SUMIFS(Options!$AL$4:$AL$28, Options!$D$4:$D$28, B24), SUMIFS(Options!$AL$4:$AL$28, Options!$D$4:$D$28, B24 &amp; " US")))</f>
        <v>0</v>
      </c>
      <c r="R24" s="139">
        <f ca="1">Q24/$AE$7</f>
        <v>0</v>
      </c>
      <c r="S24" s="185">
        <f ca="1">IF(SUM(SUMIFS(Options!$AK$4:$AK$28, Options!$D$4:$D$28, B24), SUMIFS(Options!$AK$4:$AK$28, Options!$D$4:$D$28, B24 &amp; " US"))=0,0,SUM(SUMIFS(Options!$AK$4:$AK$28, Options!$D$4:$D$28, B24), SUMIFS(Options!AK$4:$AK$28, Options!$D$4:$D$28, B24 &amp; " US")))</f>
        <v>0</v>
      </c>
      <c r="T24" s="428" t="e">
        <f t="shared" ca="1" si="10"/>
        <v>#VALUE!</v>
      </c>
      <c r="U24" s="407" t="e">
        <f t="shared" ca="1" si="11"/>
        <v>#VALUE!</v>
      </c>
      <c r="V24" s="404" t="e">
        <f t="shared" ca="1" si="12"/>
        <v>#VALUE!</v>
      </c>
      <c r="W24" s="15" t="e">
        <f t="shared" ca="1" si="13"/>
        <v>#NAME?</v>
      </c>
      <c r="X24" s="18"/>
      <c r="Y24" s="301" t="e">
        <f ca="1">Tabelad[[#This Row],[Exp %]]*$Y$10*$AD$7/Tabelad[[#This Row],[Price Today]]</f>
        <v>#VALUE!</v>
      </c>
      <c r="Z24" s="195" t="e">
        <f ca="1">Tabelad[[#This Row],[Vol 10d]]/16*Tabelad[[#This Row],[Exp %]]*100</f>
        <v>#NAME?</v>
      </c>
      <c r="AA24" s="18" t="e">
        <f ca="1">Tabelad[[#This Row],[Exp %]]*Tabelad[[#This Row],[Beta]]</f>
        <v>#VALUE!</v>
      </c>
      <c r="AB24" s="35" t="e">
        <f ca="1">_xll.BDP($B24&amp;" Equity","volatility_10d")</f>
        <v>#NAME?</v>
      </c>
      <c r="AC24" s="35" t="e">
        <f ca="1">_xll.BDP(B24&amp;" EQUITY","eqy_beta")</f>
        <v>#NAME?</v>
      </c>
      <c r="AD24" s="15" t="e">
        <f ca="1">Tabelad[[#This Row],[D1 P&amp;L bps]]*$AD$5/10000</f>
        <v>#VALUE!</v>
      </c>
      <c r="AE24" s="206"/>
      <c r="AF24" s="185" t="e">
        <f ca="1">_xll.BDP(B24&amp;" Equity","EXPECTED_REPORT_DT")</f>
        <v>#NAME?</v>
      </c>
      <c r="AG24" s="139" t="e">
        <f ca="1">_xll.BDP(B24&amp;" Index","CHG_PCT_1D_PRE_FROM_REGULAR")/100</f>
        <v>#NAME?</v>
      </c>
      <c r="AH24" s="19" t="e">
        <f t="shared" ca="1" si="14"/>
        <v>#VALUE!</v>
      </c>
      <c r="AI24" s="361" t="e">
        <f ca="1">_xll.BDP(B24&amp;" Equity","DVD_EX_DT")</f>
        <v>#NAME?</v>
      </c>
    </row>
    <row r="25" spans="1:35">
      <c r="B25" s="419" t="s">
        <v>1182</v>
      </c>
      <c r="C25" t="s">
        <v>797</v>
      </c>
      <c r="E25" t="s">
        <v>771</v>
      </c>
      <c r="F25" s="21" t="s">
        <v>47</v>
      </c>
      <c r="G25" s="420"/>
      <c r="H25" s="362">
        <v>4400</v>
      </c>
      <c r="I25" s="421" t="e" cm="1">
        <f t="array" aca="1" ref="I25" ca="1">_xll.BDP(B25&amp;" Equity","LAST_PRICE")</f>
        <v>#NAME?</v>
      </c>
      <c r="J25" s="50" t="e">
        <f t="shared" ref="J25" ca="1" si="48">I25/K25-1</f>
        <v>#NAME?</v>
      </c>
      <c r="K25" s="355">
        <v>115433</v>
      </c>
      <c r="L25" s="422" t="e">
        <f ca="1">_xll.BDP(E25&amp;" Curncy","PX_LAST")</f>
        <v>#NAME?</v>
      </c>
      <c r="M25" s="51">
        <v>1</v>
      </c>
      <c r="N25" s="420" t="str">
        <f t="shared" ref="N25" ca="1" si="49">IFERROR(IF(((I25/L25)*H25*M25)&lt;&gt;0,((I25/L25)*H25*M25),0),"-")</f>
        <v>-</v>
      </c>
      <c r="O25" s="423" t="str">
        <f ca="1">IFERROR(IF(Tabelad[[#This Row],[D1 Exp USD]]&lt;&gt;0,N25/$AE$7,0),"-")</f>
        <v>-</v>
      </c>
      <c r="P25" s="19" t="str">
        <f ca="1">IFERROR(IF(Tabelad[[#This Row],[D1 Exp USD]]&lt;&gt;0,((I25-K25)/L25*M25*H25)/$AD$7*10000,0),"-")</f>
        <v>-</v>
      </c>
      <c r="Q25" s="420">
        <f ca="1">IF(SUM(SUMIFS(Options!$AL$4:$AL$28, Options!$D$4:$D$28, B25), SUMIFS(Options!$AL$4:$AL$28, Options!$D$4:$D$28, B25 &amp; " US"))=0,0,SUM(SUMIFS(Options!$AL$4:$AL$28, Options!$D$4:$D$28, B25), SUMIFS(Options!$AL$4:$AL$28, Options!$D$4:$D$28, B25 &amp; " US")))</f>
        <v>0</v>
      </c>
      <c r="R25" s="139">
        <f ca="1">Q25/$AE$7</f>
        <v>0</v>
      </c>
      <c r="S25" s="185">
        <f ca="1">IF(SUM(SUMIFS(Options!$AK$4:$AK$28, Options!$D$4:$D$28, B25), SUMIFS(Options!$AK$4:$AK$28, Options!$D$4:$D$28, B25 &amp; " US"))=0,0,SUM(SUMIFS(Options!$AK$4:$AK$28, Options!$D$4:$D$28, B25), SUMIFS(Options!AK$4:$AK$28, Options!$D$4:$D$28, B25 &amp; " US")))</f>
        <v>0</v>
      </c>
      <c r="T25" s="428" t="e">
        <f t="shared" ref="T25" ca="1" si="50">N25+Q25</f>
        <v>#VALUE!</v>
      </c>
      <c r="U25" s="407" t="e">
        <f t="shared" ref="U25" ca="1" si="51">T25/$AE$7</f>
        <v>#VALUE!</v>
      </c>
      <c r="V25" s="404" t="e">
        <f t="shared" ref="V25" ca="1" si="52">P25+S25</f>
        <v>#VALUE!</v>
      </c>
      <c r="W25" s="15" t="e">
        <f t="shared" ref="W25" ca="1" si="53">$W$10/(I25/L25*M25)</f>
        <v>#NAME?</v>
      </c>
      <c r="X25" s="18"/>
      <c r="Y25" s="301" t="e">
        <f ca="1">Tabelad[[#This Row],[Exp %]]*$Y$10*$AD$7/Tabelad[[#This Row],[Price Today]]</f>
        <v>#VALUE!</v>
      </c>
      <c r="Z25" s="195" t="e">
        <f ca="1">Tabelad[[#This Row],[Vol 10d]]/16*Tabelad[[#This Row],[Exp %]]*100</f>
        <v>#NAME?</v>
      </c>
      <c r="AA25" s="18" t="e">
        <f ca="1">Tabelad[[#This Row],[Exp %]]*Tabelad[[#This Row],[Beta]]</f>
        <v>#VALUE!</v>
      </c>
      <c r="AB25" s="35" t="e">
        <f ca="1">_xll.BDP($B25&amp;" Equity","volatility_10d")</f>
        <v>#NAME?</v>
      </c>
      <c r="AC25" s="35" t="e">
        <f ca="1">_xll.BDP(B25&amp;" EQUITY","eqy_beta")</f>
        <v>#NAME?</v>
      </c>
      <c r="AD25" s="15" t="e">
        <f ca="1">Tabelad[[#This Row],[D1 P&amp;L bps]]*$AD$5/10000</f>
        <v>#VALUE!</v>
      </c>
      <c r="AE25" s="206"/>
      <c r="AF25" s="185" t="e">
        <f ca="1">_xll.BDP(B25&amp;" Equity","EXPECTED_REPORT_DT")</f>
        <v>#NAME?</v>
      </c>
      <c r="AG25" s="139" t="e">
        <f ca="1">_xll.BDP(B25&amp;" Index","CHG_PCT_1D_PRE_FROM_REGULAR")/100</f>
        <v>#NAME?</v>
      </c>
      <c r="AH25" s="19" t="e">
        <f t="shared" ref="AH25" ca="1" si="54">(T25*AG25)/$AD$7*10000</f>
        <v>#VALUE!</v>
      </c>
      <c r="AI25" s="361" t="e">
        <f ca="1">_xll.BDP(B25&amp;" Equity","DVD_EX_DT")</f>
        <v>#NAME?</v>
      </c>
    </row>
    <row r="26" spans="1:35" ht="15.75" thickBot="1">
      <c r="B26" s="429" t="s">
        <v>434</v>
      </c>
      <c r="C26" s="430" t="s">
        <v>546</v>
      </c>
      <c r="D26" s="430"/>
      <c r="E26" s="430" t="s">
        <v>1148</v>
      </c>
      <c r="F26" s="431" t="s">
        <v>47</v>
      </c>
      <c r="G26" s="432"/>
      <c r="H26" s="433">
        <v>17950</v>
      </c>
      <c r="I26" s="434" t="e" cm="1">
        <f t="array" aca="1" ref="I26" ca="1">_xll.BDP(B26&amp;" Equity","LAST_PRICE")</f>
        <v>#NAME?</v>
      </c>
      <c r="J26" s="435" t="e">
        <f ca="1">I26/K26-1</f>
        <v>#NAME?</v>
      </c>
      <c r="K26" s="436" t="e">
        <f ca="1">_xll.BDP(B26&amp;" equity","PX_YEST_CLOSE")</f>
        <v>#NAME?</v>
      </c>
      <c r="L26" s="437" t="e">
        <f ca="1">_xll.BDP(E26&amp;" Curncy","PX_LAST")</f>
        <v>#NAME?</v>
      </c>
      <c r="M26" s="438">
        <v>1</v>
      </c>
      <c r="N26" s="432" t="str">
        <f ca="1">IFERROR(IF(((I26/L26)*H26*M26)&lt;&gt;0,((I26/L26)*H26*M26),0),"-")</f>
        <v>-</v>
      </c>
      <c r="O26" s="439" t="str">
        <f ca="1">IFERROR(IF(Tabelad[[#This Row],[D1 Exp USD]]&lt;&gt;0,N26/$AE$7,0),"-")</f>
        <v>-</v>
      </c>
      <c r="P26" s="440" t="str">
        <f ca="1">IFERROR(IF(Tabelad[[#This Row],[D1 Exp USD]]&lt;&gt;0,((I26-K26)/L26*M26*H26)/$AD$7*10000,0),"-")</f>
        <v>-</v>
      </c>
      <c r="Q26" s="432">
        <f ca="1"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441">
        <f ca="1">Q26/$AE$7</f>
        <v>0</v>
      </c>
      <c r="S26" s="444">
        <f ca="1"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445" t="e">
        <f t="shared" ref="T26" ca="1" si="55">N26+Q26</f>
        <v>#VALUE!</v>
      </c>
      <c r="U26" s="442" t="e">
        <f t="shared" ref="U26" ca="1" si="56">T26/$AE$7</f>
        <v>#VALUE!</v>
      </c>
      <c r="V26" s="443" t="e">
        <f t="shared" ref="V26" ca="1" si="57">P26+S26</f>
        <v>#VALUE!</v>
      </c>
      <c r="W26" s="15" t="e">
        <f ca="1">$W$10/(I26/L26*M26)</f>
        <v>#NAME?</v>
      </c>
      <c r="X26" s="18"/>
      <c r="Y26" s="301" t="e">
        <f ca="1">Tabelad[[#This Row],[Exp %]]*$Y$10*$AD$7/Tabelad[[#This Row],[Price Today]]</f>
        <v>#VALUE!</v>
      </c>
      <c r="Z26" s="195" t="e">
        <f ca="1">Tabelad[[#This Row],[Vol 10d]]/16*Tabelad[[#This Row],[Exp %]]*100</f>
        <v>#NAME?</v>
      </c>
      <c r="AA26" s="18" t="e">
        <f ca="1">Tabelad[[#This Row],[Exp %]]*Tabelad[[#This Row],[Beta]]</f>
        <v>#VALUE!</v>
      </c>
      <c r="AB26" s="35" t="e">
        <f ca="1">_xll.BDP($B26&amp;" Equity","volatility_10d")</f>
        <v>#NAME?</v>
      </c>
      <c r="AC26" s="35" t="e" cm="1">
        <f t="array" aca="1" ref="AC26" ca="1">_xll.BDP(B26&amp;" EQUITY","eqy_beta")</f>
        <v>#NAME?</v>
      </c>
      <c r="AD26" s="15" t="e">
        <f ca="1">Tabelad[[#This Row],[D1 P&amp;L bps]]*$AD$5/10000</f>
        <v>#VALUE!</v>
      </c>
      <c r="AE26" s="206"/>
      <c r="AF26" s="185" t="e">
        <f ca="1">_xll.BDP(B26&amp;" Equity","EXPECTED_REPORT_DT")</f>
        <v>#NAME?</v>
      </c>
      <c r="AG26" s="139" t="e">
        <f ca="1">_xll.BDP(B26&amp;" Index","CHG_PCT_1D_PRE_FROM_REGULAR")/100</f>
        <v>#NAME?</v>
      </c>
      <c r="AH26" s="19" t="e">
        <f ca="1">(T26*AG26)/$AD$7*10000</f>
        <v>#VALUE!</v>
      </c>
      <c r="AI26" s="361" t="e">
        <f ca="1">_xll.BDP(B26&amp;" Equity","DVD_EX_DT")</f>
        <v>#NAME?</v>
      </c>
    </row>
    <row r="27" spans="1:35">
      <c r="B27" s="39" t="s">
        <v>44</v>
      </c>
      <c r="C27" t="s">
        <v>546</v>
      </c>
      <c r="E27" t="s">
        <v>137</v>
      </c>
      <c r="F27" s="21" t="s">
        <v>47</v>
      </c>
      <c r="G27" s="15"/>
      <c r="H27" s="362">
        <v>-5000</v>
      </c>
      <c r="I27" s="35" t="e" cm="1">
        <f t="array" aca="1" ref="I27" ca="1">_xll.BDP(B27&amp;" Equity","LAST_PRICE")</f>
        <v>#NAME?</v>
      </c>
      <c r="J27" s="50" t="e">
        <f ca="1">I27/K27-1</f>
        <v>#NAME?</v>
      </c>
      <c r="K27" s="355" t="e">
        <f ca="1">_xll.BDP(B27&amp;" equity","PX_YEST_CLOSE")</f>
        <v>#NAME?</v>
      </c>
      <c r="L27" s="52" t="e">
        <f ca="1">_xll.BDP(E27&amp;" Curncy","PX_LAST")</f>
        <v>#NAME?</v>
      </c>
      <c r="M27" s="51">
        <v>1</v>
      </c>
      <c r="N27" s="15" t="str">
        <f ca="1">IFERROR(IF(((I27/L27)*H27*M27)&lt;&gt;0,((I27/L27)*H27*M27),0),"-")</f>
        <v>-</v>
      </c>
      <c r="O27" s="284" t="str">
        <f ca="1">IFERROR(IF(Tabelad[[#This Row],[D1 Exp USD]]&lt;&gt;0,N27/$AE$7,0),"-")</f>
        <v>-</v>
      </c>
      <c r="P27" s="19" t="str">
        <f ca="1">IFERROR(IF(Tabelad[[#This Row],[D1 Exp USD]]&lt;&gt;0,((I27-K27)/L27*M27*H27)/$AD$7*10000,0),"-")</f>
        <v>-</v>
      </c>
      <c r="Q27" s="15">
        <f ca="1"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18">
        <f ca="1">Q27/$AE$7</f>
        <v>0</v>
      </c>
      <c r="S27" s="19">
        <f ca="1"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13" t="e">
        <f ca="1">N27+Q27</f>
        <v>#VALUE!</v>
      </c>
      <c r="U27" s="47" t="e">
        <f ca="1">T27/$AE$7</f>
        <v>#VALUE!</v>
      </c>
      <c r="V27" s="19" t="e">
        <f ca="1">P27+S27</f>
        <v>#VALUE!</v>
      </c>
      <c r="W27" s="15" t="e">
        <f ca="1">$W$10/(I27/L27*M27)</f>
        <v>#NAME?</v>
      </c>
      <c r="X27" s="18"/>
      <c r="Y27" s="301" t="e">
        <f ca="1">Tabelad[[#This Row],[Exp %]]*$Y$10*$AD$7/Tabelad[[#This Row],[Price Today]]</f>
        <v>#VALUE!</v>
      </c>
      <c r="Z27" s="195" t="e">
        <f ca="1">Tabelad[[#This Row],[Vol 10d]]/16*Tabelad[[#This Row],[Exp %]]*100</f>
        <v>#NAME?</v>
      </c>
      <c r="AA27" s="18" t="e">
        <f ca="1">Tabelad[[#This Row],[Exp %]]*Tabelad[[#This Row],[Beta]]</f>
        <v>#VALUE!</v>
      </c>
      <c r="AB27" s="35" t="e">
        <f ca="1">_xll.BDP($B27&amp;" Equity","volatility_10d")</f>
        <v>#NAME?</v>
      </c>
      <c r="AC27" s="35" t="e" cm="1">
        <f t="array" aca="1" ref="AC27" ca="1">_xll.BDP(B27&amp;" EQUITY","eqy_beta")</f>
        <v>#NAME?</v>
      </c>
      <c r="AD27" s="15" t="e">
        <f ca="1">Tabelad[[#This Row],[D1 P&amp;L bps]]*$AD$5/10000</f>
        <v>#VALUE!</v>
      </c>
      <c r="AE27" s="206"/>
      <c r="AF27" s="185" t="e">
        <f ca="1">_xll.BDP(B27&amp;" Equity","EXPECTED_REPORT_DT")</f>
        <v>#NAME?</v>
      </c>
      <c r="AG27" s="139" t="e">
        <f ca="1">_xll.BDP(B27&amp;" Index","CHG_PCT_1D_PRE_FROM_REGULAR")/100</f>
        <v>#NAME?</v>
      </c>
      <c r="AH27" s="19" t="e">
        <f ca="1">(T27*AG27)/$AD$7*10000</f>
        <v>#VALUE!</v>
      </c>
      <c r="AI27" s="361" t="e">
        <f ca="1">_xll.BDP(B27&amp;" Equity","DVD_EX_DT")</f>
        <v>#NAME?</v>
      </c>
    </row>
    <row r="28" spans="1:35">
      <c r="B28" s="39" t="s">
        <v>84</v>
      </c>
      <c r="C28" t="s">
        <v>546</v>
      </c>
      <c r="E28" t="s">
        <v>137</v>
      </c>
      <c r="F28" s="21" t="s">
        <v>47</v>
      </c>
      <c r="G28" s="15"/>
      <c r="H28" s="362">
        <v>16400</v>
      </c>
      <c r="I28" s="35" t="e" cm="1">
        <f t="array" aca="1" ref="I28" ca="1">_xll.BDP(B28&amp;" Equity","LAST_PRICE")</f>
        <v>#NAME?</v>
      </c>
      <c r="J28" s="50" t="e">
        <f t="shared" ca="1" si="7"/>
        <v>#NAME?</v>
      </c>
      <c r="K28" s="355" t="e">
        <f ca="1">_xll.BDP(B28&amp;" equity","PX_YEST_CLOSE")</f>
        <v>#NAME?</v>
      </c>
      <c r="L28" s="52" t="e">
        <f ca="1">_xll.BDP(E28&amp;" Curncy","PX_LAST")</f>
        <v>#NAME?</v>
      </c>
      <c r="M28" s="51">
        <v>1</v>
      </c>
      <c r="N28" s="15" t="str">
        <f t="shared" ca="1" si="8"/>
        <v>-</v>
      </c>
      <c r="O28" s="284" t="str">
        <f ca="1">IFERROR(IF(Tabelad[[#This Row],[D1 Exp USD]]&lt;&gt;0,N28/$AE$7,0),"-")</f>
        <v>-</v>
      </c>
      <c r="P28" s="19" t="str">
        <f ca="1">IFERROR(IF(Tabelad[[#This Row],[D1 Exp USD]]&lt;&gt;0,((I28-K28)/L28*M28*H28)/$AD$7*10000,0),"-")</f>
        <v>-</v>
      </c>
      <c r="Q28" s="15">
        <f ca="1">IF(SUM(SUMIFS(Options!$AL$4:$AL$28, Options!$D$4:$D$28, B28), SUMIFS(Options!$AL$4:$AL$28, Options!$D$4:$D$28, B28 &amp; " US"))=0,0,SUM(SUMIFS(Options!$AL$4:$AL$28, Options!$D$4:$D$28, B28), SUMIFS(Options!$AL$4:$AL$28, Options!$D$4:$D$28, B28 &amp; " US")))</f>
        <v>0</v>
      </c>
      <c r="R28" s="18">
        <f t="shared" ref="R28:R44" ca="1" si="58">Q28/$AE$7</f>
        <v>0</v>
      </c>
      <c r="S28" s="19">
        <f ca="1">IF(SUM(SUMIFS(Options!$AK$4:$AK$28, Options!$D$4:$D$28, B28), SUMIFS(Options!$AK$4:$AK$28, Options!$D$4:$D$28, B28 &amp; " US"))=0,0,SUM(SUMIFS(Options!$AK$4:$AK$28, Options!$D$4:$D$28, B28), SUMIFS(Options!AK$4:$AK$28, Options!$D$4:$D$28, B28 &amp; " US")))</f>
        <v>0</v>
      </c>
      <c r="T28" s="13" t="e">
        <f t="shared" ca="1" si="10"/>
        <v>#VALUE!</v>
      </c>
      <c r="U28" s="47" t="e">
        <f t="shared" ca="1" si="11"/>
        <v>#VALUE!</v>
      </c>
      <c r="V28" s="19" t="e">
        <f t="shared" ca="1" si="12"/>
        <v>#VALUE!</v>
      </c>
      <c r="W28" s="15" t="e">
        <f t="shared" ca="1" si="13"/>
        <v>#NAME?</v>
      </c>
      <c r="X28" s="18"/>
      <c r="Y28" s="301" t="e">
        <f ca="1">Tabelad[[#This Row],[Exp %]]*$Y$10*$AD$7/Tabelad[[#This Row],[Price Today]]</f>
        <v>#VALUE!</v>
      </c>
      <c r="Z28" s="195" t="e">
        <f ca="1">Tabelad[[#This Row],[Vol 10d]]/16*Tabelad[[#This Row],[Exp %]]*100</f>
        <v>#NAME?</v>
      </c>
      <c r="AA28" s="18" t="e">
        <f ca="1">Tabelad[[#This Row],[Exp %]]*Tabelad[[#This Row],[Beta]]</f>
        <v>#VALUE!</v>
      </c>
      <c r="AB28" s="35" t="e">
        <f ca="1">_xll.BDP($B28&amp;" Equity","volatility_10d")</f>
        <v>#NAME?</v>
      </c>
      <c r="AC28" s="35" t="e">
        <f ca="1">_xll.BDP(B28&amp;" EQUITY","eqy_beta")</f>
        <v>#NAME?</v>
      </c>
      <c r="AD28" s="15" t="e">
        <f ca="1">Tabelad[[#This Row],[D1 P&amp;L bps]]*$AD$5/10000</f>
        <v>#VALUE!</v>
      </c>
      <c r="AE28" s="206"/>
      <c r="AF28" s="185" t="e">
        <f ca="1">_xll.BDP(B28&amp;" Equity","EXPECTED_REPORT_DT")</f>
        <v>#NAME?</v>
      </c>
      <c r="AG28" s="139" t="e">
        <f ca="1">_xll.BDP(B28&amp;" Index","CHG_PCT_1D_PRE_FROM_REGULAR")/100</f>
        <v>#NAME?</v>
      </c>
      <c r="AH28" s="19" t="e">
        <f t="shared" ca="1" si="14"/>
        <v>#VALUE!</v>
      </c>
      <c r="AI28" s="361" t="e">
        <f ca="1">_xll.BDP(B28&amp;" Equity","DVD_EX_DT")</f>
        <v>#NAME?</v>
      </c>
    </row>
    <row r="29" spans="1:35">
      <c r="B29" s="39" t="s">
        <v>343</v>
      </c>
      <c r="C29" t="s">
        <v>546</v>
      </c>
      <c r="E29" t="s">
        <v>137</v>
      </c>
      <c r="F29" s="21" t="s">
        <v>47</v>
      </c>
      <c r="G29" s="15"/>
      <c r="H29" s="362">
        <v>-1000</v>
      </c>
      <c r="I29" s="35" t="e" cm="1">
        <f t="array" aca="1" ref="I29" ca="1">_xll.BDP(B29&amp;" Equity","LAST_PRICE")</f>
        <v>#NAME?</v>
      </c>
      <c r="J29" s="50" t="e">
        <f t="shared" ca="1" si="7"/>
        <v>#NAME?</v>
      </c>
      <c r="K29" s="355" t="e">
        <f ca="1">_xll.BDP(B29&amp;" equity","PX_YEST_CLOSE")</f>
        <v>#NAME?</v>
      </c>
      <c r="L29" s="52" t="e">
        <f ca="1">_xll.BDP(E29&amp;" Curncy","PX_LAST")</f>
        <v>#NAME?</v>
      </c>
      <c r="M29" s="51">
        <v>1</v>
      </c>
      <c r="N29" s="15" t="str">
        <f t="shared" ca="1" si="8"/>
        <v>-</v>
      </c>
      <c r="O29" s="284" t="str">
        <f ca="1">IFERROR(IF(Tabelad[[#This Row],[D1 Exp USD]]&lt;&gt;0,N29/$AE$7,0),"-")</f>
        <v>-</v>
      </c>
      <c r="P29" s="19" t="str">
        <f ca="1">IFERROR(IF(Tabelad[[#This Row],[D1 Exp USD]]&lt;&gt;0,((I29-K29)/L29*M29*H29)/$AD$7*10000,0),"-")</f>
        <v>-</v>
      </c>
      <c r="Q29" s="15">
        <f ca="1"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8">
        <f ca="1">Q29/$AE$7</f>
        <v>0</v>
      </c>
      <c r="S29" s="19">
        <f ca="1"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13" t="e">
        <f t="shared" ca="1" si="10"/>
        <v>#VALUE!</v>
      </c>
      <c r="U29" s="47" t="e">
        <f t="shared" ca="1" si="11"/>
        <v>#VALUE!</v>
      </c>
      <c r="V29" s="19" t="e">
        <f t="shared" ca="1" si="12"/>
        <v>#VALUE!</v>
      </c>
      <c r="W29" s="15" t="e">
        <f t="shared" ca="1" si="13"/>
        <v>#NAME?</v>
      </c>
      <c r="X29" s="18"/>
      <c r="Y29" s="301" t="e">
        <f ca="1">Tabelad[[#This Row],[Exp %]]*$Y$10*$AD$7/Tabelad[[#This Row],[Price Today]]</f>
        <v>#VALUE!</v>
      </c>
      <c r="Z29" s="195" t="e">
        <f ca="1">Tabelad[[#This Row],[Vol 10d]]/16*Tabelad[[#This Row],[Exp %]]*100</f>
        <v>#NAME?</v>
      </c>
      <c r="AA29" s="18" t="e">
        <f ca="1">Tabelad[[#This Row],[Exp %]]*Tabelad[[#This Row],[Beta]]</f>
        <v>#VALUE!</v>
      </c>
      <c r="AB29" s="35" t="e">
        <f ca="1">_xll.BDP($B29&amp;" Equity","volatility_10d")</f>
        <v>#NAME?</v>
      </c>
      <c r="AC29" s="35" t="e">
        <f ca="1">_xll.BDP(B29&amp;" EQUITY","eqy_beta")</f>
        <v>#NAME?</v>
      </c>
      <c r="AD29" s="15" t="e">
        <f ca="1">Tabelad[[#This Row],[D1 P&amp;L bps]]*$AD$5/10000</f>
        <v>#VALUE!</v>
      </c>
      <c r="AE29" s="206"/>
      <c r="AF29" s="185" t="e">
        <f ca="1">_xll.BDP(B29&amp;" Equity","EXPECTED_REPORT_DT")</f>
        <v>#NAME?</v>
      </c>
      <c r="AG29" s="139" t="e">
        <f ca="1">_xll.BDP(B29&amp;" Index","CHG_PCT_1D_PRE_FROM_REGULAR")/100</f>
        <v>#NAME?</v>
      </c>
      <c r="AH29" s="19" t="e">
        <f t="shared" ca="1" si="14"/>
        <v>#VALUE!</v>
      </c>
      <c r="AI29" s="361" t="e">
        <f ca="1">_xll.BDP(B29&amp;" Equity","DVD_EX_DT")</f>
        <v>#NAME?</v>
      </c>
    </row>
    <row r="30" spans="1:35">
      <c r="B30" s="39" t="s">
        <v>42</v>
      </c>
      <c r="C30" t="s">
        <v>546</v>
      </c>
      <c r="E30" t="s">
        <v>137</v>
      </c>
      <c r="F30" s="21" t="s">
        <v>47</v>
      </c>
      <c r="G30" s="15"/>
      <c r="H30" s="362">
        <v>52700</v>
      </c>
      <c r="I30" s="35" t="e" cm="1">
        <f t="array" aca="1" ref="I30" ca="1">_xll.BDP(B30&amp;" Equity","LAST_PRICE")</f>
        <v>#NAME?</v>
      </c>
      <c r="J30" s="50" t="e">
        <f t="shared" ca="1" si="7"/>
        <v>#NAME?</v>
      </c>
      <c r="K30" s="355" t="e">
        <f ca="1">_xll.BDP(B30&amp;" equity","PX_YEST_CLOSE")</f>
        <v>#NAME?</v>
      </c>
      <c r="L30" s="52" t="e">
        <f ca="1">_xll.BDP(E30&amp;" Curncy","PX_LAST")</f>
        <v>#NAME?</v>
      </c>
      <c r="M30" s="51">
        <v>1</v>
      </c>
      <c r="N30" s="15" t="str">
        <f t="shared" ca="1" si="8"/>
        <v>-</v>
      </c>
      <c r="O30" s="284" t="str">
        <f ca="1">IFERROR(IF(Tabelad[[#This Row],[D1 Exp USD]]&lt;&gt;0,N30/$AE$7,0),"-")</f>
        <v>-</v>
      </c>
      <c r="P30" s="19" t="str">
        <f ca="1">IFERROR(IF(Tabelad[[#This Row],[D1 Exp USD]]&lt;&gt;0,((I30-K30)/L30*M30*H30)/$AD$7*10000,0),"-")</f>
        <v>-</v>
      </c>
      <c r="Q30" s="15">
        <f ca="1">IF(SUM(SUMIFS(Options!$AL$4:$AL$28, Options!$D$4:$D$28, B30), SUMIFS(Options!$AL$4:$AL$28, Options!$D$4:$D$28, B30 &amp; " US"))=0,0,SUM(SUMIFS(Options!$AL$4:$AL$28, Options!$D$4:$D$28, B30), SUMIFS(Options!$AL$4:$AL$28, Options!$D$4:$D$28, B30 &amp; " US")))</f>
        <v>0</v>
      </c>
      <c r="R30" s="18">
        <f t="shared" ca="1" si="58"/>
        <v>0</v>
      </c>
      <c r="S30" s="19">
        <f ca="1">IF(SUM(SUMIFS(Options!$AK$4:$AK$28, Options!$D$4:$D$28, B30), SUMIFS(Options!$AK$4:$AK$28, Options!$D$4:$D$28, B30 &amp; " US"))=0,0,SUM(SUMIFS(Options!$AK$4:$AK$28, Options!$D$4:$D$28, B30), SUMIFS(Options!AK$4:$AK$28, Options!$D$4:$D$28, B30 &amp; " US")))</f>
        <v>0</v>
      </c>
      <c r="T30" s="13" t="e">
        <f t="shared" ca="1" si="10"/>
        <v>#VALUE!</v>
      </c>
      <c r="U30" s="47" t="e">
        <f t="shared" ca="1" si="11"/>
        <v>#VALUE!</v>
      </c>
      <c r="V30" s="19" t="e">
        <f t="shared" ca="1" si="12"/>
        <v>#VALUE!</v>
      </c>
      <c r="W30" s="15" t="e">
        <f t="shared" ca="1" si="13"/>
        <v>#NAME?</v>
      </c>
      <c r="X30" s="18"/>
      <c r="Y30" s="301" t="e">
        <f ca="1">Tabelad[[#This Row],[Exp %]]*$Y$10*$AD$7/Tabelad[[#This Row],[Price Today]]</f>
        <v>#VALUE!</v>
      </c>
      <c r="Z30" s="195" t="e">
        <f ca="1">Tabelad[[#This Row],[Vol 10d]]/16*Tabelad[[#This Row],[Exp %]]*100</f>
        <v>#NAME?</v>
      </c>
      <c r="AA30" s="18" t="e">
        <f ca="1">Tabelad[[#This Row],[Exp %]]*Tabelad[[#This Row],[Beta]]</f>
        <v>#VALUE!</v>
      </c>
      <c r="AB30" s="35" t="e">
        <f ca="1">_xll.BDP($B30&amp;" Equity","volatility_10d")</f>
        <v>#NAME?</v>
      </c>
      <c r="AC30" s="35" t="e" cm="1">
        <f t="array" aca="1" ref="AC30" ca="1">_xll.BDP(B30&amp;" EQUITY","eqy_beta")</f>
        <v>#NAME?</v>
      </c>
      <c r="AD30" s="15" t="e">
        <f ca="1">Tabelad[[#This Row],[D1 P&amp;L bps]]*$AD$5/10000</f>
        <v>#VALUE!</v>
      </c>
      <c r="AE30" s="206"/>
      <c r="AF30" s="185" t="e">
        <f ca="1">_xll.BDP(B30&amp;" Equity","EXPECTED_REPORT_DT")</f>
        <v>#NAME?</v>
      </c>
      <c r="AG30" s="139" t="e">
        <f ca="1">_xll.BDP(B30&amp;" Index","CHG_PCT_1D_PRE_FROM_REGULAR")/100</f>
        <v>#NAME?</v>
      </c>
      <c r="AH30" s="19" t="e">
        <f t="shared" ca="1" si="14"/>
        <v>#VALUE!</v>
      </c>
      <c r="AI30" s="361" t="e">
        <f ca="1">_xll.BDP(B30&amp;" Equity","DVD_EX_DT")</f>
        <v>#NAME?</v>
      </c>
    </row>
    <row r="31" spans="1:35">
      <c r="B31" s="39" t="s">
        <v>85</v>
      </c>
      <c r="C31" t="s">
        <v>546</v>
      </c>
      <c r="E31" t="s">
        <v>137</v>
      </c>
      <c r="F31" s="21" t="s">
        <v>48</v>
      </c>
      <c r="G31" s="15"/>
      <c r="H31" s="362">
        <v>-5600</v>
      </c>
      <c r="I31" s="35" t="e" cm="1">
        <f t="array" aca="1" ref="I31" ca="1">_xll.BDP(B31&amp;" Equity","LAST_PRICE")</f>
        <v>#NAME?</v>
      </c>
      <c r="J31" s="50" t="e">
        <f t="shared" ca="1" si="7"/>
        <v>#NAME?</v>
      </c>
      <c r="K31" s="355" t="e">
        <f ca="1">_xll.BDP(B31&amp;" equity","PX_YEST_CLOSE")</f>
        <v>#NAME?</v>
      </c>
      <c r="L31" s="52" t="e">
        <f ca="1">_xll.BDP(E31&amp;" Curncy","PX_LAST")</f>
        <v>#NAME?</v>
      </c>
      <c r="M31" s="51">
        <v>1</v>
      </c>
      <c r="N31" s="15" t="str">
        <f t="shared" ca="1" si="8"/>
        <v>-</v>
      </c>
      <c r="O31" s="284" t="str">
        <f ca="1">IFERROR(IF(Tabelad[[#This Row],[D1 Exp USD]]&lt;&gt;0,N31/$AE$7,0),"-")</f>
        <v>-</v>
      </c>
      <c r="P31" s="19" t="str">
        <f ca="1">IFERROR(IF(Tabelad[[#This Row],[D1 Exp USD]]&lt;&gt;0,((I31-K31)/L31*M31*H31)/$AD$7*10000,0),"-")</f>
        <v>-</v>
      </c>
      <c r="Q31" s="15">
        <f ca="1">IF(SUM(SUMIFS(Options!$AL$4:$AL$28, Options!$D$4:$D$28, B31), SUMIFS(Options!$AL$4:$AL$28, Options!$D$4:$D$28, B31 &amp; " US"))=0,0,SUM(SUMIFS(Options!$AL$4:$AL$28, Options!$D$4:$D$28, B31), SUMIFS(Options!$AL$4:$AL$28, Options!$D$4:$D$28, B31 &amp; " US")))</f>
        <v>0</v>
      </c>
      <c r="R31" s="47">
        <f t="shared" ca="1" si="58"/>
        <v>0</v>
      </c>
      <c r="S31" s="19">
        <f ca="1">IF(SUM(SUMIFS(Options!$AK$4:$AK$28, Options!$D$4:$D$28, B31), SUMIFS(Options!$AK$4:$AK$28, Options!$D$4:$D$28, B31 &amp; " US"))=0,0,SUM(SUMIFS(Options!$AK$4:$AK$28, Options!$D$4:$D$28, B31), SUMIFS(Options!AK$4:$AK$28, Options!$D$4:$D$28, B31 &amp; " US")))</f>
        <v>0</v>
      </c>
      <c r="T31" s="13" t="e">
        <f t="shared" ca="1" si="10"/>
        <v>#VALUE!</v>
      </c>
      <c r="U31" s="47" t="e">
        <f t="shared" ca="1" si="11"/>
        <v>#VALUE!</v>
      </c>
      <c r="V31" s="19" t="e">
        <f t="shared" ca="1" si="12"/>
        <v>#VALUE!</v>
      </c>
      <c r="W31" s="15" t="e">
        <f t="shared" ca="1" si="13"/>
        <v>#NAME?</v>
      </c>
      <c r="X31" s="18"/>
      <c r="Y31" s="301" t="e">
        <f ca="1">Tabelad[[#This Row],[Exp %]]*$Y$10*$AD$7/Tabelad[[#This Row],[Price Today]]</f>
        <v>#VALUE!</v>
      </c>
      <c r="Z31" s="195" t="e">
        <f ca="1">Tabelad[[#This Row],[Vol 10d]]/16*Tabelad[[#This Row],[Exp %]]*100</f>
        <v>#NAME?</v>
      </c>
      <c r="AA31" s="18" t="e">
        <f ca="1">Tabelad[[#This Row],[Exp %]]*Tabelad[[#This Row],[Beta]]</f>
        <v>#VALUE!</v>
      </c>
      <c r="AB31" s="35" t="e">
        <f ca="1">_xll.BDP($B31&amp;" Equity","volatility_10d")</f>
        <v>#NAME?</v>
      </c>
      <c r="AC31" s="35" t="e">
        <f ca="1">_xll.BDP(B31&amp;" EQUITY","eqy_beta")</f>
        <v>#NAME?</v>
      </c>
      <c r="AD31" s="15" t="e">
        <f ca="1">Tabelad[[#This Row],[D1 P&amp;L bps]]*$AD$5/10000</f>
        <v>#VALUE!</v>
      </c>
      <c r="AE31" s="206"/>
      <c r="AF31" s="185" t="e">
        <f ca="1">_xll.BDP(B31&amp;" Equity","EXPECTED_REPORT_DT")</f>
        <v>#NAME?</v>
      </c>
      <c r="AG31" s="139" t="e">
        <f ca="1">_xll.BDP(B31&amp;" Index","CHG_PCT_1D_PRE_FROM_REGULAR")/100</f>
        <v>#NAME?</v>
      </c>
      <c r="AH31" s="19" t="e">
        <f t="shared" ca="1" si="14"/>
        <v>#VALUE!</v>
      </c>
      <c r="AI31" s="361" t="e">
        <f ca="1">_xll.BDP(B31&amp;" Equity","DVD_EX_DT")</f>
        <v>#NAME?</v>
      </c>
    </row>
    <row r="32" spans="1:35">
      <c r="B32" s="39" t="s">
        <v>729</v>
      </c>
      <c r="C32" t="s">
        <v>730</v>
      </c>
      <c r="E32" t="s">
        <v>137</v>
      </c>
      <c r="F32" s="21" t="s">
        <v>47</v>
      </c>
      <c r="G32" s="15"/>
      <c r="H32" s="362">
        <v>4000</v>
      </c>
      <c r="I32" s="35" t="e" cm="1">
        <f t="array" aca="1" ref="I32" ca="1">_xll.BDP(B32&amp;" Equity","LAST_PRICE")</f>
        <v>#NAME?</v>
      </c>
      <c r="J32" s="50" t="e">
        <f ca="1">I32/K32-1</f>
        <v>#NAME?</v>
      </c>
      <c r="K32" s="355" t="e">
        <f ca="1">_xll.BDP(B32&amp;" equity","PX_YEST_CLOSE")</f>
        <v>#NAME?</v>
      </c>
      <c r="L32" s="52" t="e">
        <f ca="1">_xll.BDP(E32&amp;" Curncy","PX_LAST")</f>
        <v>#NAME?</v>
      </c>
      <c r="M32" s="51">
        <v>1</v>
      </c>
      <c r="N32" s="15" t="str">
        <f ca="1">IFERROR(IF(((I32/L32)*H32*M32)&lt;&gt;0,((I32/L32)*H32*M32),0),"-")</f>
        <v>-</v>
      </c>
      <c r="O32" s="284" t="str">
        <f ca="1">IFERROR(IF(Tabelad[[#This Row],[D1 Exp USD]]&lt;&gt;0,N32/$AE$7,0),"-")</f>
        <v>-</v>
      </c>
      <c r="P32" s="19" t="str">
        <f ca="1">IFERROR(IF(Tabelad[[#This Row],[D1 Exp USD]]&lt;&gt;0,((I32-K32)/L32*M32*H32)/$AD$7*10000,0),"-")</f>
        <v>-</v>
      </c>
      <c r="Q32" s="15">
        <f ca="1">IF(SUM(SUMIFS(Options!$AL$4:$AL$28, Options!$D$4:$D$28, B32), SUMIFS(Options!$AL$4:$AL$28, Options!$D$4:$D$28, B32 &amp; " US"))=0,0,SUM(SUMIFS(Options!$AL$4:$AL$28, Options!$D$4:$D$28, B32), SUMIFS(Options!$AL$4:$AL$28, Options!$D$4:$D$28, B32 &amp; " US")))</f>
        <v>0</v>
      </c>
      <c r="R32" s="18">
        <f t="shared" ref="R32:R40" ca="1" si="59">Q32/$AE$7</f>
        <v>0</v>
      </c>
      <c r="S32" s="19">
        <f ca="1">IF(SUM(SUMIFS(Options!$AK$4:$AK$28, Options!$D$4:$D$28, B32), SUMIFS(Options!$AK$4:$AK$28, Options!$D$4:$D$28, B32 &amp; " US"))=0,0,SUM(SUMIFS(Options!$AK$4:$AK$28, Options!$D$4:$D$28, B32), SUMIFS(Options!AK$4:$AK$28, Options!$D$4:$D$28, B32 &amp; " US")))</f>
        <v>0</v>
      </c>
      <c r="T32" s="13" t="e">
        <f ca="1">N32+Q32</f>
        <v>#VALUE!</v>
      </c>
      <c r="U32" s="47" t="e">
        <f ca="1">T32/$AE$7</f>
        <v>#VALUE!</v>
      </c>
      <c r="V32" s="19" t="e">
        <f ca="1">P32+S32</f>
        <v>#VALUE!</v>
      </c>
      <c r="W32" s="15" t="e">
        <f ca="1">$W$10/(I32/L32*M32)</f>
        <v>#NAME?</v>
      </c>
      <c r="X32" s="18"/>
      <c r="Y32" s="301" t="e">
        <f ca="1">Tabelad[[#This Row],[Exp %]]*$Y$10*$AD$7/Tabelad[[#This Row],[Price Today]]</f>
        <v>#VALUE!</v>
      </c>
      <c r="Z32" s="195" t="e">
        <f ca="1">Tabelad[[#This Row],[Vol 10d]]/16*Tabelad[[#This Row],[Exp %]]*100</f>
        <v>#NAME?</v>
      </c>
      <c r="AA32" s="18" t="e">
        <f ca="1">Tabelad[[#This Row],[Exp %]]*Tabelad[[#This Row],[Beta]]</f>
        <v>#VALUE!</v>
      </c>
      <c r="AB32" s="35" t="e">
        <f ca="1">_xll.BDP($B32&amp;" Equity","volatility_10d")</f>
        <v>#NAME?</v>
      </c>
      <c r="AC32" s="35" t="e">
        <f ca="1">_xll.BDP(B32&amp;" EQUITY","eqy_beta")</f>
        <v>#NAME?</v>
      </c>
      <c r="AD32" s="15" t="e">
        <f ca="1">Tabelad[[#This Row],[D1 P&amp;L bps]]*$AD$5/10000</f>
        <v>#VALUE!</v>
      </c>
      <c r="AE32" s="206"/>
      <c r="AF32" s="185" t="e">
        <f ca="1">_xll.BDP(B32&amp;" Equity","EXPECTED_REPORT_DT")</f>
        <v>#NAME?</v>
      </c>
      <c r="AG32" s="139" t="e">
        <f ca="1">_xll.BDP(B32&amp;" Index","CHG_PCT_1D_PRE_FROM_REGULAR")/100</f>
        <v>#NAME?</v>
      </c>
      <c r="AH32" s="19" t="e">
        <f ca="1">(T32*AG32)/$AD$7*10000</f>
        <v>#VALUE!</v>
      </c>
      <c r="AI32" s="361" t="e">
        <f ca="1">_xll.BDP(B32&amp;" Equity","DVD_EX_DT")</f>
        <v>#NAME?</v>
      </c>
    </row>
    <row r="33" spans="1:35">
      <c r="B33" s="39" t="s">
        <v>1228</v>
      </c>
      <c r="C33" t="s">
        <v>730</v>
      </c>
      <c r="E33" t="s">
        <v>137</v>
      </c>
      <c r="F33" s="21" t="s">
        <v>47</v>
      </c>
      <c r="G33" s="15"/>
      <c r="H33" s="362">
        <v>8000</v>
      </c>
      <c r="I33" s="35" t="e" cm="1">
        <f t="array" aca="1" ref="I33" ca="1">_xll.BDP(B33&amp;" Equity","LAST_PRICE")</f>
        <v>#NAME?</v>
      </c>
      <c r="J33" s="50" t="e">
        <f t="shared" ref="J33" ca="1" si="60">I33/K33-1</f>
        <v>#NAME?</v>
      </c>
      <c r="K33" s="355" t="e">
        <f ca="1">_xll.BDP(B33&amp;" equity","PX_YEST_CLOSE")</f>
        <v>#NAME?</v>
      </c>
      <c r="L33" s="52" t="e">
        <f ca="1">_xll.BDP(E33&amp;" Curncy","PX_LAST")</f>
        <v>#NAME?</v>
      </c>
      <c r="M33" s="51">
        <v>1</v>
      </c>
      <c r="N33" s="15" t="str">
        <f t="shared" ref="N33" ca="1" si="61">IFERROR(IF(((I33/L33)*H33*M33)&lt;&gt;0,((I33/L33)*H33*M33),0),"-")</f>
        <v>-</v>
      </c>
      <c r="O33" s="284" t="str">
        <f ca="1">IFERROR(IF(Tabelad[[#This Row],[D1 Exp USD]]&lt;&gt;0,N33/$AE$7,0),"-")</f>
        <v>-</v>
      </c>
      <c r="P33" s="19" t="str">
        <f ca="1">IFERROR(IF(Tabelad[[#This Row],[D1 Exp USD]]&lt;&gt;0,((I33-K33)/L33*M33*H33)/$AD$7*10000,0),"-")</f>
        <v>-</v>
      </c>
      <c r="Q33" s="15">
        <f ca="1">IF(SUM(SUMIFS(Options!$AL$4:$AL$28, Options!$D$4:$D$28, B33), SUMIFS(Options!$AL$4:$AL$28, Options!$D$4:$D$28, B33 &amp; " US"))=0,0,SUM(SUMIFS(Options!$AL$4:$AL$28, Options!$D$4:$D$28, B33), SUMIFS(Options!$AL$4:$AL$28, Options!$D$4:$D$28, B33 &amp; " US")))</f>
        <v>0</v>
      </c>
      <c r="R33" s="18">
        <f t="shared" ref="R33" ca="1" si="62">Q33/$AE$7</f>
        <v>0</v>
      </c>
      <c r="S33" s="19">
        <f ca="1">IF(SUM(SUMIFS(Options!$AK$4:$AK$28, Options!$D$4:$D$28, B33), SUMIFS(Options!$AK$4:$AK$28, Options!$D$4:$D$28, B33 &amp; " US"))=0,0,SUM(SUMIFS(Options!$AK$4:$AK$28, Options!$D$4:$D$28, B33), SUMIFS(Options!AK$4:$AK$28, Options!$D$4:$D$28, B33 &amp; " US")))</f>
        <v>0</v>
      </c>
      <c r="T33" s="13" t="e">
        <f t="shared" ref="T33" ca="1" si="63">N33+Q33</f>
        <v>#VALUE!</v>
      </c>
      <c r="U33" s="47" t="e">
        <f t="shared" ref="U33" ca="1" si="64">T33/$AE$7</f>
        <v>#VALUE!</v>
      </c>
      <c r="V33" s="19" t="e">
        <f t="shared" ref="V33" ca="1" si="65">P33+S33</f>
        <v>#VALUE!</v>
      </c>
      <c r="W33" s="15" t="e">
        <f t="shared" ref="W33" ca="1" si="66">$W$10/(I33/L33*M33)</f>
        <v>#NAME?</v>
      </c>
      <c r="X33" s="18"/>
      <c r="Y33" s="301" t="e">
        <f ca="1">Tabelad[[#This Row],[Exp %]]*$Y$10*$AD$7/Tabelad[[#This Row],[Price Today]]</f>
        <v>#VALUE!</v>
      </c>
      <c r="Z33" s="195" t="e">
        <f ca="1">Tabelad[[#This Row],[Vol 10d]]/16*Tabelad[[#This Row],[Exp %]]*100</f>
        <v>#NAME?</v>
      </c>
      <c r="AA33" s="18" t="e">
        <f ca="1">Tabelad[[#This Row],[Exp %]]*Tabelad[[#This Row],[Beta]]</f>
        <v>#VALUE!</v>
      </c>
      <c r="AB33" s="35" t="e">
        <f ca="1">_xll.BDP($B33&amp;" Equity","volatility_10d")</f>
        <v>#NAME?</v>
      </c>
      <c r="AC33" s="35" t="e">
        <f ca="1">_xll.BDP(B33&amp;" EQUITY","eqy_beta")</f>
        <v>#NAME?</v>
      </c>
      <c r="AD33" s="15" t="e">
        <f ca="1">Tabelad[[#This Row],[D1 P&amp;L bps]]*$AD$5/10000</f>
        <v>#VALUE!</v>
      </c>
      <c r="AE33" s="206"/>
      <c r="AF33" s="185" t="e">
        <f ca="1">_xll.BDP(B33&amp;" Equity","EXPECTED_REPORT_DT")</f>
        <v>#NAME?</v>
      </c>
      <c r="AG33" s="139" t="e">
        <f ca="1">_xll.BDP(B33&amp;" Index","CHG_PCT_1D_PRE_FROM_REGULAR")/100</f>
        <v>#NAME?</v>
      </c>
      <c r="AH33" s="19" t="e">
        <f t="shared" ref="AH33" ca="1" si="67">(T33*AG33)/$AD$7*10000</f>
        <v>#VALUE!</v>
      </c>
      <c r="AI33" s="361" t="e">
        <f ca="1">_xll.BDP(B33&amp;" Equity","DVD_EX_DT")</f>
        <v>#NAME?</v>
      </c>
    </row>
    <row r="34" spans="1:35">
      <c r="B34" s="39" t="s">
        <v>991</v>
      </c>
      <c r="C34" t="s">
        <v>730</v>
      </c>
      <c r="E34" t="s">
        <v>137</v>
      </c>
      <c r="F34" s="21" t="s">
        <v>47</v>
      </c>
      <c r="G34" s="15"/>
      <c r="H34" s="362">
        <v>30560</v>
      </c>
      <c r="I34" s="35" t="e" cm="1">
        <f t="array" aca="1" ref="I34" ca="1">_xll.BDP(B34&amp;" Equity","LAST_PRICE")</f>
        <v>#NAME?</v>
      </c>
      <c r="J34" s="50" t="e">
        <f ca="1">I34/K34-1</f>
        <v>#NAME?</v>
      </c>
      <c r="K34" s="355" t="e">
        <f ca="1">_xll.BDP(B34&amp;" equity","PX_YEST_CLOSE")</f>
        <v>#NAME?</v>
      </c>
      <c r="L34" s="52" t="e">
        <f ca="1">_xll.BDP(E34&amp;" Curncy","PX_LAST")</f>
        <v>#NAME?</v>
      </c>
      <c r="M34" s="51">
        <v>1</v>
      </c>
      <c r="N34" s="15" t="str">
        <f ca="1">IFERROR(IF(((I34/L34)*H34*M34)&lt;&gt;0,((I34/L34)*H34*M34),0),"-")</f>
        <v>-</v>
      </c>
      <c r="O34" s="284" t="str">
        <f ca="1">IFERROR(IF(Tabelad[[#This Row],[D1 Exp USD]]&lt;&gt;0,N34/$AE$7,0),"-")</f>
        <v>-</v>
      </c>
      <c r="P34" s="19" t="str">
        <f ca="1">IFERROR(IF(Tabelad[[#This Row],[D1 Exp USD]]&lt;&gt;0,((I34-K34)/L34*M34*H34)/$AD$7*10000,0),"-")</f>
        <v>-</v>
      </c>
      <c r="Q34" s="15">
        <f ca="1">IF(SUM(SUMIFS(Options!$AL$4:$AL$28, Options!$D$4:$D$28, B34), SUMIFS(Options!$AL$4:$AL$28, Options!$D$4:$D$28, B34 &amp; " US"))=0,0,SUM(SUMIFS(Options!$AL$4:$AL$28, Options!$D$4:$D$28, B34), SUMIFS(Options!$AL$4:$AL$28, Options!$D$4:$D$28, B34 &amp; " US")))</f>
        <v>0</v>
      </c>
      <c r="R34" s="18">
        <f t="shared" ca="1" si="59"/>
        <v>0</v>
      </c>
      <c r="S34" s="19">
        <f ca="1">IF(SUM(SUMIFS(Options!$AK$4:$AK$28, Options!$D$4:$D$28, B34), SUMIFS(Options!$AK$4:$AK$28, Options!$D$4:$D$28, B34 &amp; " US"))=0,0,SUM(SUMIFS(Options!$AK$4:$AK$28, Options!$D$4:$D$28, B34), SUMIFS(Options!AK$4:$AK$28, Options!$D$4:$D$28, B34 &amp; " US")))</f>
        <v>0</v>
      </c>
      <c r="T34" s="13" t="e">
        <f ca="1">N34+Q34</f>
        <v>#VALUE!</v>
      </c>
      <c r="U34" s="47" t="e">
        <f ca="1">T34/$AE$7</f>
        <v>#VALUE!</v>
      </c>
      <c r="V34" s="19" t="e">
        <f ca="1">P34+S34</f>
        <v>#VALUE!</v>
      </c>
      <c r="W34" s="15" t="e">
        <f ca="1">$W$10/(I34/L34*M34)</f>
        <v>#NAME?</v>
      </c>
      <c r="X34" s="18"/>
      <c r="Y34" s="301" t="e">
        <f ca="1">Tabelad[[#This Row],[Exp %]]*$Y$10*$AD$7/Tabelad[[#This Row],[Price Today]]</f>
        <v>#VALUE!</v>
      </c>
      <c r="Z34" s="195" t="e">
        <f ca="1">Tabelad[[#This Row],[Vol 10d]]/16*Tabelad[[#This Row],[Exp %]]*100</f>
        <v>#NAME?</v>
      </c>
      <c r="AA34" s="18" t="e">
        <f ca="1">Tabelad[[#This Row],[Exp %]]*Tabelad[[#This Row],[Beta]]</f>
        <v>#VALUE!</v>
      </c>
      <c r="AB34" s="35" t="e">
        <f ca="1">_xll.BDP($B34&amp;" Equity","volatility_10d")</f>
        <v>#NAME?</v>
      </c>
      <c r="AC34" s="35" t="e">
        <f ca="1">_xll.BDP(B34&amp;" EQUITY","eqy_beta")</f>
        <v>#NAME?</v>
      </c>
      <c r="AD34" s="15" t="e">
        <f ca="1">Tabelad[[#This Row],[D1 P&amp;L bps]]*$AD$5/10000</f>
        <v>#VALUE!</v>
      </c>
      <c r="AE34" s="206"/>
      <c r="AF34" s="185" t="e">
        <f ca="1">_xll.BDP(B34&amp;" Equity","EXPECTED_REPORT_DT")</f>
        <v>#NAME?</v>
      </c>
      <c r="AG34" s="139" t="e">
        <f ca="1">_xll.BDP(B34&amp;" Index","CHG_PCT_1D_PRE_FROM_REGULAR")/100</f>
        <v>#NAME?</v>
      </c>
      <c r="AH34" s="19" t="e">
        <f ca="1">(T34*AG34)/$AD$7*10000</f>
        <v>#VALUE!</v>
      </c>
      <c r="AI34" s="361" t="e">
        <f ca="1">_xll.BDP(B34&amp;" Equity","DVD_EX_DT")</f>
        <v>#NAME?</v>
      </c>
    </row>
    <row r="35" spans="1:35">
      <c r="B35" s="39" t="s">
        <v>791</v>
      </c>
      <c r="C35" t="s">
        <v>792</v>
      </c>
      <c r="E35" t="s">
        <v>137</v>
      </c>
      <c r="F35" s="21" t="s">
        <v>47</v>
      </c>
      <c r="G35" s="15"/>
      <c r="H35" s="362">
        <v>30000</v>
      </c>
      <c r="I35" s="35" t="e" cm="1">
        <f t="array" aca="1" ref="I35" ca="1">_xll.BDP(B35&amp;" Equity","LAST_PRICE")</f>
        <v>#NAME?</v>
      </c>
      <c r="J35" s="50" t="e">
        <f t="shared" ca="1" si="7"/>
        <v>#NAME?</v>
      </c>
      <c r="K35" s="355" t="e">
        <f ca="1">_xll.BDP(B35&amp;" equity","PX_YEST_CLOSE")</f>
        <v>#NAME?</v>
      </c>
      <c r="L35" s="52" t="e">
        <f ca="1">_xll.BDP(E35&amp;" Curncy","PX_LAST")</f>
        <v>#NAME?</v>
      </c>
      <c r="M35" s="51">
        <v>1</v>
      </c>
      <c r="N35" s="15" t="str">
        <f t="shared" ca="1" si="8"/>
        <v>-</v>
      </c>
      <c r="O35" s="284" t="str">
        <f ca="1">IFERROR(IF(Tabelad[[#This Row],[D1 Exp USD]]&lt;&gt;0,N35/$AE$7,0),"-")</f>
        <v>-</v>
      </c>
      <c r="P35" s="19" t="str">
        <f ca="1">IFERROR(IF(Tabelad[[#This Row],[D1 Exp USD]]&lt;&gt;0,((I35-K35)/L35*M35*H35)/$AD$7*10000,0),"-")</f>
        <v>-</v>
      </c>
      <c r="Q35" s="15">
        <f ca="1">IF(SUM(SUMIFS(Options!$AL$4:$AL$28, Options!$D$4:$D$28, B35), SUMIFS(Options!$AL$4:$AL$28, Options!$D$4:$D$28, B35 &amp; " US"))=0,0,SUM(SUMIFS(Options!$AL$4:$AL$28, Options!$D$4:$D$28, B35), SUMIFS(Options!$AL$4:$AL$28, Options!$D$4:$D$28, B35 &amp; " US")))</f>
        <v>0</v>
      </c>
      <c r="R35" s="18">
        <f t="shared" ca="1" si="59"/>
        <v>0</v>
      </c>
      <c r="S35" s="19">
        <f ca="1">IF(SUM(SUMIFS(Options!$AK$4:$AK$28, Options!$D$4:$D$28, B35), SUMIFS(Options!$AK$4:$AK$28, Options!$D$4:$D$28, B35 &amp; " US"))=0,0,SUM(SUMIFS(Options!$AK$4:$AK$28, Options!$D$4:$D$28, B35), SUMIFS(Options!AK$4:$AK$28, Options!$D$4:$D$28, B35 &amp; " US")))</f>
        <v>0</v>
      </c>
      <c r="T35" s="13" t="e">
        <f t="shared" ca="1" si="10"/>
        <v>#VALUE!</v>
      </c>
      <c r="U35" s="47" t="e">
        <f t="shared" ca="1" si="11"/>
        <v>#VALUE!</v>
      </c>
      <c r="V35" s="19" t="e">
        <f t="shared" ca="1" si="12"/>
        <v>#VALUE!</v>
      </c>
      <c r="W35" s="15" t="e">
        <f t="shared" ca="1" si="13"/>
        <v>#NAME?</v>
      </c>
      <c r="X35" s="18"/>
      <c r="Y35" s="301" t="e">
        <f ca="1">Tabelad[[#This Row],[Exp %]]*$Y$10*$AD$7/Tabelad[[#This Row],[Price Today]]</f>
        <v>#VALUE!</v>
      </c>
      <c r="Z35" s="195" t="e">
        <f ca="1">Tabelad[[#This Row],[Vol 10d]]/16*Tabelad[[#This Row],[Exp %]]*100</f>
        <v>#NAME?</v>
      </c>
      <c r="AA35" s="18" t="e">
        <f ca="1">Tabelad[[#This Row],[Exp %]]*Tabelad[[#This Row],[Beta]]</f>
        <v>#VALUE!</v>
      </c>
      <c r="AB35" s="35" t="e">
        <f ca="1">_xll.BDP($B35&amp;" Equity","volatility_10d")</f>
        <v>#NAME?</v>
      </c>
      <c r="AC35" s="35" t="e">
        <f ca="1">_xll.BDP(B35&amp;" EQUITY","eqy_beta")</f>
        <v>#NAME?</v>
      </c>
      <c r="AD35" s="15" t="e">
        <f ca="1">Tabelad[[#This Row],[D1 P&amp;L bps]]*$AD$5/10000</f>
        <v>#VALUE!</v>
      </c>
      <c r="AE35" s="206"/>
      <c r="AF35" s="185" t="e">
        <f ca="1">_xll.BDP(B35&amp;" Equity","EXPECTED_REPORT_DT")</f>
        <v>#NAME?</v>
      </c>
      <c r="AG35" s="139" t="e">
        <f ca="1">_xll.BDP(B35&amp;" Index","CHG_PCT_1D_PRE_FROM_REGULAR")/100</f>
        <v>#NAME?</v>
      </c>
      <c r="AH35" s="19" t="e">
        <f t="shared" ca="1" si="14"/>
        <v>#VALUE!</v>
      </c>
      <c r="AI35" s="361" t="e">
        <f ca="1">_xll.BDP(B35&amp;" Equity","DVD_EX_DT")</f>
        <v>#NAME?</v>
      </c>
    </row>
    <row r="36" spans="1:35">
      <c r="A36" s="362"/>
      <c r="B36" s="39" t="s">
        <v>1177</v>
      </c>
      <c r="C36" t="s">
        <v>792</v>
      </c>
      <c r="E36" t="s">
        <v>137</v>
      </c>
      <c r="F36" s="21" t="s">
        <v>47</v>
      </c>
      <c r="G36" s="15"/>
      <c r="H36" s="362">
        <v>2700</v>
      </c>
      <c r="I36" s="35" t="e" cm="1">
        <f t="array" aca="1" ref="I36" ca="1">_xll.BDP(B36&amp;" Equity","LAST_PRICE")</f>
        <v>#NAME?</v>
      </c>
      <c r="J36" s="50" t="e">
        <f t="shared" ref="J36:J38" ca="1" si="68">I36/K36-1</f>
        <v>#NAME?</v>
      </c>
      <c r="K36" s="355" t="e">
        <f ca="1">_xll.BDP(B36&amp;" equity","PX_YEST_CLOSE")</f>
        <v>#NAME?</v>
      </c>
      <c r="L36" s="52" t="e">
        <f ca="1">_xll.BDP(E36&amp;" Curncy","PX_LAST")</f>
        <v>#NAME?</v>
      </c>
      <c r="M36" s="51">
        <v>1</v>
      </c>
      <c r="N36" s="15" t="str">
        <f t="shared" ref="N36:N38" ca="1" si="69">IFERROR(IF(((I36/L36)*H36*M36)&lt;&gt;0,((I36/L36)*H36*M36),0),"-")</f>
        <v>-</v>
      </c>
      <c r="O36" s="284" t="str">
        <f ca="1">IFERROR(IF(Tabelad[[#This Row],[D1 Exp USD]]&lt;&gt;0,N36/$AE$7,0),"-")</f>
        <v>-</v>
      </c>
      <c r="P36" s="19" t="str">
        <f ca="1">IFERROR(IF(Tabelad[[#This Row],[D1 Exp USD]]&lt;&gt;0,((I36-K36)/L36*M36*H36)/$AD$7*10000,0),"-")</f>
        <v>-</v>
      </c>
      <c r="Q36" s="15">
        <f ca="1">IF(SUM(SUMIFS(Options!$AL$4:$AL$28, Options!$D$4:$D$28, B36), SUMIFS(Options!$AL$4:$AL$28, Options!$D$4:$D$28, B36 &amp; " US"))=0,0,SUM(SUMIFS(Options!$AL$4:$AL$28, Options!$D$4:$D$28, B36), SUMIFS(Options!$AL$4:$AL$28, Options!$D$4:$D$28, B36 &amp; " US")))</f>
        <v>0</v>
      </c>
      <c r="R36" s="18">
        <f t="shared" ref="R36:R38" ca="1" si="70">Q36/$AE$7</f>
        <v>0</v>
      </c>
      <c r="S36" s="19">
        <f ca="1">IF(SUM(SUMIFS(Options!$AK$4:$AK$28, Options!$D$4:$D$28, B36), SUMIFS(Options!$AK$4:$AK$28, Options!$D$4:$D$28, B36 &amp; " US"))=0,0,SUM(SUMIFS(Options!$AK$4:$AK$28, Options!$D$4:$D$28, B36), SUMIFS(Options!AK$4:$AK$28, Options!$D$4:$D$28, B36 &amp; " US")))</f>
        <v>0</v>
      </c>
      <c r="T36" s="13" t="e">
        <f t="shared" ref="T36:T38" ca="1" si="71">N36+Q36</f>
        <v>#VALUE!</v>
      </c>
      <c r="U36" s="47" t="e">
        <f t="shared" ref="U36:U38" ca="1" si="72">T36/$AE$7</f>
        <v>#VALUE!</v>
      </c>
      <c r="V36" s="19" t="e">
        <f t="shared" ref="V36:V38" ca="1" si="73">P36+S36</f>
        <v>#VALUE!</v>
      </c>
      <c r="W36" s="15" t="e">
        <f t="shared" ref="W36:W38" ca="1" si="74">$W$10/(I36/L36*M36)</f>
        <v>#NAME?</v>
      </c>
      <c r="X36" s="18"/>
      <c r="Y36" s="301" t="e">
        <f ca="1">Tabelad[[#This Row],[Exp %]]*$Y$10*$AD$7/Tabelad[[#This Row],[Price Today]]</f>
        <v>#VALUE!</v>
      </c>
      <c r="Z36" s="195" t="e">
        <f ca="1">Tabelad[[#This Row],[Vol 10d]]/16*Tabelad[[#This Row],[Exp %]]*100</f>
        <v>#NAME?</v>
      </c>
      <c r="AA36" s="18" t="e">
        <f ca="1">Tabelad[[#This Row],[Exp %]]*Tabelad[[#This Row],[Beta]]</f>
        <v>#VALUE!</v>
      </c>
      <c r="AB36" s="35" t="e">
        <f ca="1">_xll.BDP($B36&amp;" Equity","volatility_10d")</f>
        <v>#NAME?</v>
      </c>
      <c r="AC36" s="35" t="e">
        <f ca="1">_xll.BDP(B36&amp;" EQUITY","eqy_beta")</f>
        <v>#NAME?</v>
      </c>
      <c r="AD36" s="15" t="e">
        <f ca="1">Tabelad[[#This Row],[D1 P&amp;L bps]]*$AD$5/10000</f>
        <v>#VALUE!</v>
      </c>
      <c r="AE36" s="206"/>
      <c r="AF36" s="185" t="e">
        <f ca="1">_xll.BDP(B36&amp;" Equity","EXPECTED_REPORT_DT")</f>
        <v>#NAME?</v>
      </c>
      <c r="AG36" s="139" t="e">
        <f ca="1">_xll.BDP(B36&amp;" Index","CHG_PCT_1D_PRE_FROM_REGULAR")/100</f>
        <v>#NAME?</v>
      </c>
      <c r="AH36" s="19" t="e">
        <f t="shared" ref="AH36:AH38" ca="1" si="75">(T36*AG36)/$AD$7*10000</f>
        <v>#VALUE!</v>
      </c>
      <c r="AI36" s="361" t="e">
        <f ca="1">_xll.BDP(B36&amp;" Equity","DVD_EX_DT")</f>
        <v>#NAME?</v>
      </c>
    </row>
    <row r="37" spans="1:35">
      <c r="A37" s="362"/>
      <c r="B37" s="39" t="s">
        <v>1178</v>
      </c>
      <c r="C37" t="s">
        <v>792</v>
      </c>
      <c r="E37" t="s">
        <v>137</v>
      </c>
      <c r="F37" s="21" t="s">
        <v>47</v>
      </c>
      <c r="G37" s="15"/>
      <c r="H37" s="362">
        <v>965</v>
      </c>
      <c r="I37" s="35" t="e" cm="1">
        <f t="array" aca="1" ref="I37" ca="1">_xll.BDP(B37&amp;" Equity","LAST_PRICE")</f>
        <v>#NAME?</v>
      </c>
      <c r="J37" s="50" t="e">
        <f t="shared" ref="J37" ca="1" si="76">I37/K37-1</f>
        <v>#NAME?</v>
      </c>
      <c r="K37" s="355" t="e">
        <f ca="1">_xll.BDP(B37&amp;" equity","PX_YEST_CLOSE")</f>
        <v>#NAME?</v>
      </c>
      <c r="L37" s="52" t="e">
        <f ca="1">_xll.BDP(E37&amp;" Curncy","PX_LAST")</f>
        <v>#NAME?</v>
      </c>
      <c r="M37" s="51">
        <v>1</v>
      </c>
      <c r="N37" s="15" t="str">
        <f t="shared" ref="N37" ca="1" si="77">IFERROR(IF(((I37/L37)*H37*M37)&lt;&gt;0,((I37/L37)*H37*M37),0),"-")</f>
        <v>-</v>
      </c>
      <c r="O37" s="284" t="str">
        <f ca="1">IFERROR(IF(Tabelad[[#This Row],[D1 Exp USD]]&lt;&gt;0,N37/$AE$7,0),"-")</f>
        <v>-</v>
      </c>
      <c r="P37" s="19" t="str">
        <f ca="1">IFERROR(IF(Tabelad[[#This Row],[D1 Exp USD]]&lt;&gt;0,((I37-K37)/L37*M37*H37)/$AD$7*10000,0),"-")</f>
        <v>-</v>
      </c>
      <c r="Q37" s="15">
        <f ca="1">IF(SUM(SUMIFS(Options!$AL$4:$AL$28, Options!$D$4:$D$28, B37), SUMIFS(Options!$AL$4:$AL$28, Options!$D$4:$D$28, B37 &amp; " US"))=0,0,SUM(SUMIFS(Options!$AL$4:$AL$28, Options!$D$4:$D$28, B37), SUMIFS(Options!$AL$4:$AL$28, Options!$D$4:$D$28, B37 &amp; " US")))</f>
        <v>0</v>
      </c>
      <c r="R37" s="18">
        <f t="shared" ref="R37" ca="1" si="78">Q37/$AE$7</f>
        <v>0</v>
      </c>
      <c r="S37" s="19">
        <f ca="1">IF(SUM(SUMIFS(Options!$AK$4:$AK$28, Options!$D$4:$D$28, B37), SUMIFS(Options!$AK$4:$AK$28, Options!$D$4:$D$28, B37 &amp; " US"))=0,0,SUM(SUMIFS(Options!$AK$4:$AK$28, Options!$D$4:$D$28, B37), SUMIFS(Options!AK$4:$AK$28, Options!$D$4:$D$28, B37 &amp; " US")))</f>
        <v>0</v>
      </c>
      <c r="T37" s="13" t="e">
        <f t="shared" ref="T37" ca="1" si="79">N37+Q37</f>
        <v>#VALUE!</v>
      </c>
      <c r="U37" s="47" t="e">
        <f t="shared" ref="U37" ca="1" si="80">T37/$AE$7</f>
        <v>#VALUE!</v>
      </c>
      <c r="V37" s="19" t="e">
        <f t="shared" ref="V37" ca="1" si="81">P37+S37</f>
        <v>#VALUE!</v>
      </c>
      <c r="W37" s="15" t="e">
        <f t="shared" ref="W37" ca="1" si="82">$W$10/(I37/L37*M37)</f>
        <v>#NAME?</v>
      </c>
      <c r="X37" s="18"/>
      <c r="Y37" s="301" t="e">
        <f ca="1">Tabelad[[#This Row],[Exp %]]*$Y$10*$AD$7/Tabelad[[#This Row],[Price Today]]</f>
        <v>#VALUE!</v>
      </c>
      <c r="Z37" s="195" t="e">
        <f ca="1">Tabelad[[#This Row],[Vol 10d]]/16*Tabelad[[#This Row],[Exp %]]*100</f>
        <v>#NAME?</v>
      </c>
      <c r="AA37" s="18" t="e">
        <f ca="1">Tabelad[[#This Row],[Exp %]]*Tabelad[[#This Row],[Beta]]</f>
        <v>#VALUE!</v>
      </c>
      <c r="AB37" s="35" t="e">
        <f ca="1">_xll.BDP($B37&amp;" Equity","volatility_10d")</f>
        <v>#NAME?</v>
      </c>
      <c r="AC37" s="35" t="e">
        <f ca="1">_xll.BDP(B37&amp;" EQUITY","eqy_beta")</f>
        <v>#NAME?</v>
      </c>
      <c r="AD37" s="15" t="e">
        <f ca="1">Tabelad[[#This Row],[D1 P&amp;L bps]]*$AD$5/10000</f>
        <v>#VALUE!</v>
      </c>
      <c r="AE37" s="206"/>
      <c r="AF37" s="185" t="e">
        <f ca="1">_xll.BDP(B37&amp;" Equity","EXPECTED_REPORT_DT")</f>
        <v>#NAME?</v>
      </c>
      <c r="AG37" s="139" t="e">
        <f ca="1">_xll.BDP(B37&amp;" Index","CHG_PCT_1D_PRE_FROM_REGULAR")/100</f>
        <v>#NAME?</v>
      </c>
      <c r="AH37" s="19" t="e">
        <f t="shared" ref="AH37" ca="1" si="83">(T37*AG37)/$AD$7*10000</f>
        <v>#VALUE!</v>
      </c>
      <c r="AI37" s="361" t="e">
        <f ca="1">_xll.BDP(B37&amp;" Equity","DVD_EX_DT")</f>
        <v>#NAME?</v>
      </c>
    </row>
    <row r="38" spans="1:35">
      <c r="A38" s="362"/>
      <c r="B38" s="39" t="s">
        <v>1190</v>
      </c>
      <c r="C38" t="s">
        <v>792</v>
      </c>
      <c r="E38" t="s">
        <v>1191</v>
      </c>
      <c r="F38" s="21" t="s">
        <v>47</v>
      </c>
      <c r="G38" s="15"/>
      <c r="H38" s="362">
        <v>2000</v>
      </c>
      <c r="I38" s="35" t="e" cm="1">
        <f t="array" aca="1" ref="I38" ca="1">_xll.BDP(B38&amp;" Equity","LAST_PRICE")</f>
        <v>#NAME?</v>
      </c>
      <c r="J38" s="50" t="e">
        <f t="shared" ca="1" si="68"/>
        <v>#NAME?</v>
      </c>
      <c r="K38" s="355" t="e">
        <f ca="1">_xll.BDP(B38&amp;" equity","PX_YEST_CLOSE")</f>
        <v>#NAME?</v>
      </c>
      <c r="L38" s="206" t="e" cm="1">
        <f t="array" aca="1" ref="L38" ca="1">1/_xll.BDP(E38&amp;" Curncy","PX_LAST")</f>
        <v>#NAME?</v>
      </c>
      <c r="M38" s="51">
        <v>1</v>
      </c>
      <c r="N38" s="15" t="str">
        <f t="shared" ca="1" si="69"/>
        <v>-</v>
      </c>
      <c r="O38" s="284" t="str">
        <f ca="1">IFERROR(IF(Tabelad[[#This Row],[D1 Exp USD]]&lt;&gt;0,N38/$AE$7,0),"-")</f>
        <v>-</v>
      </c>
      <c r="P38" s="19" t="str">
        <f ca="1">IFERROR(IF(Tabelad[[#This Row],[D1 Exp USD]]&lt;&gt;0,((I38-K38)/L38*M38*H38)/$AD$7*10000,0),"-")</f>
        <v>-</v>
      </c>
      <c r="Q38" s="15">
        <f ca="1">IF(SUM(SUMIFS(Options!$AL$4:$AL$28, Options!$D$4:$D$28, B38), SUMIFS(Options!$AL$4:$AL$28, Options!$D$4:$D$28, B38 &amp; " US"))=0,0,SUM(SUMIFS(Options!$AL$4:$AL$28, Options!$D$4:$D$28, B38), SUMIFS(Options!$AL$4:$AL$28, Options!$D$4:$D$28, B38 &amp; " US")))</f>
        <v>0</v>
      </c>
      <c r="R38" s="18">
        <f t="shared" ca="1" si="70"/>
        <v>0</v>
      </c>
      <c r="S38" s="19">
        <f ca="1">IF(SUM(SUMIFS(Options!$AK$4:$AK$28, Options!$D$4:$D$28, B38), SUMIFS(Options!$AK$4:$AK$28, Options!$D$4:$D$28, B38 &amp; " US"))=0,0,SUM(SUMIFS(Options!$AK$4:$AK$28, Options!$D$4:$D$28, B38), SUMIFS(Options!AK$4:$AK$28, Options!$D$4:$D$28, B38 &amp; " US")))</f>
        <v>0</v>
      </c>
      <c r="T38" s="13" t="e">
        <f t="shared" ca="1" si="71"/>
        <v>#VALUE!</v>
      </c>
      <c r="U38" s="47" t="e">
        <f t="shared" ca="1" si="72"/>
        <v>#VALUE!</v>
      </c>
      <c r="V38" s="19" t="e">
        <f t="shared" ca="1" si="73"/>
        <v>#VALUE!</v>
      </c>
      <c r="W38" s="15" t="e">
        <f t="shared" ca="1" si="74"/>
        <v>#NAME?</v>
      </c>
      <c r="X38" s="18"/>
      <c r="Y38" s="301" t="e">
        <f ca="1">Tabelad[[#This Row],[Exp %]]*$Y$10*$AD$7/Tabelad[[#This Row],[Price Today]]</f>
        <v>#VALUE!</v>
      </c>
      <c r="Z38" s="195" t="e">
        <f ca="1">Tabelad[[#This Row],[Vol 10d]]/16*Tabelad[[#This Row],[Exp %]]*100</f>
        <v>#NAME?</v>
      </c>
      <c r="AA38" s="18" t="e">
        <f ca="1">Tabelad[[#This Row],[Exp %]]*Tabelad[[#This Row],[Beta]]</f>
        <v>#VALUE!</v>
      </c>
      <c r="AB38" s="35" t="e">
        <f ca="1">_xll.BDP($B38&amp;" Equity","volatility_10d")</f>
        <v>#NAME?</v>
      </c>
      <c r="AC38" s="35" t="e">
        <f ca="1">_xll.BDP(B38&amp;" EQUITY","eqy_beta")</f>
        <v>#NAME?</v>
      </c>
      <c r="AD38" s="15" t="e">
        <f ca="1">Tabelad[[#This Row],[D1 P&amp;L bps]]*$AD$5/10000</f>
        <v>#VALUE!</v>
      </c>
      <c r="AE38" s="206"/>
      <c r="AF38" s="185" t="e">
        <f ca="1">_xll.BDP(B38&amp;" Equity","EXPECTED_REPORT_DT")</f>
        <v>#NAME?</v>
      </c>
      <c r="AG38" s="139" t="e">
        <f ca="1">_xll.BDP(B38&amp;" Index","CHG_PCT_1D_PRE_FROM_REGULAR")/100</f>
        <v>#NAME?</v>
      </c>
      <c r="AH38" s="19" t="e">
        <f t="shared" ca="1" si="75"/>
        <v>#VALUE!</v>
      </c>
      <c r="AI38" s="361" t="e">
        <f ca="1">_xll.BDP(B38&amp;" Equity","DVD_EX_DT")</f>
        <v>#NAME?</v>
      </c>
    </row>
    <row r="39" spans="1:35" ht="15.75" thickBot="1">
      <c r="A39" s="362"/>
      <c r="B39" s="39" t="s">
        <v>1096</v>
      </c>
      <c r="C39" t="s">
        <v>792</v>
      </c>
      <c r="E39" t="s">
        <v>137</v>
      </c>
      <c r="F39" s="21" t="s">
        <v>47</v>
      </c>
      <c r="G39" s="15"/>
      <c r="H39" s="362">
        <v>53300</v>
      </c>
      <c r="I39" s="35" t="e" cm="1">
        <f t="array" aca="1" ref="I39" ca="1">_xll.BDP(B39&amp;" Equity","LAST_PRICE")</f>
        <v>#NAME?</v>
      </c>
      <c r="J39" s="50" t="e">
        <f t="shared" ca="1" si="7"/>
        <v>#NAME?</v>
      </c>
      <c r="K39" s="355" t="e">
        <f ca="1">_xll.BDP(B39&amp;" equity","PX_YEST_CLOSE")</f>
        <v>#NAME?</v>
      </c>
      <c r="L39" s="52" t="e">
        <f ca="1">_xll.BDP(E39&amp;" Curncy","PX_LAST")</f>
        <v>#NAME?</v>
      </c>
      <c r="M39" s="51">
        <v>1</v>
      </c>
      <c r="N39" s="15" t="str">
        <f t="shared" ca="1" si="8"/>
        <v>-</v>
      </c>
      <c r="O39" s="284" t="str">
        <f ca="1">IFERROR(IF(Tabelad[[#This Row],[D1 Exp USD]]&lt;&gt;0,N39/$AE$7,0),"-")</f>
        <v>-</v>
      </c>
      <c r="P39" s="19" t="str">
        <f ca="1">IFERROR(IF(Tabelad[[#This Row],[D1 Exp USD]]&lt;&gt;0,((I39-K39)/L39*M39*H39)/$AD$7*10000,0),"-")</f>
        <v>-</v>
      </c>
      <c r="Q39" s="15">
        <f ca="1">IF(SUM(SUMIFS(Options!$AL$4:$AL$28, Options!$D$4:$D$28, B39), SUMIFS(Options!$AL$4:$AL$28, Options!$D$4:$D$28, B39 &amp; " US"))=0,0,SUM(SUMIFS(Options!$AL$4:$AL$28, Options!$D$4:$D$28, B39), SUMIFS(Options!$AL$4:$AL$28, Options!$D$4:$D$28, B39 &amp; " US")))</f>
        <v>0</v>
      </c>
      <c r="R39" s="18">
        <f t="shared" ca="1" si="59"/>
        <v>0</v>
      </c>
      <c r="S39" s="19">
        <f ca="1">IF(SUM(SUMIFS(Options!$AK$4:$AK$28, Options!$D$4:$D$28, B39), SUMIFS(Options!$AK$4:$AK$28, Options!$D$4:$D$28, B39 &amp; " US"))=0,0,SUM(SUMIFS(Options!$AK$4:$AK$28, Options!$D$4:$D$28, B39), SUMIFS(Options!AK$4:$AK$28, Options!$D$4:$D$28, B39 &amp; " US")))</f>
        <v>0</v>
      </c>
      <c r="T39" s="13" t="e">
        <f t="shared" ca="1" si="10"/>
        <v>#VALUE!</v>
      </c>
      <c r="U39" s="47" t="e">
        <f t="shared" ca="1" si="11"/>
        <v>#VALUE!</v>
      </c>
      <c r="V39" s="19" t="e">
        <f t="shared" ca="1" si="12"/>
        <v>#VALUE!</v>
      </c>
      <c r="W39" s="15" t="e">
        <f t="shared" ca="1" si="13"/>
        <v>#NAME?</v>
      </c>
      <c r="X39" s="18"/>
      <c r="Y39" s="301" t="e">
        <f ca="1">Tabelad[[#This Row],[Exp %]]*$Y$10*$AD$7/Tabelad[[#This Row],[Price Today]]</f>
        <v>#VALUE!</v>
      </c>
      <c r="Z39" s="195" t="e">
        <f ca="1">Tabelad[[#This Row],[Vol 10d]]/16*Tabelad[[#This Row],[Exp %]]*100</f>
        <v>#NAME?</v>
      </c>
      <c r="AA39" s="18" t="e">
        <f ca="1">Tabelad[[#This Row],[Exp %]]*Tabelad[[#This Row],[Beta]]</f>
        <v>#VALUE!</v>
      </c>
      <c r="AB39" s="35" t="e">
        <f ca="1">_xll.BDP($B39&amp;" Equity","volatility_10d")</f>
        <v>#NAME?</v>
      </c>
      <c r="AC39" s="35" t="e">
        <f ca="1">_xll.BDP(B39&amp;" EQUITY","eqy_beta")</f>
        <v>#NAME?</v>
      </c>
      <c r="AD39" s="15" t="e">
        <f ca="1">Tabelad[[#This Row],[D1 P&amp;L bps]]*$AD$5/10000</f>
        <v>#VALUE!</v>
      </c>
      <c r="AE39" s="206"/>
      <c r="AF39" s="185" t="e">
        <f ca="1">_xll.BDP(B39&amp;" Equity","EXPECTED_REPORT_DT")</f>
        <v>#NAME?</v>
      </c>
      <c r="AG39" s="139" t="e">
        <f ca="1">_xll.BDP(B39&amp;" Index","CHG_PCT_1D_PRE_FROM_REGULAR")/100</f>
        <v>#NAME?</v>
      </c>
      <c r="AH39" s="19" t="e">
        <f t="shared" ca="1" si="14"/>
        <v>#VALUE!</v>
      </c>
      <c r="AI39" s="361" t="e">
        <f ca="1">_xll.BDP(B39&amp;" Equity","DVD_EX_DT")</f>
        <v>#NAME?</v>
      </c>
    </row>
    <row r="40" spans="1:35" ht="15.75" thickBot="1">
      <c r="B40" s="476" t="s">
        <v>78</v>
      </c>
      <c r="C40" s="490" t="s">
        <v>798</v>
      </c>
      <c r="D40" s="490"/>
      <c r="E40" s="490" t="s">
        <v>137</v>
      </c>
      <c r="F40" s="491"/>
      <c r="G40" s="477"/>
      <c r="H40" s="492">
        <v>33738</v>
      </c>
      <c r="I40" s="478" t="e" cm="1">
        <f t="array" aca="1" ref="I40" ca="1">_xll.BDP(B40&amp;" Equity","LAST_PRICE")</f>
        <v>#NAME?</v>
      </c>
      <c r="J40" s="479" t="e">
        <f t="shared" ref="J40" ca="1" si="84">I40/K40-1</f>
        <v>#NAME?</v>
      </c>
      <c r="K40" s="480" t="e">
        <f ca="1">_xll.BDP(B40&amp;" equity","PX_YEST_CLOSE")</f>
        <v>#NAME?</v>
      </c>
      <c r="L40" s="481" t="e">
        <f ca="1">_xll.BDP(E40&amp;" Curncy","PX_LAST")</f>
        <v>#NAME?</v>
      </c>
      <c r="M40" s="482">
        <v>1</v>
      </c>
      <c r="N40" s="477" t="str">
        <f t="shared" ref="N40" ca="1" si="85">IFERROR(IF(((I40/L40)*H40*M40)&lt;&gt;0,((I40/L40)*H40*M40),0),"-")</f>
        <v>-</v>
      </c>
      <c r="O40" s="483" t="str">
        <f ca="1">IFERROR(IF(Tabelad[[#This Row],[D1 Exp USD]]&lt;&gt;0,N40/$AE$7,0),"-")</f>
        <v>-</v>
      </c>
      <c r="P40" s="484" t="str">
        <f ca="1">IFERROR(IF(Tabelad[[#This Row],[D1 Exp USD]]&lt;&gt;0,((I40-K40)/L40*M40*H40)/$AD$7*10000,0),"-")</f>
        <v>-</v>
      </c>
      <c r="Q40" s="477">
        <f ca="1">IF(SUM(SUMIFS(Options!$AL$4:$AL$28, Options!$D$4:$D$28, B40), SUMIFS(Options!$AL$4:$AL$28, Options!$D$4:$D$28, B40 &amp; " US"))=0,0,SUM(SUMIFS(Options!$AL$4:$AL$28, Options!$D$4:$D$28, B40), SUMIFS(Options!$AL$4:$AL$28, Options!$D$4:$D$28, B40 &amp; " US")))</f>
        <v>0</v>
      </c>
      <c r="R40" s="485">
        <f t="shared" ca="1" si="59"/>
        <v>0</v>
      </c>
      <c r="S40" s="484">
        <f ca="1">IF(SUM(SUMIFS(Options!$AK$4:$AK$28, Options!$D$4:$D$28, B40), SUMIFS(Options!$AK$4:$AK$28, Options!$D$4:$D$28, B40 &amp; " US"))=0,0,SUM(SUMIFS(Options!$AK$4:$AK$28, Options!$D$4:$D$28, B40), SUMIFS(Options!AK$4:$AK$28, Options!$D$4:$D$28, B40 &amp; " US")))</f>
        <v>0</v>
      </c>
      <c r="T40" s="493" t="e">
        <f t="shared" ref="T40" ca="1" si="86">N40+Q40</f>
        <v>#VALUE!</v>
      </c>
      <c r="U40" s="486" t="e">
        <f t="shared" ref="U40" ca="1" si="87">T40/$AE$7</f>
        <v>#VALUE!</v>
      </c>
      <c r="V40" s="487" t="e">
        <f t="shared" ref="V40" ca="1" si="88">P40+S40</f>
        <v>#VALUE!</v>
      </c>
      <c r="W40" s="15" t="e">
        <f t="shared" ref="W40" ca="1" si="89">$W$10/(I40/L40*M40)</f>
        <v>#NAME?</v>
      </c>
      <c r="X40" s="18"/>
      <c r="Y40" s="301" t="e">
        <f ca="1">Tabelad[[#This Row],[Exp %]]*$Y$10*$AD$7/Tabelad[[#This Row],[Price Today]]</f>
        <v>#VALUE!</v>
      </c>
      <c r="Z40" s="195" t="e">
        <f ca="1">Tabelad[[#This Row],[Vol 10d]]/16*Tabelad[[#This Row],[Exp %]]*100</f>
        <v>#NAME?</v>
      </c>
      <c r="AA40" s="18" t="e">
        <f ca="1">Tabelad[[#This Row],[Exp %]]*Tabelad[[#This Row],[Beta]]</f>
        <v>#VALUE!</v>
      </c>
      <c r="AB40" s="35" t="e">
        <f ca="1">_xll.BDP($B40&amp;" Equity","volatility_10d")</f>
        <v>#NAME?</v>
      </c>
      <c r="AC40" s="35" t="e">
        <f ca="1">_xll.BDP(B40&amp;" EQUITY","eqy_beta")</f>
        <v>#NAME?</v>
      </c>
      <c r="AD40" s="15" t="e">
        <f ca="1">Tabelad[[#This Row],[D1 P&amp;L bps]]*$AD$5/10000</f>
        <v>#VALUE!</v>
      </c>
      <c r="AE40" s="206"/>
      <c r="AF40" s="185" t="e">
        <f ca="1">_xll.BDP(B40&amp;" Equity","EXPECTED_REPORT_DT")</f>
        <v>#NAME?</v>
      </c>
      <c r="AG40" s="139" t="e">
        <f ca="1">_xll.BDP(B40&amp;" Index","CHG_PCT_1D_PRE_FROM_REGULAR")/100</f>
        <v>#NAME?</v>
      </c>
      <c r="AH40" s="19" t="e">
        <f t="shared" ref="AH40" ca="1" si="90">(T40*AG40)/$AD$7*10000</f>
        <v>#VALUE!</v>
      </c>
      <c r="AI40" s="361" t="e">
        <f ca="1">_xll.BDP(B40&amp;" Equity","DVD_EX_DT")</f>
        <v>#NAME?</v>
      </c>
    </row>
    <row r="41" spans="1:35">
      <c r="B41" s="39" t="s">
        <v>36</v>
      </c>
      <c r="C41" t="s">
        <v>905</v>
      </c>
      <c r="E41" t="s">
        <v>137</v>
      </c>
      <c r="F41" s="21" t="s">
        <v>47</v>
      </c>
      <c r="G41" s="15"/>
      <c r="H41" s="362">
        <v>23500</v>
      </c>
      <c r="I41" s="35" t="e" cm="1">
        <f t="array" aca="1" ref="I41" ca="1">_xll.BDP(B41&amp;" Equity","LAST_PRICE")</f>
        <v>#NAME?</v>
      </c>
      <c r="J41" s="50" t="e">
        <f t="shared" ca="1" si="7"/>
        <v>#NAME?</v>
      </c>
      <c r="K41" s="355" t="e">
        <f ca="1">_xll.BDP(B41&amp;" equity","PX_YEST_CLOSE")</f>
        <v>#NAME?</v>
      </c>
      <c r="L41" s="52" t="e">
        <f ca="1">_xll.BDP(E41&amp;" Curncy","PX_LAST")</f>
        <v>#NAME?</v>
      </c>
      <c r="M41" s="51">
        <v>1</v>
      </c>
      <c r="N41" s="15" t="str">
        <f t="shared" ca="1" si="8"/>
        <v>-</v>
      </c>
      <c r="O41" s="284" t="str">
        <f ca="1">IFERROR(IF(Tabelad[[#This Row],[D1 Exp USD]]&lt;&gt;0,N41/$AE$7,0),"-")</f>
        <v>-</v>
      </c>
      <c r="P41" s="19" t="str">
        <f ca="1">IFERROR(IF(Tabelad[[#This Row],[D1 Exp USD]]&lt;&gt;0,((I41-K41)/L41*M41*H41)/$AD$7*10000,0),"-")</f>
        <v>-</v>
      </c>
      <c r="Q41" s="15">
        <f ca="1">IF(SUM(SUMIFS(Options!$AL$4:$AL$28, Options!$D$4:$D$28, B41), SUMIFS(Options!$AL$4:$AL$28, Options!$D$4:$D$28, B41 &amp; " US"))=0,0,SUM(SUMIFS(Options!$AL$4:$AL$28, Options!$D$4:$D$28, B41), SUMIFS(Options!$AL$4:$AL$28, Options!$D$4:$D$28, B41 &amp; " US")))</f>
        <v>0</v>
      </c>
      <c r="R41" s="18">
        <f t="shared" ca="1" si="58"/>
        <v>0</v>
      </c>
      <c r="S41" s="19">
        <f ca="1">IF(SUM(SUMIFS(Options!$AK$4:$AK$28, Options!$D$4:$D$28, B41), SUMIFS(Options!$AK$4:$AK$28, Options!$D$4:$D$28, B41 &amp; " US"))=0,0,SUM(SUMIFS(Options!$AK$4:$AK$28, Options!$D$4:$D$28, B41), SUMIFS(Options!AK$4:$AK$28, Options!$D$4:$D$28, B41 &amp; " US")))</f>
        <v>0</v>
      </c>
      <c r="T41" s="13" t="e">
        <f t="shared" ca="1" si="10"/>
        <v>#VALUE!</v>
      </c>
      <c r="U41" s="47" t="e">
        <f t="shared" ca="1" si="11"/>
        <v>#VALUE!</v>
      </c>
      <c r="V41" s="19" t="e">
        <f t="shared" ca="1" si="12"/>
        <v>#VALUE!</v>
      </c>
      <c r="W41" s="15" t="e">
        <f t="shared" ca="1" si="13"/>
        <v>#NAME?</v>
      </c>
      <c r="X41" s="18"/>
      <c r="Y41" s="301" t="e">
        <f ca="1">Tabelad[[#This Row],[Exp %]]*$Y$10*$AD$7/Tabelad[[#This Row],[Price Today]]</f>
        <v>#VALUE!</v>
      </c>
      <c r="Z41" s="195" t="e">
        <f ca="1">Tabelad[[#This Row],[Vol 10d]]/16*Tabelad[[#This Row],[Exp %]]*100</f>
        <v>#NAME?</v>
      </c>
      <c r="AA41" s="18" t="e">
        <f ca="1">Tabelad[[#This Row],[Exp %]]*Tabelad[[#This Row],[Beta]]</f>
        <v>#VALUE!</v>
      </c>
      <c r="AB41" s="35" t="e">
        <f ca="1">_xll.BDP($B41&amp;" Equity","volatility_10d")</f>
        <v>#NAME?</v>
      </c>
      <c r="AC41" s="35" t="e">
        <f ca="1">_xll.BDP(B41&amp;" EQUITY","eqy_beta")</f>
        <v>#NAME?</v>
      </c>
      <c r="AD41" s="15" t="e">
        <f ca="1">Tabelad[[#This Row],[D1 P&amp;L bps]]*$AD$5/10000</f>
        <v>#VALUE!</v>
      </c>
      <c r="AE41" s="206"/>
      <c r="AF41" s="185" t="e">
        <f ca="1">_xll.BDP(B41&amp;" Equity","EXPECTED_REPORT_DT")</f>
        <v>#NAME?</v>
      </c>
      <c r="AG41" s="139" t="e">
        <f ca="1">_xll.BDP(B41&amp;" Index","CHG_PCT_1D_PRE_FROM_REGULAR")/100</f>
        <v>#NAME?</v>
      </c>
      <c r="AH41" s="19" t="e">
        <f t="shared" ca="1" si="14"/>
        <v>#VALUE!</v>
      </c>
      <c r="AI41" s="361" t="e">
        <f ca="1">_xll.BDP(B41&amp;" Equity","DVD_EX_DT")</f>
        <v>#NAME?</v>
      </c>
    </row>
    <row r="42" spans="1:35">
      <c r="B42" s="39" t="s">
        <v>6</v>
      </c>
      <c r="C42" t="s">
        <v>905</v>
      </c>
      <c r="E42" t="s">
        <v>137</v>
      </c>
      <c r="F42" s="21" t="s">
        <v>47</v>
      </c>
      <c r="G42" s="15"/>
      <c r="H42" s="362">
        <v>15000</v>
      </c>
      <c r="I42" s="35" t="e" cm="1">
        <f t="array" aca="1" ref="I42" ca="1">_xll.BDP(B42&amp;" Equity","LAST_PRICE")</f>
        <v>#NAME?</v>
      </c>
      <c r="J42" s="50" t="e">
        <f t="shared" ca="1" si="7"/>
        <v>#NAME?</v>
      </c>
      <c r="K42" s="355" t="e">
        <f ca="1">_xll.BDP(B42&amp;" equity","PX_YEST_CLOSE")</f>
        <v>#NAME?</v>
      </c>
      <c r="L42" s="52" t="e">
        <f ca="1">_xll.BDP(E42&amp;" Curncy","PX_LAST")</f>
        <v>#NAME?</v>
      </c>
      <c r="M42" s="51">
        <v>1</v>
      </c>
      <c r="N42" s="15" t="str">
        <f t="shared" ca="1" si="8"/>
        <v>-</v>
      </c>
      <c r="O42" s="284" t="str">
        <f ca="1">IFERROR(IF(Tabelad[[#This Row],[D1 Exp USD]]&lt;&gt;0,N42/$AE$7,0),"-")</f>
        <v>-</v>
      </c>
      <c r="P42" s="19" t="str">
        <f ca="1">IFERROR(IF(Tabelad[[#This Row],[D1 Exp USD]]&lt;&gt;0,((I42-K42)/L42*M42*H42)/$AD$7*10000,0),"-")</f>
        <v>-</v>
      </c>
      <c r="Q42" s="15">
        <f ca="1">IF(SUM(SUMIFS(Options!$AL$4:$AL$28, Options!$D$4:$D$28, B42), SUMIFS(Options!$AL$4:$AL$28, Options!$D$4:$D$28, B42 &amp; " US"))=0,0,SUM(SUMIFS(Options!$AL$4:$AL$28, Options!$D$4:$D$28, B42), SUMIFS(Options!$AL$4:$AL$28, Options!$D$4:$D$28, B42 &amp; " US")))</f>
        <v>0</v>
      </c>
      <c r="R42" s="18">
        <f ca="1">Q42/$AE$7</f>
        <v>0</v>
      </c>
      <c r="S42" s="19">
        <f ca="1">IF(SUM(SUMIFS(Options!$AK$4:$AK$28, Options!$D$4:$D$28, B42), SUMIFS(Options!$AK$4:$AK$28, Options!$D$4:$D$28, B42 &amp; " US"))=0,0,SUM(SUMIFS(Options!$AK$4:$AK$28, Options!$D$4:$D$28, B42), SUMIFS(Options!AK$4:$AK$28, Options!$D$4:$D$28, B42 &amp; " US")))</f>
        <v>0</v>
      </c>
      <c r="T42" s="13" t="e">
        <f t="shared" ca="1" si="10"/>
        <v>#VALUE!</v>
      </c>
      <c r="U42" s="47" t="e">
        <f t="shared" ca="1" si="11"/>
        <v>#VALUE!</v>
      </c>
      <c r="V42" s="19" t="e">
        <f t="shared" ca="1" si="12"/>
        <v>#VALUE!</v>
      </c>
      <c r="W42" s="15" t="e">
        <f t="shared" ca="1" si="13"/>
        <v>#NAME?</v>
      </c>
      <c r="X42" s="18"/>
      <c r="Y42" s="301" t="e">
        <f ca="1">Tabelad[[#This Row],[Exp %]]*$Y$10*$AD$7/Tabelad[[#This Row],[Price Today]]</f>
        <v>#VALUE!</v>
      </c>
      <c r="Z42" s="195" t="e">
        <f ca="1">Tabelad[[#This Row],[Vol 10d]]/16*Tabelad[[#This Row],[Exp %]]*100</f>
        <v>#NAME?</v>
      </c>
      <c r="AA42" s="18" t="e">
        <f ca="1">Tabelad[[#This Row],[Exp %]]*Tabelad[[#This Row],[Beta]]</f>
        <v>#VALUE!</v>
      </c>
      <c r="AB42" s="35" t="e">
        <f ca="1">_xll.BDP($B42&amp;" Equity","volatility_10d")</f>
        <v>#NAME?</v>
      </c>
      <c r="AC42" s="35" t="e">
        <f ca="1">_xll.BDP(B42&amp;" EQUITY","eqy_beta")</f>
        <v>#NAME?</v>
      </c>
      <c r="AD42" s="15" t="e">
        <f ca="1">Tabelad[[#This Row],[D1 P&amp;L bps]]*$AD$5/10000</f>
        <v>#VALUE!</v>
      </c>
      <c r="AE42" s="206"/>
      <c r="AF42" s="185" t="e">
        <f ca="1">_xll.BDP(B42&amp;" Equity","EXPECTED_REPORT_DT")</f>
        <v>#NAME?</v>
      </c>
      <c r="AG42" s="139" t="e">
        <f ca="1">_xll.BDP(B42&amp;" Index","CHG_PCT_1D_PRE_FROM_REGULAR")/100</f>
        <v>#NAME?</v>
      </c>
      <c r="AH42" s="19" t="e">
        <f t="shared" ca="1" si="14"/>
        <v>#VALUE!</v>
      </c>
      <c r="AI42" s="361" t="e">
        <f ca="1">_xll.BDP(B42&amp;" Equity","DVD_EX_DT")</f>
        <v>#NAME?</v>
      </c>
    </row>
    <row r="43" spans="1:35">
      <c r="B43" s="39" t="s">
        <v>917</v>
      </c>
      <c r="C43" t="s">
        <v>905</v>
      </c>
      <c r="E43" t="s">
        <v>137</v>
      </c>
      <c r="F43" s="21" t="s">
        <v>48</v>
      </c>
      <c r="G43" s="15"/>
      <c r="H43" s="362">
        <v>-10300</v>
      </c>
      <c r="I43" s="35" t="e" cm="1">
        <f t="array" aca="1" ref="I43" ca="1">_xll.BDP(B43&amp;" Equity","LAST_PRICE")</f>
        <v>#NAME?</v>
      </c>
      <c r="J43" s="50" t="e">
        <f t="shared" ca="1" si="7"/>
        <v>#NAME?</v>
      </c>
      <c r="K43" s="355" t="e">
        <f ca="1">_xll.BDP(B43&amp;" equity","PX_YEST_CLOSE")</f>
        <v>#NAME?</v>
      </c>
      <c r="L43" s="52" t="e">
        <f ca="1">_xll.BDP(E43&amp;" Curncy","PX_LAST")</f>
        <v>#NAME?</v>
      </c>
      <c r="M43" s="51">
        <v>1</v>
      </c>
      <c r="N43" s="15" t="str">
        <f t="shared" ca="1" si="8"/>
        <v>-</v>
      </c>
      <c r="O43" s="284" t="str">
        <f ca="1">IFERROR(IF(Tabelad[[#This Row],[D1 Exp USD]]&lt;&gt;0,N43/$AE$7,0),"-")</f>
        <v>-</v>
      </c>
      <c r="P43" s="19" t="str">
        <f ca="1">IFERROR(IF(Tabelad[[#This Row],[D1 Exp USD]]&lt;&gt;0,((I43-K43)/L43*M43*H43)/$AD$7*10000,0),"-")</f>
        <v>-</v>
      </c>
      <c r="Q43" s="15">
        <f ca="1">IF(SUM(SUMIFS(Options!$AL$4:$AL$28, Options!$D$4:$D$28, B43), SUMIFS(Options!$AL$4:$AL$28, Options!$D$4:$D$28, B43 &amp; " US"))=0,0,SUM(SUMIFS(Options!$AL$4:$AL$28, Options!$D$4:$D$28, B43), SUMIFS(Options!$AL$4:$AL$28, Options!$D$4:$D$28, B43 &amp; " US")))</f>
        <v>0</v>
      </c>
      <c r="R43" s="18">
        <f t="shared" ca="1" si="58"/>
        <v>0</v>
      </c>
      <c r="S43" s="19">
        <f ca="1">IF(SUM(SUMIFS(Options!$AK$4:$AK$28, Options!$D$4:$D$28, B43), SUMIFS(Options!$AK$4:$AK$28, Options!$D$4:$D$28, B43 &amp; " US"))=0,0,SUM(SUMIFS(Options!$AK$4:$AK$28, Options!$D$4:$D$28, B43), SUMIFS(Options!AK$4:$AK$28, Options!$D$4:$D$28, B43 &amp; " US")))</f>
        <v>0</v>
      </c>
      <c r="T43" s="13" t="e">
        <f t="shared" ca="1" si="10"/>
        <v>#VALUE!</v>
      </c>
      <c r="U43" s="47" t="e">
        <f t="shared" ca="1" si="11"/>
        <v>#VALUE!</v>
      </c>
      <c r="V43" s="19" t="e">
        <f t="shared" ca="1" si="12"/>
        <v>#VALUE!</v>
      </c>
      <c r="W43" s="15" t="e">
        <f t="shared" ca="1" si="13"/>
        <v>#NAME?</v>
      </c>
      <c r="X43" s="18"/>
      <c r="Y43" s="301" t="e">
        <f ca="1">Tabelad[[#This Row],[Exp %]]*$Y$10*$AD$7/Tabelad[[#This Row],[Price Today]]</f>
        <v>#VALUE!</v>
      </c>
      <c r="Z43" s="195" t="e">
        <f ca="1">Tabelad[[#This Row],[Vol 10d]]/16*Tabelad[[#This Row],[Exp %]]*100</f>
        <v>#NAME?</v>
      </c>
      <c r="AA43" s="18" t="e">
        <f ca="1">Tabelad[[#This Row],[Exp %]]*Tabelad[[#This Row],[Beta]]</f>
        <v>#VALUE!</v>
      </c>
      <c r="AB43" s="35" t="e">
        <f ca="1">_xll.BDP($B43&amp;" Equity","volatility_10d")</f>
        <v>#NAME?</v>
      </c>
      <c r="AC43" s="35" t="e">
        <f ca="1">_xll.BDP(B43&amp;" EQUITY","eqy_beta")</f>
        <v>#NAME?</v>
      </c>
      <c r="AD43" s="15" t="e">
        <f ca="1">Tabelad[[#This Row],[D1 P&amp;L bps]]*$AD$5/10000</f>
        <v>#VALUE!</v>
      </c>
      <c r="AE43" s="206"/>
      <c r="AF43" s="185" t="e">
        <f ca="1">_xll.BDP(B43&amp;" Equity","EXPECTED_REPORT_DT")</f>
        <v>#NAME?</v>
      </c>
      <c r="AG43" s="139" t="e">
        <f ca="1">_xll.BDP(B43&amp;" Index","CHG_PCT_1D_PRE_FROM_REGULAR")/100</f>
        <v>#NAME?</v>
      </c>
      <c r="AH43" s="19" t="e">
        <f t="shared" ca="1" si="14"/>
        <v>#VALUE!</v>
      </c>
      <c r="AI43" s="361" t="e">
        <f ca="1">_xll.BDP(B43&amp;" Equity","DVD_EX_DT")</f>
        <v>#NAME?</v>
      </c>
    </row>
    <row r="44" spans="1:35">
      <c r="B44" s="39" t="s">
        <v>4</v>
      </c>
      <c r="C44" t="s">
        <v>905</v>
      </c>
      <c r="E44" t="s">
        <v>137</v>
      </c>
      <c r="F44" s="21" t="s">
        <v>48</v>
      </c>
      <c r="G44" s="15"/>
      <c r="H44" s="362">
        <v>-27500</v>
      </c>
      <c r="I44" s="35" t="e" cm="1">
        <f t="array" aca="1" ref="I44" ca="1">_xll.BDP(B44&amp;" Equity","LAST_PRICE")</f>
        <v>#NAME?</v>
      </c>
      <c r="J44" s="50" t="e">
        <f t="shared" ca="1" si="7"/>
        <v>#NAME?</v>
      </c>
      <c r="K44" s="355" t="e">
        <f ca="1">_xll.BDP(B44&amp;" equity","PX_YEST_CLOSE")</f>
        <v>#NAME?</v>
      </c>
      <c r="L44" s="52" t="e">
        <f ca="1">_xll.BDP(E44&amp;" Curncy","PX_LAST")</f>
        <v>#NAME?</v>
      </c>
      <c r="M44" s="51">
        <v>1</v>
      </c>
      <c r="N44" s="15" t="str">
        <f t="shared" ca="1" si="8"/>
        <v>-</v>
      </c>
      <c r="O44" s="284" t="str">
        <f ca="1">IFERROR(IF(Tabelad[[#This Row],[D1 Exp USD]]&lt;&gt;0,N44/$AE$7,0),"-")</f>
        <v>-</v>
      </c>
      <c r="P44" s="19" t="str">
        <f ca="1">IFERROR(IF(Tabelad[[#This Row],[D1 Exp USD]]&lt;&gt;0,((I44-K44)/L44*M44*H44)/$AD$7*10000,0),"-")</f>
        <v>-</v>
      </c>
      <c r="Q44" s="15">
        <f ca="1">IF(SUM(SUMIFS(Options!$AL$4:$AL$28, Options!$D$4:$D$28, B44), SUMIFS(Options!$AL$4:$AL$28, Options!$D$4:$D$28, B44 &amp; " US"))=0,0,SUM(SUMIFS(Options!$AL$4:$AL$28, Options!$D$4:$D$28, B44), SUMIFS(Options!$AL$4:$AL$28, Options!$D$4:$D$28, B44 &amp; " US")))</f>
        <v>0</v>
      </c>
      <c r="R44" s="18">
        <f t="shared" ca="1" si="58"/>
        <v>0</v>
      </c>
      <c r="S44" s="19">
        <f ca="1">IF(SUM(SUMIFS(Options!$AK$4:$AK$28, Options!$D$4:$D$28, B44), SUMIFS(Options!$AK$4:$AK$28, Options!$D$4:$D$28, B44 &amp; " US"))=0,0,SUM(SUMIFS(Options!$AK$4:$AK$28, Options!$D$4:$D$28, B44), SUMIFS(Options!AK$4:$AK$28, Options!$D$4:$D$28, B44 &amp; " US")))</f>
        <v>0</v>
      </c>
      <c r="T44" s="13" t="e">
        <f t="shared" ca="1" si="10"/>
        <v>#VALUE!</v>
      </c>
      <c r="U44" s="47" t="e">
        <f t="shared" ca="1" si="11"/>
        <v>#VALUE!</v>
      </c>
      <c r="V44" s="19" t="e">
        <f t="shared" ca="1" si="12"/>
        <v>#VALUE!</v>
      </c>
      <c r="W44" s="15" t="e">
        <f t="shared" ca="1" si="13"/>
        <v>#NAME?</v>
      </c>
      <c r="X44" s="18"/>
      <c r="Y44" s="301" t="e">
        <f ca="1">Tabelad[[#This Row],[Exp %]]*$Y$10*$AD$7/Tabelad[[#This Row],[Price Today]]</f>
        <v>#VALUE!</v>
      </c>
      <c r="Z44" s="195" t="e">
        <f ca="1">Tabelad[[#This Row],[Vol 10d]]/16*Tabelad[[#This Row],[Exp %]]*100</f>
        <v>#NAME?</v>
      </c>
      <c r="AA44" s="18" t="e">
        <f ca="1">Tabelad[[#This Row],[Exp %]]*Tabelad[[#This Row],[Beta]]</f>
        <v>#VALUE!</v>
      </c>
      <c r="AB44" s="35" t="e">
        <f ca="1">_xll.BDP($B44&amp;" Equity","volatility_10d")</f>
        <v>#NAME?</v>
      </c>
      <c r="AC44" s="35" t="e">
        <f ca="1">_xll.BDP(B44&amp;" EQUITY","eqy_beta")</f>
        <v>#NAME?</v>
      </c>
      <c r="AD44" s="15" t="e">
        <f ca="1">Tabelad[[#This Row],[D1 P&amp;L bps]]*$AD$5/10000</f>
        <v>#VALUE!</v>
      </c>
      <c r="AE44" s="206"/>
      <c r="AF44" s="185" t="e">
        <f ca="1">_xll.BDP(B44&amp;" Equity","EXPECTED_REPORT_DT")</f>
        <v>#NAME?</v>
      </c>
      <c r="AG44" s="139" t="e">
        <f ca="1">_xll.BDP(B44&amp;" Index","CHG_PCT_1D_PRE_FROM_REGULAR")/100</f>
        <v>#NAME?</v>
      </c>
      <c r="AH44" s="19" t="e">
        <f t="shared" ca="1" si="14"/>
        <v>#VALUE!</v>
      </c>
      <c r="AI44" s="361" t="e">
        <f ca="1">_xll.BDP(B44&amp;" Equity","DVD_EX_DT")</f>
        <v>#NAME?</v>
      </c>
    </row>
    <row r="45" spans="1:35">
      <c r="C45" s="39"/>
      <c r="D45" s="39"/>
      <c r="E45" s="39"/>
      <c r="H45" s="13"/>
      <c r="I45" s="52"/>
      <c r="K45" s="52"/>
      <c r="L45" s="52"/>
      <c r="M45" s="35"/>
      <c r="S45" s="206"/>
      <c r="U45" s="70"/>
      <c r="V45" s="64"/>
      <c r="X45" s="52"/>
      <c r="Y45" s="360"/>
      <c r="Z45" s="18"/>
      <c r="AG45" s="52"/>
      <c r="AI45" s="47"/>
    </row>
    <row r="46" spans="1:35">
      <c r="C46" s="20"/>
      <c r="D46" s="20"/>
      <c r="E46" s="20"/>
      <c r="H46" s="13"/>
      <c r="L46" s="3"/>
      <c r="S46" s="205"/>
    </row>
    <row r="47" spans="1:35">
      <c r="C47" s="20"/>
      <c r="D47" s="20"/>
      <c r="E47" s="20"/>
      <c r="H47" s="13"/>
      <c r="L47" s="3"/>
      <c r="S47" s="205"/>
    </row>
    <row r="48" spans="1:35">
      <c r="C48" s="20"/>
      <c r="D48" s="20"/>
      <c r="E48" s="20"/>
      <c r="H48" s="13"/>
      <c r="L48" s="3"/>
      <c r="S48" s="205"/>
    </row>
    <row r="49" spans="3:19">
      <c r="C49" s="20"/>
      <c r="D49" s="20"/>
      <c r="E49" s="20"/>
      <c r="H49" s="17"/>
      <c r="J49" s="17"/>
      <c r="S49" s="205"/>
    </row>
    <row r="50" spans="3:19">
      <c r="C50" s="20"/>
      <c r="D50" s="20"/>
      <c r="E50" s="20"/>
      <c r="H50" s="13"/>
      <c r="S50" s="205"/>
    </row>
    <row r="51" spans="3:19">
      <c r="C51" s="20"/>
      <c r="D51" s="20"/>
      <c r="E51" s="20"/>
      <c r="H51" s="13"/>
      <c r="J51" s="17"/>
    </row>
    <row r="52" spans="3:19">
      <c r="C52" s="20"/>
      <c r="D52" s="20"/>
      <c r="E52" s="20"/>
      <c r="J52" s="17"/>
    </row>
    <row r="53" spans="3:19">
      <c r="C53" s="20"/>
      <c r="D53" s="20"/>
      <c r="E53" s="20"/>
      <c r="J53" s="17"/>
    </row>
    <row r="54" spans="3:19">
      <c r="C54" s="20"/>
      <c r="D54" s="20"/>
      <c r="E54" s="20"/>
      <c r="H54" s="13"/>
      <c r="J54" s="17"/>
    </row>
    <row r="55" spans="3:19">
      <c r="C55" s="20"/>
      <c r="D55" s="20"/>
      <c r="E55" s="20"/>
      <c r="H55" s="13"/>
      <c r="J55" s="17"/>
    </row>
    <row r="56" spans="3:19">
      <c r="H56" s="13"/>
      <c r="J56" s="17"/>
    </row>
    <row r="57" spans="3:19">
      <c r="H57" s="13"/>
      <c r="J57" s="17"/>
    </row>
    <row r="58" spans="3:19">
      <c r="H58" s="13"/>
      <c r="J58" s="17"/>
    </row>
    <row r="59" spans="3:19">
      <c r="H59" s="13"/>
      <c r="J59" s="17"/>
    </row>
    <row r="60" spans="3:19">
      <c r="H60" s="13"/>
      <c r="J60" s="17"/>
    </row>
    <row r="61" spans="3:19">
      <c r="H61" s="13"/>
      <c r="J61" s="17"/>
    </row>
    <row r="62" spans="3:19">
      <c r="H62" s="13"/>
      <c r="J62" s="17"/>
    </row>
    <row r="63" spans="3:19">
      <c r="H63" s="13"/>
      <c r="J63" s="17"/>
    </row>
    <row r="64" spans="3:19">
      <c r="H64" s="13"/>
      <c r="J64" s="17"/>
    </row>
    <row r="65" spans="8:10">
      <c r="H65" s="13"/>
      <c r="J65" s="17"/>
    </row>
    <row r="66" spans="8:10">
      <c r="H66" s="13"/>
      <c r="J66" s="17"/>
    </row>
  </sheetData>
  <phoneticPr fontId="5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4">
    <cfRule type="colorScale" priority="589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4">
    <cfRule type="colorScale" priority="589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4">
    <cfRule type="dataBar" priority="589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4">
    <cfRule type="colorScale" priority="58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4">
    <cfRule type="dataBar" priority="589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4">
    <cfRule type="colorScale" priority="58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4">
    <cfRule type="colorScale" priority="589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4">
    <cfRule type="colorScale" priority="58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4">
    <cfRule type="colorScale" priority="58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AB12:AB44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5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H22" sqref="H22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 t="e">
        <f ca="1">'Master P&amp;L'!V10</f>
        <v>#VALUE!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374</v>
      </c>
      <c r="K1" s="73" t="e">
        <f ca="1">_xll.BDP(B1&amp;" index","PX_YEST_CLOSE")</f>
        <v>#NAME?</v>
      </c>
      <c r="L1" s="73" t="e">
        <f ca="1">_xll.BDP($B1&amp;" Index","mid")</f>
        <v>#NAME?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 t="e">
        <f ca="1">SUM(V4:V28)</f>
        <v>#NAME?</v>
      </c>
      <c r="W1" s="49" t="e">
        <f ca="1">SUM(W4:W28)</f>
        <v>#NAME?</v>
      </c>
      <c r="X1" s="49" t="e">
        <f ca="1">SUM(X4:X28)</f>
        <v>#NAME?</v>
      </c>
      <c r="Y1" s="198"/>
      <c r="AG1" s="42"/>
      <c r="AI1" s="341" t="e">
        <f ca="1">SUM(AI4:AI28)*252</f>
        <v>#NAME?</v>
      </c>
      <c r="AJ1" s="341"/>
      <c r="AK1" s="290" t="s">
        <v>568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e" cm="1">
        <f t="array" aca="1" ref="K2" ca="1">_xll.BDP(B2&amp;" Equity","PX_YEST_CLOSE")</f>
        <v>#NAME?</v>
      </c>
      <c r="L2" s="73" t="e" cm="1">
        <f t="array" aca="1" ref="L2" ca="1">_xll.BDP($B2&amp;" Equity","mid")</f>
        <v>#NAME?</v>
      </c>
      <c r="P2" s="35" t="e" cm="1">
        <f t="array" aca="1" ref="P2" ca="1">_xll.BDP($B2&amp;" Equity","bid")</f>
        <v>#NAME?</v>
      </c>
      <c r="Q2" s="35" t="e" cm="1">
        <f t="array" aca="1" ref="Q2" ca="1">_xll.BDP($B2&amp;" Equity","ask")</f>
        <v>#NAME?</v>
      </c>
      <c r="R2" s="63" t="e">
        <f>#REF!-#REF!-0.5*#REF!</f>
        <v>#REF!</v>
      </c>
      <c r="S2" s="126" t="e">
        <f ca="1"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453</v>
      </c>
      <c r="AD3" s="10" t="s">
        <v>452</v>
      </c>
      <c r="AE3" s="10" t="s">
        <v>454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785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352</v>
      </c>
      <c r="BA3" s="10" t="s">
        <v>512</v>
      </c>
      <c r="BB3" s="10" t="s">
        <v>515</v>
      </c>
      <c r="BC3" s="10" t="s">
        <v>516</v>
      </c>
      <c r="BD3" s="10" t="s">
        <v>517</v>
      </c>
    </row>
    <row r="4" spans="1:56" ht="15.75" customHeight="1">
      <c r="A4" s="263"/>
      <c r="B4" s="72" t="s">
        <v>1225</v>
      </c>
      <c r="C4" s="72" t="e" cm="1">
        <f t="array" aca="1" ref="C4" ca="1">_xll.BDP($B4&amp;" Equity","opt_put_call")</f>
        <v>#NAME?</v>
      </c>
      <c r="D4" s="72" t="e" cm="1">
        <f t="array" aca="1" ref="D4" ca="1">_xll.BDP(B4&amp;" Equity","OPT_UNDL_TICKER")</f>
        <v>#NAME?</v>
      </c>
      <c r="E4" s="72" t="e" cm="1">
        <f t="array" aca="1" ref="E4" ca="1">_xll.BDP($B4&amp;" Equity","mifid_Maturity_date")</f>
        <v>#NAME?</v>
      </c>
      <c r="F4" s="72" t="e" cm="1">
        <f t="array" aca="1" ref="F4" ca="1">_xll.BDP($B4&amp;" Equity","opt_days_expire")</f>
        <v>#NAME?</v>
      </c>
      <c r="G4" s="72" t="e" cm="1">
        <f t="array" aca="1" ref="G4" ca="1">_xll.BDP(B4&amp;" Equity","QUOTED_CURRENCY_REALTIME")</f>
        <v>#NAME?</v>
      </c>
      <c r="H4" s="41">
        <v>-300</v>
      </c>
      <c r="I4" s="335">
        <v>7.61</v>
      </c>
      <c r="J4" s="14">
        <f>VLOOKUP(B4,Precificação!$B:$O,14,FALSE)</f>
        <v>7.7</v>
      </c>
      <c r="K4" s="73">
        <f>J4</f>
        <v>7.7</v>
      </c>
      <c r="L4" s="73" t="e" cm="1">
        <f t="array" aca="1" ref="L4" ca="1">_xll.BDP($B4&amp;" Equity","mid")</f>
        <v>#NAME?</v>
      </c>
      <c r="M4" s="74" t="e">
        <f t="shared" ref="M4:M28" ca="1" si="0">L4/Z4</f>
        <v>#NAME?</v>
      </c>
      <c r="N4" s="279"/>
      <c r="O4" s="74" t="e">
        <f t="shared" ref="O4:O28" ca="1" si="1">L4/K4-1</f>
        <v>#NAME?</v>
      </c>
      <c r="P4" s="73" t="e" cm="1">
        <f t="array" aca="1" ref="P4" ca="1">_xll.BDP($B4&amp;" Equity","bid")</f>
        <v>#NAME?</v>
      </c>
      <c r="Q4" s="73" t="e" cm="1">
        <f t="array" aca="1" ref="Q4" ca="1">_xll.BDP($B4&amp;" Equity","ask")</f>
        <v>#NAME?</v>
      </c>
      <c r="R4" s="75" t="e">
        <f t="shared" ref="R4:R28" ca="1" si="2">(Q4/P4-1)</f>
        <v>#NAME?</v>
      </c>
      <c r="S4" s="35" t="e" cm="1">
        <f t="array" aca="1" ref="S4" ca="1">_xll.BDP(G4&amp;" Curncy","PX_LAST")</f>
        <v>#NAME?</v>
      </c>
      <c r="T4" s="41" t="e" cm="1">
        <f t="array" aca="1" ref="T4" ca="1">_xll.BDP(B4&amp;" Equity","OPT_MULTIPLIER")</f>
        <v>#NAME?</v>
      </c>
      <c r="U4" s="41" t="e">
        <f t="shared" ref="U4:U28" ca="1" si="3">(L4/S4)*H4*T4</f>
        <v>#NAME?</v>
      </c>
      <c r="V4" s="111" t="e">
        <f ca="1">U4/'Master P&amp;L'!$AD$7*10000</f>
        <v>#NAME?</v>
      </c>
      <c r="W4" s="111" t="e">
        <f ca="1">(Y4*H4*T4/S4)/'Master P&amp;L'!$AD$7*10000</f>
        <v>#NAME?</v>
      </c>
      <c r="X4" s="116" t="e">
        <f t="shared" ref="X4:X28" ca="1" si="4">IF(C4="Put",IF(Z4&lt;AA4,AA4-Z4,0),IF(Z4&gt;AA4,Z4-AA4,0))</f>
        <v>#NAME?</v>
      </c>
      <c r="Y4" s="201" t="e">
        <f t="shared" ref="Y4:Y28" ca="1" si="5">L4-X4</f>
        <v>#NAME?</v>
      </c>
      <c r="Z4" s="76" t="e">
        <f ca="1">_xll.BDP(D4&amp;" Equity","LAST_PRICE")</f>
        <v>#NAME?</v>
      </c>
      <c r="AA4" s="76" t="e" cm="1">
        <f t="array" aca="1" ref="AA4" ca="1">_xll.BDP(B4&amp;" Equity","OPT_STRIKE_PX")</f>
        <v>#NAME?</v>
      </c>
      <c r="AB4" s="75" t="e">
        <f t="shared" ref="AB4:AB28" ca="1" si="6">AA4/Z4-1</f>
        <v>#NAME?</v>
      </c>
      <c r="AC4" s="251" t="e" cm="1">
        <f t="array" aca="1" ref="AC4" ca="1">_xll.BDP($D4&amp;" Equity","volatility_10d")</f>
        <v>#NAME?</v>
      </c>
      <c r="AD4" s="76" t="e" cm="1">
        <f t="array" aca="1" ref="AD4" ca="1">_xll.BDP(B4&amp;" Equity","ivol_mid")</f>
        <v>#NAME?</v>
      </c>
      <c r="AE4" s="76" t="e">
        <f t="shared" ref="AE4:AE28" ca="1" si="7">AD4/AC4</f>
        <v>#NAME?</v>
      </c>
      <c r="AF4" s="77" t="e" cm="1">
        <f t="array" aca="1" ref="AF4" ca="1">_xll.BDP(B4&amp;" Equity","DELTA_MID_RT")</f>
        <v>#NAME?</v>
      </c>
      <c r="AG4" s="74" t="e">
        <f ca="1">AL4/'Master P&amp;L'!$AE$7</f>
        <v>#NAME?</v>
      </c>
      <c r="AH4" s="74" t="e">
        <f ca="1">AM4/'Master P&amp;L'!$AE$7</f>
        <v>#NAME?</v>
      </c>
      <c r="AI4" s="353" t="e">
        <f ca="1">AO4/'Master P&amp;L'!$AD$7*10000</f>
        <v>#NAME?</v>
      </c>
      <c r="AJ4" s="277" t="e">
        <f t="shared" ref="AJ4:AJ28" ca="1" si="8">(252*AI4)/$AI$1</f>
        <v>#NAME?</v>
      </c>
      <c r="AK4" s="77" t="e">
        <f ca="1">AP4/'Master P&amp;L'!$AD$7*10000</f>
        <v>#NAME?</v>
      </c>
      <c r="AL4" s="41" t="e">
        <f t="shared" ref="AL4:AL28" ca="1" si="9">Z4*AF4*H4*T4/S4</f>
        <v>#NAME?</v>
      </c>
      <c r="AM4" s="41" t="e">
        <f t="shared" ref="AM4:AM28" ca="1" si="10">IF(C4="Put",-Z4*H4*T4/S4,Z4*H4*T4/S4)</f>
        <v>#NAME?</v>
      </c>
      <c r="AN4" s="77" t="e" cm="1">
        <f t="array" aca="1" ref="AN4" ca="1">_xll.BDP($B4&amp;" Equity","theta_mid_rt")</f>
        <v>#NAME?</v>
      </c>
      <c r="AO4" s="41" t="e">
        <f t="shared" ref="AO4:AO28" ca="1" si="11">AN4*H4*T4/S4</f>
        <v>#NAME?</v>
      </c>
      <c r="AP4" s="41" t="e">
        <f t="shared" ref="AP4:AP28" ca="1" si="12">(L4-K4)*T4/S4*H4</f>
        <v>#NAME?</v>
      </c>
      <c r="AQ4" s="73" t="e" cm="1">
        <f t="array" aca="1" ref="AQ4" ca="1">_xll.BDP($D4&amp;" Equity","EXPECTED_REPORT_DT")</f>
        <v>#NAME?</v>
      </c>
      <c r="AR4" s="189" t="e" cm="1">
        <f t="array" aca="1" ref="AR4" ca="1">_xll.BDP($B4&amp;" Equity","GAMMA_LAST")</f>
        <v>#NAME?</v>
      </c>
      <c r="AS4" s="72" t="e">
        <f t="shared" ref="AS4:AS28" ca="1" si="13">$Z4*($AR4*$Z4*$AS$3)*$H4*$T4/$S4</f>
        <v>#NAME?</v>
      </c>
      <c r="AT4" s="72" t="e">
        <f t="shared" ref="AT4:AT28" ca="1" si="14">$Z4*($AR4*$Z4*$AT$3)*$H4*$T4/$S4</f>
        <v>#NAME?</v>
      </c>
      <c r="AU4" s="72" t="s">
        <v>95</v>
      </c>
      <c r="AV4" s="250" t="e" cm="1">
        <f t="array" aca="1" ref="AV4" ca="1">_xll.BDP($D4&amp;" Equity","EST_PE_NXT_YR")*(AA4/Z4)</f>
        <v>#NAME?</v>
      </c>
      <c r="AW4" s="72"/>
      <c r="AX4" s="41"/>
      <c r="AY4" s="250">
        <v>6.6</v>
      </c>
      <c r="AZ4" s="281"/>
      <c r="BA4" s="41">
        <f t="shared" ref="BA4:BA28" si="15">+AY4</f>
        <v>6.6</v>
      </c>
      <c r="BB4" s="273">
        <f t="shared" ref="BB4:BB28" si="16">+J4</f>
        <v>7.7</v>
      </c>
      <c r="BC4" s="273">
        <f t="shared" ref="BC4:BC28" si="17">(BB4-BA4)*H4*100</f>
        <v>-33000.000000000015</v>
      </c>
      <c r="BD4" s="273">
        <f>BC4/'Master P&amp;L'!$AD$7*10000</f>
        <v>-0.13072618020335283</v>
      </c>
    </row>
    <row r="5" spans="1:56" ht="15.75" customHeight="1">
      <c r="A5" s="283"/>
      <c r="B5" t="s">
        <v>1223</v>
      </c>
      <c r="C5" t="e" cm="1">
        <f t="array" aca="1" ref="C5" ca="1">_xll.BDP($B5&amp;" Equity","opt_put_call")</f>
        <v>#NAME?</v>
      </c>
      <c r="D5" t="e" cm="1">
        <f t="array" aca="1" ref="D5" ca="1">_xll.BDP(B5&amp;" Equity","OPT_UNDL_TICKER")</f>
        <v>#NAME?</v>
      </c>
      <c r="E5" t="e" cm="1">
        <f t="array" aca="1" ref="E5" ca="1">_xll.BDP($B5&amp;" Equity","mifid_Maturity_date")</f>
        <v>#NAME?</v>
      </c>
      <c r="F5" t="e" cm="1">
        <f t="array" aca="1" ref="F5" ca="1">_xll.BDP($B5&amp;" Equity","opt_days_expire")</f>
        <v>#NAME?</v>
      </c>
      <c r="G5" t="e" cm="1">
        <f t="array" aca="1" ref="G5" ca="1">_xll.BDP(B5&amp;" Equity","QUOTED_CURRENCY_REALTIME")</f>
        <v>#NAME?</v>
      </c>
      <c r="H5" s="15">
        <v>-300</v>
      </c>
      <c r="I5" s="336">
        <v>7.7</v>
      </c>
      <c r="J5" s="14">
        <f>VLOOKUP(B5,Precificação!$B:$O,14,FALSE)</f>
        <v>7.875</v>
      </c>
      <c r="K5" s="73">
        <f t="shared" ref="K5:K28" si="18">J5</f>
        <v>7.875</v>
      </c>
      <c r="L5" s="35" t="e" cm="1">
        <f t="array" aca="1" ref="L5" ca="1">_xll.BDP($B5&amp;" Equity","mid")</f>
        <v>#NAME?</v>
      </c>
      <c r="M5" s="18" t="e">
        <f t="shared" ca="1" si="0"/>
        <v>#NAME?</v>
      </c>
      <c r="N5" s="277"/>
      <c r="O5" s="18" t="e">
        <f t="shared" ca="1" si="1"/>
        <v>#NAME?</v>
      </c>
      <c r="P5" s="35" t="e" cm="1">
        <f t="array" aca="1" ref="P5" ca="1">_xll.BDP($B5&amp;" Equity","bid")</f>
        <v>#NAME?</v>
      </c>
      <c r="Q5" s="35" t="e" cm="1">
        <f t="array" aca="1" ref="Q5" ca="1">_xll.BDP($B5&amp;" Equity","ask")</f>
        <v>#NAME?</v>
      </c>
      <c r="R5" s="39" t="e">
        <f t="shared" ca="1" si="2"/>
        <v>#NAME?</v>
      </c>
      <c r="S5" s="35" t="e" cm="1">
        <f t="array" aca="1" ref="S5" ca="1">_xll.BDP(G5&amp;" Curncy","PX_LAST")</f>
        <v>#NAME?</v>
      </c>
      <c r="T5" s="15" t="e" cm="1">
        <f t="array" aca="1" ref="T5" ca="1">_xll.BDP(B5&amp;" Equity","OPT_MULTIPLIER")</f>
        <v>#NAME?</v>
      </c>
      <c r="U5" s="15" t="e">
        <f t="shared" ca="1" si="3"/>
        <v>#NAME?</v>
      </c>
      <c r="V5" s="122" t="e">
        <f ca="1">U5/'Master P&amp;L'!$AD$7*10000</f>
        <v>#NAME?</v>
      </c>
      <c r="W5" s="122" t="e">
        <f ca="1">(Y5*H5*T5/S5)/'Master P&amp;L'!$AD$7*10000</f>
        <v>#NAME?</v>
      </c>
      <c r="X5" s="339" t="e">
        <f t="shared" ca="1" si="4"/>
        <v>#NAME?</v>
      </c>
      <c r="Y5" s="202" t="e">
        <f t="shared" ca="1" si="5"/>
        <v>#NAME?</v>
      </c>
      <c r="Z5" s="36" t="e">
        <f ca="1">_xll.BDP(D5&amp;" Equity","LAST_PRICE")</f>
        <v>#NAME?</v>
      </c>
      <c r="AA5" s="36" t="e" cm="1">
        <f t="array" aca="1" ref="AA5" ca="1">_xll.BDP(B5&amp;" Equity","OPT_STRIKE_PX")</f>
        <v>#NAME?</v>
      </c>
      <c r="AB5" s="39" t="e">
        <f t="shared" ca="1" si="6"/>
        <v>#NAME?</v>
      </c>
      <c r="AC5" s="252" t="e" cm="1">
        <f t="array" aca="1" ref="AC5" ca="1">_xll.BDP($D5&amp;" Equity","volatility_10d")</f>
        <v>#NAME?</v>
      </c>
      <c r="AD5" s="36" t="e" cm="1">
        <f t="array" aca="1" ref="AD5" ca="1">_xll.BDP(B5&amp;" Equity","ivol_mid")</f>
        <v>#NAME?</v>
      </c>
      <c r="AE5" s="36" t="e">
        <f t="shared" ca="1" si="7"/>
        <v>#NAME?</v>
      </c>
      <c r="AF5" s="37" t="e" cm="1">
        <f t="array" aca="1" ref="AF5" ca="1">_xll.BDP(B5&amp;" Equity","DELTA_MID_RT")</f>
        <v>#NAME?</v>
      </c>
      <c r="AG5" s="18" t="e">
        <f ca="1">AL5/'Master P&amp;L'!$AE$7</f>
        <v>#NAME?</v>
      </c>
      <c r="AH5" s="18" t="e">
        <f ca="1">AM5/'Master P&amp;L'!$AE$7</f>
        <v>#NAME?</v>
      </c>
      <c r="AI5" s="352" t="e">
        <f ca="1">AO5/'Master P&amp;L'!$AD$7*10000</f>
        <v>#NAME?</v>
      </c>
      <c r="AJ5" s="277" t="e">
        <f t="shared" ca="1" si="8"/>
        <v>#NAME?</v>
      </c>
      <c r="AK5" s="37" t="e">
        <f ca="1">AP5/'Master P&amp;L'!$AD$7*10000</f>
        <v>#NAME?</v>
      </c>
      <c r="AL5" s="15" t="e">
        <f t="shared" ca="1" si="9"/>
        <v>#NAME?</v>
      </c>
      <c r="AM5" s="15" t="e">
        <f t="shared" ca="1" si="10"/>
        <v>#NAME?</v>
      </c>
      <c r="AN5" s="37" t="e" cm="1">
        <f t="array" aca="1" ref="AN5" ca="1">_xll.BDP($B5&amp;" Equity","theta_mid_rt")</f>
        <v>#NAME?</v>
      </c>
      <c r="AO5" s="15" t="e">
        <f t="shared" ca="1" si="11"/>
        <v>#NAME?</v>
      </c>
      <c r="AP5" s="15" t="e">
        <f t="shared" ca="1" si="12"/>
        <v>#NAME?</v>
      </c>
      <c r="AQ5" s="35" t="e" cm="1">
        <f t="array" aca="1" ref="AQ5" ca="1">_xll.BDP($D5&amp;" Equity","EXPECTED_REPORT_DT")</f>
        <v>#NAME?</v>
      </c>
      <c r="AR5" s="65" t="e" cm="1">
        <f t="array" aca="1" ref="AR5" ca="1">_xll.BDP($B5&amp;" Equity","GAMMA_LAST")</f>
        <v>#NAME?</v>
      </c>
      <c r="AS5" t="e">
        <f t="shared" ca="1" si="13"/>
        <v>#NAME?</v>
      </c>
      <c r="AT5" t="e">
        <f t="shared" ca="1" si="14"/>
        <v>#NAME?</v>
      </c>
      <c r="AU5" t="s">
        <v>95</v>
      </c>
      <c r="AV5" s="206" t="e" cm="1">
        <f t="array" aca="1" ref="AV5" ca="1">_xll.BDP($D5&amp;" Equity","EST_PE_NXT_YR")*(AA5/Z5)</f>
        <v>#NAME?</v>
      </c>
      <c r="AX5" s="15"/>
      <c r="AY5" s="206">
        <v>9.32</v>
      </c>
      <c r="AZ5" s="282"/>
      <c r="BA5" s="15">
        <f t="shared" si="15"/>
        <v>9.32</v>
      </c>
      <c r="BB5" s="340">
        <f t="shared" si="16"/>
        <v>7.875</v>
      </c>
      <c r="BC5" s="340">
        <f t="shared" si="17"/>
        <v>43350.000000000015</v>
      </c>
      <c r="BD5" s="340">
        <f>BC5/'Master P&amp;L'!$AD$7*10000</f>
        <v>0.17172666399440439</v>
      </c>
    </row>
    <row r="6" spans="1:56" ht="15.75" customHeight="1">
      <c r="A6" s="263"/>
      <c r="B6" s="72" t="s">
        <v>886</v>
      </c>
      <c r="C6" s="72" t="e" cm="1">
        <f t="array" aca="1" ref="C6" ca="1">_xll.BDP($B6&amp;" Equity","opt_put_call")</f>
        <v>#NAME?</v>
      </c>
      <c r="D6" s="72" t="e" cm="1">
        <f t="array" aca="1" ref="D6" ca="1">_xll.BDP(B6&amp;" Equity","OPT_UNDL_TICKER")</f>
        <v>#NAME?</v>
      </c>
      <c r="E6" s="72" t="e" cm="1">
        <f t="array" aca="1" ref="E6" ca="1">_xll.BDP($B6&amp;" Equity","mifid_Maturity_date")</f>
        <v>#NAME?</v>
      </c>
      <c r="F6" s="72" t="e" cm="1">
        <f t="array" aca="1" ref="F6" ca="1">_xll.BDP($B6&amp;" Equity","opt_days_expire")</f>
        <v>#NAME?</v>
      </c>
      <c r="G6" s="72" t="e" cm="1">
        <f t="array" aca="1" ref="G6" ca="1">_xll.BDP(B6&amp;" Equity","QUOTED_CURRENCY_REALTIME")</f>
        <v>#NAME?</v>
      </c>
      <c r="H6" s="41">
        <v>2000</v>
      </c>
      <c r="I6" s="335">
        <v>0.28999999999999998</v>
      </c>
      <c r="J6" s="14">
        <f>VLOOKUP(B6,Precificação!$B:$O,14,FALSE)</f>
        <v>7.041852690014426E-2</v>
      </c>
      <c r="K6" s="73">
        <f t="shared" si="18"/>
        <v>7.041852690014426E-2</v>
      </c>
      <c r="L6" s="73" t="e" cm="1">
        <f t="array" aca="1" ref="L6" ca="1">_xll.BDP($B6&amp;" Equity","mid")</f>
        <v>#NAME?</v>
      </c>
      <c r="M6" s="74" t="e">
        <f t="shared" ca="1" si="0"/>
        <v>#NAME?</v>
      </c>
      <c r="N6" s="279"/>
      <c r="O6" s="74" t="e">
        <f t="shared" ca="1" si="1"/>
        <v>#NAME?</v>
      </c>
      <c r="P6" s="73" t="e" cm="1">
        <f t="array" aca="1" ref="P6" ca="1">_xll.BDP($B6&amp;" Equity","bid")</f>
        <v>#NAME?</v>
      </c>
      <c r="Q6" s="73" t="e" cm="1">
        <f t="array" aca="1" ref="Q6" ca="1">_xll.BDP($B6&amp;" Equity","ask")</f>
        <v>#NAME?</v>
      </c>
      <c r="R6" s="75" t="e">
        <f t="shared" ca="1" si="2"/>
        <v>#NAME?</v>
      </c>
      <c r="S6" s="35" t="e" cm="1">
        <f t="array" aca="1" ref="S6" ca="1">_xll.BDP(G6&amp;" Curncy","PX_LAST")</f>
        <v>#NAME?</v>
      </c>
      <c r="T6" s="41" t="e" cm="1">
        <f t="array" aca="1" ref="T6" ca="1">_xll.BDP(B6&amp;" Equity","OPT_MULTIPLIER")</f>
        <v>#NAME?</v>
      </c>
      <c r="U6" s="41" t="e">
        <f t="shared" ca="1" si="3"/>
        <v>#NAME?</v>
      </c>
      <c r="V6" s="111" t="e">
        <f ca="1">U6/'Master P&amp;L'!$AD$7*10000</f>
        <v>#NAME?</v>
      </c>
      <c r="W6" s="111" t="e">
        <f ca="1">(Y6*H6*T6/S6)/'Master P&amp;L'!$AD$7*10000</f>
        <v>#NAME?</v>
      </c>
      <c r="X6" s="116" t="e">
        <f t="shared" ca="1" si="4"/>
        <v>#NAME?</v>
      </c>
      <c r="Y6" s="201" t="e">
        <f t="shared" ca="1" si="5"/>
        <v>#NAME?</v>
      </c>
      <c r="Z6" s="76" t="e">
        <f ca="1">_xll.BDP(D6&amp;" Equity","LAST_PRICE")</f>
        <v>#NAME?</v>
      </c>
      <c r="AA6" s="76" t="e" cm="1">
        <f t="array" aca="1" ref="AA6" ca="1">_xll.BDP(B6&amp;" Equity","OPT_STRIKE_PX")</f>
        <v>#NAME?</v>
      </c>
      <c r="AB6" s="75" t="e">
        <f t="shared" ca="1" si="6"/>
        <v>#NAME?</v>
      </c>
      <c r="AC6" s="251" t="e" cm="1">
        <f t="array" aca="1" ref="AC6" ca="1">_xll.BDP($D6&amp;" Equity","volatility_10d")</f>
        <v>#NAME?</v>
      </c>
      <c r="AD6" s="76" t="e" cm="1">
        <f t="array" aca="1" ref="AD6" ca="1">_xll.BDP(B6&amp;" Equity","ivol_mid")</f>
        <v>#NAME?</v>
      </c>
      <c r="AE6" s="76" t="e">
        <f t="shared" ca="1" si="7"/>
        <v>#NAME?</v>
      </c>
      <c r="AF6" s="77" t="e" cm="1">
        <f t="array" aca="1" ref="AF6" ca="1">_xll.BDP(B6&amp;" Equity","DELTA_MID_RT")</f>
        <v>#NAME?</v>
      </c>
      <c r="AG6" s="74" t="e">
        <f ca="1">AL6/'Master P&amp;L'!$AE$7</f>
        <v>#NAME?</v>
      </c>
      <c r="AH6" s="74" t="e">
        <f ca="1">AM6/'Master P&amp;L'!$AE$7</f>
        <v>#NAME?</v>
      </c>
      <c r="AI6" s="353" t="e">
        <f ca="1">AO6/'Master P&amp;L'!$AD$7*10000</f>
        <v>#NAME?</v>
      </c>
      <c r="AJ6" s="277" t="e">
        <f t="shared" ca="1" si="8"/>
        <v>#NAME?</v>
      </c>
      <c r="AK6" s="77" t="e">
        <f ca="1">AP6/'Master P&amp;L'!$AD$7*10000</f>
        <v>#NAME?</v>
      </c>
      <c r="AL6" s="41" t="e">
        <f t="shared" ca="1" si="9"/>
        <v>#NAME?</v>
      </c>
      <c r="AM6" s="41" t="e">
        <f t="shared" ca="1" si="10"/>
        <v>#NAME?</v>
      </c>
      <c r="AN6" s="77" t="e" cm="1">
        <f t="array" aca="1" ref="AN6" ca="1">_xll.BDP($B6&amp;" Equity","theta_mid_rt")</f>
        <v>#NAME?</v>
      </c>
      <c r="AO6" s="41" t="e">
        <f t="shared" ca="1" si="11"/>
        <v>#NAME?</v>
      </c>
      <c r="AP6" s="41" t="e">
        <f t="shared" ca="1" si="12"/>
        <v>#NAME?</v>
      </c>
      <c r="AQ6" s="73" t="e" cm="1">
        <f t="array" aca="1" ref="AQ6" ca="1">_xll.BDP($D6&amp;" Equity","EXPECTED_REPORT_DT")</f>
        <v>#NAME?</v>
      </c>
      <c r="AR6" s="189" t="e" cm="1">
        <f t="array" aca="1" ref="AR6" ca="1">_xll.BDP($B6&amp;" Equity","GAMMA_LAST")</f>
        <v>#NAME?</v>
      </c>
      <c r="AS6" s="72" t="e">
        <f t="shared" ca="1" si="13"/>
        <v>#NAME?</v>
      </c>
      <c r="AT6" s="72" t="e">
        <f t="shared" ca="1" si="14"/>
        <v>#NAME?</v>
      </c>
      <c r="AU6" s="72" t="s">
        <v>95</v>
      </c>
      <c r="AV6" s="250" t="e" cm="1">
        <f t="array" aca="1" ref="AV6" ca="1">_xll.BDP($D6&amp;" Equity","EST_PE_NXT_YR")*(AA6/Z6)</f>
        <v>#NAME?</v>
      </c>
      <c r="AW6" s="72"/>
      <c r="AX6" s="41"/>
      <c r="AY6" s="250">
        <v>0.04</v>
      </c>
      <c r="AZ6" s="281"/>
      <c r="BA6" s="41">
        <f t="shared" si="15"/>
        <v>0.04</v>
      </c>
      <c r="BB6" s="273">
        <f t="shared" si="16"/>
        <v>7.041852690014426E-2</v>
      </c>
      <c r="BC6" s="273">
        <f t="shared" si="17"/>
        <v>6083.7053800288513</v>
      </c>
      <c r="BD6" s="273">
        <f>BC6/'Master P&amp;L'!$AD$7*10000</f>
        <v>2.4099986842841165E-2</v>
      </c>
    </row>
    <row r="7" spans="1:56" ht="15.75" customHeight="1">
      <c r="A7" s="283"/>
      <c r="B7" t="s">
        <v>1192</v>
      </c>
      <c r="C7" t="e" cm="1">
        <f t="array" aca="1" ref="C7" ca="1">_xll.BDP($B7&amp;" Equity","opt_put_call")</f>
        <v>#NAME?</v>
      </c>
      <c r="D7" t="e" cm="1">
        <f t="array" aca="1" ref="D7" ca="1">_xll.BDP(B7&amp;" Equity","OPT_UNDL_TICKER")</f>
        <v>#NAME?</v>
      </c>
      <c r="E7" t="e" cm="1">
        <f t="array" aca="1" ref="E7" ca="1">_xll.BDP($B7&amp;" Equity","mifid_Maturity_date")</f>
        <v>#NAME?</v>
      </c>
      <c r="F7" t="e" cm="1">
        <f t="array" aca="1" ref="F7" ca="1">_xll.BDP($B7&amp;" Equity","opt_days_expire")</f>
        <v>#NAME?</v>
      </c>
      <c r="G7" t="e" cm="1">
        <f t="array" aca="1" ref="G7" ca="1">_xll.BDP(B7&amp;" Equity","QUOTED_CURRENCY_REALTIME")</f>
        <v>#NAME?</v>
      </c>
      <c r="H7" s="15">
        <v>500</v>
      </c>
      <c r="I7" s="336">
        <v>0.21</v>
      </c>
      <c r="J7" s="14">
        <f>VLOOKUP(B7,Precificação!$B:$O,14,FALSE)</f>
        <v>0.19151581226952136</v>
      </c>
      <c r="K7" s="73">
        <f t="shared" si="18"/>
        <v>0.19151581226952136</v>
      </c>
      <c r="L7" s="35" t="e" cm="1">
        <f t="array" aca="1" ref="L7" ca="1">_xll.BDP($B7&amp;" Equity","mid")</f>
        <v>#NAME?</v>
      </c>
      <c r="M7" s="18" t="e">
        <f t="shared" ca="1" si="0"/>
        <v>#NAME?</v>
      </c>
      <c r="N7" s="277"/>
      <c r="O7" s="18" t="e">
        <f t="shared" ca="1" si="1"/>
        <v>#NAME?</v>
      </c>
      <c r="P7" s="35" t="e" cm="1">
        <f t="array" aca="1" ref="P7" ca="1">_xll.BDP($B7&amp;" Equity","bid")</f>
        <v>#NAME?</v>
      </c>
      <c r="Q7" s="35" t="e" cm="1">
        <f t="array" aca="1" ref="Q7" ca="1">_xll.BDP($B7&amp;" Equity","ask")</f>
        <v>#NAME?</v>
      </c>
      <c r="R7" s="39" t="e">
        <f t="shared" ca="1" si="2"/>
        <v>#NAME?</v>
      </c>
      <c r="S7" s="35" t="e" cm="1">
        <f t="array" aca="1" ref="S7" ca="1">_xll.BDP(G7&amp;" Curncy","PX_LAST")</f>
        <v>#NAME?</v>
      </c>
      <c r="T7" s="15" t="e" cm="1">
        <f t="array" aca="1" ref="T7" ca="1">_xll.BDP(B7&amp;" Equity","OPT_MULTIPLIER")</f>
        <v>#NAME?</v>
      </c>
      <c r="U7" s="15" t="e">
        <f t="shared" ca="1" si="3"/>
        <v>#NAME?</v>
      </c>
      <c r="V7" s="122" t="e">
        <f ca="1">U7/'Master P&amp;L'!$AD$7*10000</f>
        <v>#NAME?</v>
      </c>
      <c r="W7" s="122" t="e">
        <f ca="1">(Y7*H7*T7/S7)/'Master P&amp;L'!$AD$7*10000</f>
        <v>#NAME?</v>
      </c>
      <c r="X7" s="339" t="e">
        <f t="shared" ca="1" si="4"/>
        <v>#NAME?</v>
      </c>
      <c r="Y7" s="202" t="e">
        <f t="shared" ca="1" si="5"/>
        <v>#NAME?</v>
      </c>
      <c r="Z7" s="36" t="e">
        <f ca="1">_xll.BDP(D7&amp;" Equity","LAST_PRICE")</f>
        <v>#NAME?</v>
      </c>
      <c r="AA7" s="36" t="e" cm="1">
        <f t="array" aca="1" ref="AA7" ca="1">_xll.BDP(B7&amp;" Equity","OPT_STRIKE_PX")</f>
        <v>#NAME?</v>
      </c>
      <c r="AB7" s="39" t="e">
        <f t="shared" ca="1" si="6"/>
        <v>#NAME?</v>
      </c>
      <c r="AC7" s="252" t="e" cm="1">
        <f t="array" aca="1" ref="AC7" ca="1">_xll.BDP($D7&amp;" Equity","volatility_10d")</f>
        <v>#NAME?</v>
      </c>
      <c r="AD7" s="36" t="e" cm="1">
        <f t="array" aca="1" ref="AD7" ca="1">_xll.BDP(B7&amp;" Equity","ivol_mid")</f>
        <v>#NAME?</v>
      </c>
      <c r="AE7" s="36" t="e">
        <f t="shared" ca="1" si="7"/>
        <v>#NAME?</v>
      </c>
      <c r="AF7" s="37" t="e" cm="1">
        <f t="array" aca="1" ref="AF7" ca="1">_xll.BDP(B7&amp;" Equity","DELTA_MID_RT")</f>
        <v>#NAME?</v>
      </c>
      <c r="AG7" s="18" t="e">
        <f ca="1">AL7/'Master P&amp;L'!$AE$7</f>
        <v>#NAME?</v>
      </c>
      <c r="AH7" s="18" t="e">
        <f ca="1">AM7/'Master P&amp;L'!$AE$7</f>
        <v>#NAME?</v>
      </c>
      <c r="AI7" s="352" t="e">
        <f ca="1">AO7/'Master P&amp;L'!$AD$7*10000</f>
        <v>#NAME?</v>
      </c>
      <c r="AJ7" s="277" t="e">
        <f t="shared" ca="1" si="8"/>
        <v>#NAME?</v>
      </c>
      <c r="AK7" s="37" t="e">
        <f ca="1">AP7/'Master P&amp;L'!$AD$7*10000</f>
        <v>#NAME?</v>
      </c>
      <c r="AL7" s="15" t="e">
        <f t="shared" ca="1" si="9"/>
        <v>#NAME?</v>
      </c>
      <c r="AM7" s="15" t="e">
        <f t="shared" ca="1" si="10"/>
        <v>#NAME?</v>
      </c>
      <c r="AN7" s="37" t="e" cm="1">
        <f t="array" aca="1" ref="AN7" ca="1">_xll.BDP($B7&amp;" Equity","theta_mid_rt")</f>
        <v>#NAME?</v>
      </c>
      <c r="AO7" s="15" t="e">
        <f t="shared" ca="1" si="11"/>
        <v>#NAME?</v>
      </c>
      <c r="AP7" s="15" t="e">
        <f t="shared" ca="1" si="12"/>
        <v>#NAME?</v>
      </c>
      <c r="AQ7" s="35" t="e" cm="1">
        <f t="array" aca="1" ref="AQ7" ca="1">_xll.BDP($D7&amp;" Equity","EXPECTED_REPORT_DT")</f>
        <v>#NAME?</v>
      </c>
      <c r="AR7" s="65" t="e" cm="1">
        <f t="array" aca="1" ref="AR7" ca="1">_xll.BDP($B7&amp;" Equity","GAMMA_LAST")</f>
        <v>#NAME?</v>
      </c>
      <c r="AS7" t="e">
        <f t="shared" ca="1" si="13"/>
        <v>#NAME?</v>
      </c>
      <c r="AT7" t="e">
        <f t="shared" ca="1" si="14"/>
        <v>#NAME?</v>
      </c>
      <c r="AU7" t="s">
        <v>95</v>
      </c>
      <c r="AV7" s="206" t="e" cm="1">
        <f t="array" aca="1" ref="AV7" ca="1">_xll.BDP($D7&amp;" Equity","EST_PE_NXT_YR")*(AA7/Z7)</f>
        <v>#NAME?</v>
      </c>
      <c r="AX7" s="15"/>
      <c r="AY7" s="206">
        <v>0.4</v>
      </c>
      <c r="AZ7" s="282"/>
      <c r="BA7" s="15">
        <f t="shared" si="15"/>
        <v>0.4</v>
      </c>
      <c r="BB7" s="340">
        <f t="shared" si="16"/>
        <v>0.19151581226952136</v>
      </c>
      <c r="BC7" s="340">
        <f t="shared" si="17"/>
        <v>-10424.209386523933</v>
      </c>
      <c r="BD7" s="340">
        <f>BC7/'Master P&amp;L'!$AD$7*10000</f>
        <v>-4.1294456810309375E-2</v>
      </c>
    </row>
    <row r="8" spans="1:56" ht="15.75" customHeight="1">
      <c r="A8" s="263"/>
      <c r="B8" s="72" t="s">
        <v>766</v>
      </c>
      <c r="C8" s="72" t="e" cm="1">
        <f t="array" aca="1" ref="C8" ca="1">_xll.BDP($B8&amp;" Equity","opt_put_call")</f>
        <v>#NAME?</v>
      </c>
      <c r="D8" s="72" t="e" cm="1">
        <f t="array" aca="1" ref="D8" ca="1">_xll.BDP(B8&amp;" Equity","OPT_UNDL_TICKER")</f>
        <v>#NAME?</v>
      </c>
      <c r="E8" s="72" t="e" cm="1">
        <f t="array" aca="1" ref="E8" ca="1">_xll.BDP($B8&amp;" Equity","mifid_Maturity_date")</f>
        <v>#NAME?</v>
      </c>
      <c r="F8" s="72" t="e" cm="1">
        <f t="array" aca="1" ref="F8" ca="1">_xll.BDP($B8&amp;" Equity","opt_days_expire")</f>
        <v>#NAME?</v>
      </c>
      <c r="G8" s="72" t="e" cm="1">
        <f t="array" aca="1" ref="G8" ca="1">_xll.BDP(B8&amp;" Equity","QUOTED_CURRENCY_REALTIME")</f>
        <v>#NAME?</v>
      </c>
      <c r="H8" s="41">
        <v>120</v>
      </c>
      <c r="I8" s="335">
        <v>37.5</v>
      </c>
      <c r="J8" s="14">
        <f>VLOOKUP(B8,Precificação!$B:$O,14,FALSE)</f>
        <v>41.875</v>
      </c>
      <c r="K8" s="73">
        <f t="shared" si="18"/>
        <v>41.875</v>
      </c>
      <c r="L8" s="73" t="e" cm="1">
        <f t="array" aca="1" ref="L8" ca="1">_xll.BDP($B8&amp;" Equity","mid")</f>
        <v>#NAME?</v>
      </c>
      <c r="M8" s="74" t="e">
        <f t="shared" ca="1" si="0"/>
        <v>#NAME?</v>
      </c>
      <c r="N8" s="279"/>
      <c r="O8" s="74" t="e">
        <f t="shared" ca="1" si="1"/>
        <v>#NAME?</v>
      </c>
      <c r="P8" s="73" t="e" cm="1">
        <f t="array" aca="1" ref="P8" ca="1">_xll.BDP($B8&amp;" Equity","bid")</f>
        <v>#NAME?</v>
      </c>
      <c r="Q8" s="73" t="e" cm="1">
        <f t="array" aca="1" ref="Q8" ca="1">_xll.BDP($B8&amp;" Equity","ask")</f>
        <v>#NAME?</v>
      </c>
      <c r="R8" s="75" t="e">
        <f t="shared" ca="1" si="2"/>
        <v>#NAME?</v>
      </c>
      <c r="S8" s="35" t="e" cm="1">
        <f t="array" aca="1" ref="S8" ca="1">_xll.BDP(G8&amp;" Curncy","PX_LAST")</f>
        <v>#NAME?</v>
      </c>
      <c r="T8" s="41" t="e" cm="1">
        <f t="array" aca="1" ref="T8" ca="1">_xll.BDP(B8&amp;" Equity","OPT_MULTIPLIER")</f>
        <v>#NAME?</v>
      </c>
      <c r="U8" s="41" t="e">
        <f t="shared" ca="1" si="3"/>
        <v>#NAME?</v>
      </c>
      <c r="V8" s="111" t="e">
        <f ca="1">U8/'Master P&amp;L'!$AD$7*10000</f>
        <v>#NAME?</v>
      </c>
      <c r="W8" s="111" t="e">
        <f ca="1">(Y8*H8*T8/S8)/'Master P&amp;L'!$AD$7*10000</f>
        <v>#NAME?</v>
      </c>
      <c r="X8" s="116" t="e">
        <f t="shared" ca="1" si="4"/>
        <v>#NAME?</v>
      </c>
      <c r="Y8" s="201" t="e">
        <f t="shared" ca="1" si="5"/>
        <v>#NAME?</v>
      </c>
      <c r="Z8" s="76" t="e">
        <f ca="1">_xll.BDP(D8&amp;" Equity","LAST_PRICE")</f>
        <v>#NAME?</v>
      </c>
      <c r="AA8" s="76" t="e" cm="1">
        <f t="array" aca="1" ref="AA8" ca="1">_xll.BDP(B8&amp;" Equity","OPT_STRIKE_PX")</f>
        <v>#NAME?</v>
      </c>
      <c r="AB8" s="75" t="e">
        <f t="shared" ca="1" si="6"/>
        <v>#NAME?</v>
      </c>
      <c r="AC8" s="251" t="e" cm="1">
        <f t="array" aca="1" ref="AC8" ca="1">_xll.BDP($D8&amp;" Equity","volatility_10d")</f>
        <v>#NAME?</v>
      </c>
      <c r="AD8" s="76" t="e" cm="1">
        <f t="array" aca="1" ref="AD8" ca="1">_xll.BDP(B8&amp;" Equity","ivol_mid")</f>
        <v>#NAME?</v>
      </c>
      <c r="AE8" s="76" t="e">
        <f t="shared" ca="1" si="7"/>
        <v>#NAME?</v>
      </c>
      <c r="AF8" s="77" t="e" cm="1">
        <f t="array" aca="1" ref="AF8" ca="1">_xll.BDP(B8&amp;" Equity","DELTA_MID_RT")</f>
        <v>#NAME?</v>
      </c>
      <c r="AG8" s="74" t="e">
        <f ca="1">AL8/'Master P&amp;L'!$AE$7</f>
        <v>#NAME?</v>
      </c>
      <c r="AH8" s="74" t="e">
        <f ca="1">AM8/'Master P&amp;L'!$AE$7</f>
        <v>#NAME?</v>
      </c>
      <c r="AI8" s="353" t="e">
        <f ca="1">AO8/'Master P&amp;L'!$AD$7*10000</f>
        <v>#NAME?</v>
      </c>
      <c r="AJ8" s="277" t="e">
        <f t="shared" ca="1" si="8"/>
        <v>#NAME?</v>
      </c>
      <c r="AK8" s="77" t="e">
        <f ca="1">AP8/'Master P&amp;L'!$AD$7*10000</f>
        <v>#NAME?</v>
      </c>
      <c r="AL8" s="41" t="e">
        <f t="shared" ca="1" si="9"/>
        <v>#NAME?</v>
      </c>
      <c r="AM8" s="41" t="e">
        <f t="shared" ca="1" si="10"/>
        <v>#NAME?</v>
      </c>
      <c r="AN8" s="77" t="e" cm="1">
        <f t="array" aca="1" ref="AN8" ca="1">_xll.BDP($B8&amp;" Equity","theta_mid_rt")</f>
        <v>#NAME?</v>
      </c>
      <c r="AO8" s="41" t="e">
        <f t="shared" ca="1" si="11"/>
        <v>#NAME?</v>
      </c>
      <c r="AP8" s="41" t="e">
        <f t="shared" ca="1" si="12"/>
        <v>#NAME?</v>
      </c>
      <c r="AQ8" s="73" t="e" cm="1">
        <f t="array" aca="1" ref="AQ8" ca="1">_xll.BDP($D8&amp;" Equity","EXPECTED_REPORT_DT")</f>
        <v>#NAME?</v>
      </c>
      <c r="AR8" s="189" t="e" cm="1">
        <f t="array" aca="1" ref="AR8" ca="1">_xll.BDP($B8&amp;" Equity","GAMMA_LAST")</f>
        <v>#NAME?</v>
      </c>
      <c r="AS8" s="72" t="e">
        <f t="shared" ca="1" si="13"/>
        <v>#NAME?</v>
      </c>
      <c r="AT8" s="72" t="e">
        <f t="shared" ca="1" si="14"/>
        <v>#NAME?</v>
      </c>
      <c r="AU8" s="72" t="s">
        <v>95</v>
      </c>
      <c r="AV8" s="250" t="e" cm="1">
        <f t="array" aca="1" ref="AV8" ca="1">_xll.BDP($D8&amp;" Equity","EST_PE_NXT_YR")*(AA8/Z8)</f>
        <v>#NAME?</v>
      </c>
      <c r="AW8" s="72"/>
      <c r="AX8" s="41"/>
      <c r="AY8" s="250">
        <v>35.75</v>
      </c>
      <c r="AZ8" s="281"/>
      <c r="BA8" s="41">
        <f t="shared" si="15"/>
        <v>35.75</v>
      </c>
      <c r="BB8" s="273">
        <f t="shared" si="16"/>
        <v>41.875</v>
      </c>
      <c r="BC8" s="273">
        <f t="shared" si="17"/>
        <v>73500</v>
      </c>
      <c r="BD8" s="273">
        <f>BC8/'Master P&amp;L'!$AD$7*10000</f>
        <v>0.2911628559074676</v>
      </c>
    </row>
    <row r="9" spans="1:56" ht="15.75" customHeight="1">
      <c r="A9" s="283"/>
      <c r="B9" t="s">
        <v>1194</v>
      </c>
      <c r="C9" t="e" cm="1">
        <f t="array" aca="1" ref="C9" ca="1">_xll.BDP($B9&amp;" Equity","opt_put_call")</f>
        <v>#NAME?</v>
      </c>
      <c r="D9" t="e" cm="1">
        <f t="array" aca="1" ref="D9" ca="1">_xll.BDP(B9&amp;" Equity","OPT_UNDL_TICKER")</f>
        <v>#NAME?</v>
      </c>
      <c r="E9" t="e" cm="1">
        <f t="array" aca="1" ref="E9" ca="1">_xll.BDP($B9&amp;" Equity","mifid_Maturity_date")</f>
        <v>#NAME?</v>
      </c>
      <c r="F9" t="e" cm="1">
        <f t="array" aca="1" ref="F9" ca="1">_xll.BDP($B9&amp;" Equity","opt_days_expire")</f>
        <v>#NAME?</v>
      </c>
      <c r="G9" t="e" cm="1">
        <f t="array" aca="1" ref="G9" ca="1">_xll.BDP(B9&amp;" Equity","QUOTED_CURRENCY_REALTIME")</f>
        <v>#NAME?</v>
      </c>
      <c r="H9" s="15">
        <v>1000</v>
      </c>
      <c r="I9" s="336">
        <v>1.52</v>
      </c>
      <c r="J9" s="14">
        <f>VLOOKUP(B9,Precificação!$B:$O,14,FALSE)</f>
        <v>1.3</v>
      </c>
      <c r="K9" s="73">
        <f t="shared" si="18"/>
        <v>1.3</v>
      </c>
      <c r="L9" s="35" t="e" cm="1">
        <f t="array" aca="1" ref="L9" ca="1">_xll.BDP($B9&amp;" Equity","mid")</f>
        <v>#NAME?</v>
      </c>
      <c r="M9" s="18" t="e">
        <f t="shared" ca="1" si="0"/>
        <v>#NAME?</v>
      </c>
      <c r="N9" s="277"/>
      <c r="O9" s="18" t="e">
        <f t="shared" ca="1" si="1"/>
        <v>#NAME?</v>
      </c>
      <c r="P9" s="35" t="e" cm="1">
        <f t="array" aca="1" ref="P9" ca="1">_xll.BDP($B9&amp;" Equity","bid")</f>
        <v>#NAME?</v>
      </c>
      <c r="Q9" s="35" t="e" cm="1">
        <f t="array" aca="1" ref="Q9" ca="1">_xll.BDP($B9&amp;" Equity","ask")</f>
        <v>#NAME?</v>
      </c>
      <c r="R9" s="39" t="e">
        <f t="shared" ca="1" si="2"/>
        <v>#NAME?</v>
      </c>
      <c r="S9" s="35" t="e" cm="1">
        <f t="array" aca="1" ref="S9" ca="1">_xll.BDP(G9&amp;" Curncy","PX_LAST")</f>
        <v>#NAME?</v>
      </c>
      <c r="T9" s="15" t="e" cm="1">
        <f t="array" aca="1" ref="T9" ca="1">_xll.BDP(B9&amp;" Equity","OPT_MULTIPLIER")</f>
        <v>#NAME?</v>
      </c>
      <c r="U9" s="15" t="e">
        <f t="shared" ca="1" si="3"/>
        <v>#NAME?</v>
      </c>
      <c r="V9" s="122" t="e">
        <f ca="1">U9/'Master P&amp;L'!$AD$7*10000</f>
        <v>#NAME?</v>
      </c>
      <c r="W9" s="122" t="e">
        <f ca="1">(Y9*H9*T9/S9)/'Master P&amp;L'!$AD$7*10000</f>
        <v>#NAME?</v>
      </c>
      <c r="X9" s="339" t="e">
        <f t="shared" ca="1" si="4"/>
        <v>#NAME?</v>
      </c>
      <c r="Y9" s="202" t="e">
        <f t="shared" ca="1" si="5"/>
        <v>#NAME?</v>
      </c>
      <c r="Z9" s="36" t="e">
        <f ca="1">_xll.BDP(D9&amp;" Equity","LAST_PRICE")</f>
        <v>#NAME?</v>
      </c>
      <c r="AA9" s="36" t="e" cm="1">
        <f t="array" aca="1" ref="AA9" ca="1">_xll.BDP(B9&amp;" Equity","OPT_STRIKE_PX")</f>
        <v>#NAME?</v>
      </c>
      <c r="AB9" s="39" t="e">
        <f t="shared" ca="1" si="6"/>
        <v>#NAME?</v>
      </c>
      <c r="AC9" s="252" t="e" cm="1">
        <f t="array" aca="1" ref="AC9" ca="1">_xll.BDP($D9&amp;" Equity","volatility_10d")</f>
        <v>#NAME?</v>
      </c>
      <c r="AD9" s="36" t="e" cm="1">
        <f t="array" aca="1" ref="AD9" ca="1">_xll.BDP(B9&amp;" Equity","ivol_mid")</f>
        <v>#NAME?</v>
      </c>
      <c r="AE9" s="36" t="e">
        <f t="shared" ca="1" si="7"/>
        <v>#NAME?</v>
      </c>
      <c r="AF9" s="37" t="e" cm="1">
        <f t="array" aca="1" ref="AF9" ca="1">_xll.BDP(B9&amp;" Equity","DELTA_MID_RT")</f>
        <v>#NAME?</v>
      </c>
      <c r="AG9" s="18" t="e">
        <f ca="1">AL9/'Master P&amp;L'!$AE$7</f>
        <v>#NAME?</v>
      </c>
      <c r="AH9" s="18" t="e">
        <f ca="1">AM9/'Master P&amp;L'!$AE$7</f>
        <v>#NAME?</v>
      </c>
      <c r="AI9" s="352" t="e">
        <f ca="1">AO9/'Master P&amp;L'!$AD$7*10000</f>
        <v>#NAME?</v>
      </c>
      <c r="AJ9" s="277" t="e">
        <f t="shared" ca="1" si="8"/>
        <v>#NAME?</v>
      </c>
      <c r="AK9" s="37" t="e">
        <f ca="1">AP9/'Master P&amp;L'!$AD$7*10000</f>
        <v>#NAME?</v>
      </c>
      <c r="AL9" s="15" t="e">
        <f t="shared" ca="1" si="9"/>
        <v>#NAME?</v>
      </c>
      <c r="AM9" s="15" t="e">
        <f t="shared" ca="1" si="10"/>
        <v>#NAME?</v>
      </c>
      <c r="AN9" s="37" t="e" cm="1">
        <f t="array" aca="1" ref="AN9" ca="1">_xll.BDP($B9&amp;" Equity","theta_mid_rt")</f>
        <v>#NAME?</v>
      </c>
      <c r="AO9" s="15" t="e">
        <f t="shared" ca="1" si="11"/>
        <v>#NAME?</v>
      </c>
      <c r="AP9" s="15" t="e">
        <f t="shared" ca="1" si="12"/>
        <v>#NAME?</v>
      </c>
      <c r="AQ9" s="35" t="e" cm="1">
        <f t="array" aca="1" ref="AQ9" ca="1">_xll.BDP($D9&amp;" Equity","EXPECTED_REPORT_DT")</f>
        <v>#NAME?</v>
      </c>
      <c r="AR9" s="65" t="e" cm="1">
        <f t="array" aca="1" ref="AR9" ca="1">_xll.BDP($B9&amp;" Equity","GAMMA_LAST")</f>
        <v>#NAME?</v>
      </c>
      <c r="AS9" t="e">
        <f t="shared" ca="1" si="13"/>
        <v>#NAME?</v>
      </c>
      <c r="AT9" t="e">
        <f t="shared" ca="1" si="14"/>
        <v>#NAME?</v>
      </c>
      <c r="AU9" t="s">
        <v>95</v>
      </c>
      <c r="AV9" s="206" t="e" cm="1">
        <f t="array" aca="1" ref="AV9" ca="1">_xll.BDP($D9&amp;" Equity","EST_PE_NXT_YR")*(AA9/Z9)</f>
        <v>#NAME?</v>
      </c>
      <c r="AX9" s="15"/>
      <c r="AY9" s="206">
        <v>0.14000000000000001</v>
      </c>
      <c r="AZ9" s="282"/>
      <c r="BA9" s="15">
        <f t="shared" si="15"/>
        <v>0.14000000000000001</v>
      </c>
      <c r="BB9" s="340">
        <f t="shared" si="16"/>
        <v>1.3</v>
      </c>
      <c r="BC9" s="340">
        <f t="shared" si="17"/>
        <v>116000.00000000003</v>
      </c>
      <c r="BD9" s="340">
        <f>BC9/'Master P&amp;L'!$AD$7*10000</f>
        <v>0.4595223304117857</v>
      </c>
    </row>
    <row r="10" spans="1:56" ht="15.75" customHeight="1">
      <c r="A10" s="263"/>
      <c r="B10" s="72" t="s">
        <v>1193</v>
      </c>
      <c r="C10" s="72" t="e" cm="1">
        <f t="array" aca="1" ref="C10" ca="1">_xll.BDP($B10&amp;" Equity","opt_put_call")</f>
        <v>#NAME?</v>
      </c>
      <c r="D10" s="72" t="e" cm="1">
        <f t="array" aca="1" ref="D10" ca="1">_xll.BDP(B10&amp;" Equity","OPT_UNDL_TICKER")</f>
        <v>#NAME?</v>
      </c>
      <c r="E10" s="72" t="e" cm="1">
        <f t="array" aca="1" ref="E10" ca="1">_xll.BDP($B10&amp;" Equity","mifid_Maturity_date")</f>
        <v>#NAME?</v>
      </c>
      <c r="F10" s="72" t="e" cm="1">
        <f t="array" aca="1" ref="F10" ca="1">_xll.BDP($B10&amp;" Equity","opt_days_expire")</f>
        <v>#NAME?</v>
      </c>
      <c r="G10" s="72" t="e" cm="1">
        <f t="array" aca="1" ref="G10" ca="1">_xll.BDP(B10&amp;" Equity","QUOTED_CURRENCY_REALTIME")</f>
        <v>#NAME?</v>
      </c>
      <c r="H10" s="41">
        <v>-1000</v>
      </c>
      <c r="I10" s="335">
        <v>0.69</v>
      </c>
      <c r="J10" s="14">
        <f>VLOOKUP(B10,Precificação!$B:$O,14,FALSE)</f>
        <v>0.66500000000000004</v>
      </c>
      <c r="K10" s="73">
        <f t="shared" si="18"/>
        <v>0.66500000000000004</v>
      </c>
      <c r="L10" s="73" t="e" cm="1">
        <f t="array" aca="1" ref="L10" ca="1">_xll.BDP($B10&amp;" Equity","mid")</f>
        <v>#NAME?</v>
      </c>
      <c r="M10" s="74" t="e">
        <f t="shared" ca="1" si="0"/>
        <v>#NAME?</v>
      </c>
      <c r="N10" s="279"/>
      <c r="O10" s="74" t="e">
        <f t="shared" ca="1" si="1"/>
        <v>#NAME?</v>
      </c>
      <c r="P10" s="73" t="e" cm="1">
        <f t="array" aca="1" ref="P10" ca="1">_xll.BDP($B10&amp;" Equity","bid")</f>
        <v>#NAME?</v>
      </c>
      <c r="Q10" s="73" t="e" cm="1">
        <f t="array" aca="1" ref="Q10" ca="1">_xll.BDP($B10&amp;" Equity","ask")</f>
        <v>#NAME?</v>
      </c>
      <c r="R10" s="75" t="e">
        <f t="shared" ca="1" si="2"/>
        <v>#NAME?</v>
      </c>
      <c r="S10" s="35" t="e" cm="1">
        <f t="array" aca="1" ref="S10" ca="1">_xll.BDP(G10&amp;" Curncy","PX_LAST")</f>
        <v>#NAME?</v>
      </c>
      <c r="T10" s="41" t="e" cm="1">
        <f t="array" aca="1" ref="T10" ca="1">_xll.BDP(B10&amp;" Equity","OPT_MULTIPLIER")</f>
        <v>#NAME?</v>
      </c>
      <c r="U10" s="41" t="e">
        <f t="shared" ca="1" si="3"/>
        <v>#NAME?</v>
      </c>
      <c r="V10" s="111" t="e">
        <f ca="1">U10/'Master P&amp;L'!$AD$7*10000</f>
        <v>#NAME?</v>
      </c>
      <c r="W10" s="111" t="e">
        <f ca="1">(Y10*H10*T10/S10)/'Master P&amp;L'!$AD$7*10000</f>
        <v>#NAME?</v>
      </c>
      <c r="X10" s="116" t="e">
        <f t="shared" ca="1" si="4"/>
        <v>#NAME?</v>
      </c>
      <c r="Y10" s="201" t="e">
        <f t="shared" ca="1" si="5"/>
        <v>#NAME?</v>
      </c>
      <c r="Z10" s="76" t="e">
        <f ca="1">_xll.BDP(D10&amp;" Equity","LAST_PRICE")</f>
        <v>#NAME?</v>
      </c>
      <c r="AA10" s="76" t="e" cm="1">
        <f t="array" aca="1" ref="AA10" ca="1">_xll.BDP(B10&amp;" Equity","OPT_STRIKE_PX")</f>
        <v>#NAME?</v>
      </c>
      <c r="AB10" s="75" t="e">
        <f t="shared" ca="1" si="6"/>
        <v>#NAME?</v>
      </c>
      <c r="AC10" s="251" t="e" cm="1">
        <f t="array" aca="1" ref="AC10" ca="1">_xll.BDP($D10&amp;" Equity","volatility_10d")</f>
        <v>#NAME?</v>
      </c>
      <c r="AD10" s="76" t="e" cm="1">
        <f t="array" aca="1" ref="AD10" ca="1">_xll.BDP(B10&amp;" Equity","ivol_mid")</f>
        <v>#NAME?</v>
      </c>
      <c r="AE10" s="76" t="e">
        <f t="shared" ca="1" si="7"/>
        <v>#NAME?</v>
      </c>
      <c r="AF10" s="77" t="e" cm="1">
        <f t="array" aca="1" ref="AF10" ca="1">_xll.BDP(B10&amp;" Equity","DELTA_MID_RT")</f>
        <v>#NAME?</v>
      </c>
      <c r="AG10" s="74" t="e">
        <f ca="1">AL10/'Master P&amp;L'!$AE$7</f>
        <v>#NAME?</v>
      </c>
      <c r="AH10" s="74" t="e">
        <f ca="1">AM10/'Master P&amp;L'!$AE$7</f>
        <v>#NAME?</v>
      </c>
      <c r="AI10" s="353" t="e">
        <f ca="1">AO10/'Master P&amp;L'!$AD$7*10000</f>
        <v>#NAME?</v>
      </c>
      <c r="AJ10" s="277" t="e">
        <f t="shared" ca="1" si="8"/>
        <v>#NAME?</v>
      </c>
      <c r="AK10" s="77" t="e">
        <f ca="1">AP10/'Master P&amp;L'!$AD$7*10000</f>
        <v>#NAME?</v>
      </c>
      <c r="AL10" s="41" t="e">
        <f t="shared" ca="1" si="9"/>
        <v>#NAME?</v>
      </c>
      <c r="AM10" s="41" t="e">
        <f t="shared" ca="1" si="10"/>
        <v>#NAME?</v>
      </c>
      <c r="AN10" s="77" t="e" cm="1">
        <f t="array" aca="1" ref="AN10" ca="1">_xll.BDP($B10&amp;" Equity","theta_mid_rt")</f>
        <v>#NAME?</v>
      </c>
      <c r="AO10" s="41" t="e">
        <f t="shared" ca="1" si="11"/>
        <v>#NAME?</v>
      </c>
      <c r="AP10" s="41" t="e">
        <f t="shared" ca="1" si="12"/>
        <v>#NAME?</v>
      </c>
      <c r="AQ10" s="73" t="e" cm="1">
        <f t="array" aca="1" ref="AQ10" ca="1">_xll.BDP($D10&amp;" Equity","EXPECTED_REPORT_DT")</f>
        <v>#NAME?</v>
      </c>
      <c r="AR10" s="189" t="e" cm="1">
        <f t="array" aca="1" ref="AR10" ca="1">_xll.BDP($B10&amp;" Equity","GAMMA_LAST")</f>
        <v>#NAME?</v>
      </c>
      <c r="AS10" s="72" t="e">
        <f t="shared" ca="1" si="13"/>
        <v>#NAME?</v>
      </c>
      <c r="AT10" s="72" t="e">
        <f t="shared" ca="1" si="14"/>
        <v>#NAME?</v>
      </c>
      <c r="AU10" s="72" t="s">
        <v>95</v>
      </c>
      <c r="AV10" s="250" t="e" cm="1">
        <f t="array" aca="1" ref="AV10" ca="1">_xll.BDP($D10&amp;" Equity","EST_PE_NXT_YR")*(AA10/Z10)</f>
        <v>#NAME?</v>
      </c>
      <c r="AW10" s="72"/>
      <c r="AX10" s="41"/>
      <c r="AY10" s="250">
        <v>0.11</v>
      </c>
      <c r="AZ10" s="281"/>
      <c r="BA10" s="41">
        <f t="shared" si="15"/>
        <v>0.11</v>
      </c>
      <c r="BB10" s="273">
        <f t="shared" si="16"/>
        <v>0.66500000000000004</v>
      </c>
      <c r="BC10" s="273">
        <f t="shared" si="17"/>
        <v>-55500</v>
      </c>
      <c r="BD10" s="273">
        <f>BC10/'Master P&amp;L'!$AD$7*10000</f>
        <v>-0.21985766670563878</v>
      </c>
    </row>
    <row r="11" spans="1:56" ht="15.75" customHeight="1">
      <c r="A11" s="283"/>
      <c r="B11" t="s">
        <v>1227</v>
      </c>
      <c r="C11" t="e" cm="1">
        <f t="array" aca="1" ref="C11" ca="1">_xll.BDP($B11&amp;" Equity","opt_put_call")</f>
        <v>#NAME?</v>
      </c>
      <c r="D11" t="e" cm="1">
        <f t="array" aca="1" ref="D11" ca="1">_xll.BDP(B11&amp;" Equity","OPT_UNDL_TICKER")</f>
        <v>#NAME?</v>
      </c>
      <c r="E11" t="e" cm="1">
        <f t="array" aca="1" ref="E11" ca="1">_xll.BDP($B11&amp;" Equity","mifid_Maturity_date")</f>
        <v>#NAME?</v>
      </c>
      <c r="F11" t="e" cm="1">
        <f t="array" aca="1" ref="F11" ca="1">_xll.BDP($B11&amp;" Equity","opt_days_expire")</f>
        <v>#NAME?</v>
      </c>
      <c r="G11" t="e" cm="1">
        <f t="array" aca="1" ref="G11" ca="1">_xll.BDP(B11&amp;" Equity","QUOTED_CURRENCY_REALTIME")</f>
        <v>#NAME?</v>
      </c>
      <c r="H11" s="15">
        <v>-500</v>
      </c>
      <c r="I11" s="336">
        <v>1.89</v>
      </c>
      <c r="J11" s="14">
        <f>VLOOKUP(B11,Precificação!$B:$O,14,FALSE)</f>
        <v>2.02</v>
      </c>
      <c r="K11" s="73">
        <f t="shared" si="18"/>
        <v>2.02</v>
      </c>
      <c r="L11" s="35" t="e" cm="1">
        <f t="array" aca="1" ref="L11" ca="1">_xll.BDP($B11&amp;" Equity","mid")</f>
        <v>#NAME?</v>
      </c>
      <c r="M11" s="18" t="e">
        <f t="shared" ca="1" si="0"/>
        <v>#NAME?</v>
      </c>
      <c r="N11" s="277"/>
      <c r="O11" s="18" t="e">
        <f t="shared" ca="1" si="1"/>
        <v>#NAME?</v>
      </c>
      <c r="P11" s="35" t="e" cm="1">
        <f t="array" aca="1" ref="P11" ca="1">_xll.BDP($B11&amp;" Equity","bid")</f>
        <v>#NAME?</v>
      </c>
      <c r="Q11" s="35" t="e" cm="1">
        <f t="array" aca="1" ref="Q11" ca="1">_xll.BDP($B11&amp;" Equity","ask")</f>
        <v>#NAME?</v>
      </c>
      <c r="R11" s="39" t="e">
        <f t="shared" ca="1" si="2"/>
        <v>#NAME?</v>
      </c>
      <c r="S11" s="35" t="e" cm="1">
        <f t="array" aca="1" ref="S11" ca="1">_xll.BDP(G11&amp;" Curncy","PX_LAST")</f>
        <v>#NAME?</v>
      </c>
      <c r="T11" s="15" t="e" cm="1">
        <f t="array" aca="1" ref="T11" ca="1">_xll.BDP(B11&amp;" Equity","OPT_MULTIPLIER")</f>
        <v>#NAME?</v>
      </c>
      <c r="U11" s="15" t="e">
        <f t="shared" ca="1" si="3"/>
        <v>#NAME?</v>
      </c>
      <c r="V11" s="122" t="e">
        <f ca="1">U11/'Master P&amp;L'!$AD$7*10000</f>
        <v>#NAME?</v>
      </c>
      <c r="W11" s="122" t="e">
        <f ca="1">(Y11*H11*T11/S11)/'Master P&amp;L'!$AD$7*10000</f>
        <v>#NAME?</v>
      </c>
      <c r="X11" s="339" t="e">
        <f t="shared" ca="1" si="4"/>
        <v>#NAME?</v>
      </c>
      <c r="Y11" s="202" t="e">
        <f t="shared" ca="1" si="5"/>
        <v>#NAME?</v>
      </c>
      <c r="Z11" s="36" t="e">
        <f ca="1">_xll.BDP(D11&amp;" Equity","LAST_PRICE")</f>
        <v>#NAME?</v>
      </c>
      <c r="AA11" s="36" t="e" cm="1">
        <f t="array" aca="1" ref="AA11" ca="1">_xll.BDP(B11&amp;" Equity","OPT_STRIKE_PX")</f>
        <v>#NAME?</v>
      </c>
      <c r="AB11" s="39" t="e">
        <f t="shared" ca="1" si="6"/>
        <v>#NAME?</v>
      </c>
      <c r="AC11" s="252" t="e" cm="1">
        <f t="array" aca="1" ref="AC11" ca="1">_xll.BDP($D11&amp;" Equity","volatility_10d")</f>
        <v>#NAME?</v>
      </c>
      <c r="AD11" s="36" t="e" cm="1">
        <f t="array" aca="1" ref="AD11" ca="1">_xll.BDP(B11&amp;" Equity","ivol_mid")</f>
        <v>#NAME?</v>
      </c>
      <c r="AE11" s="36" t="e">
        <f t="shared" ca="1" si="7"/>
        <v>#NAME?</v>
      </c>
      <c r="AF11" s="37" t="e" cm="1">
        <f t="array" aca="1" ref="AF11" ca="1">_xll.BDP(B11&amp;" Equity","DELTA_MID_RT")</f>
        <v>#NAME?</v>
      </c>
      <c r="AG11" s="18" t="e">
        <f ca="1">AL11/'Master P&amp;L'!$AE$7</f>
        <v>#NAME?</v>
      </c>
      <c r="AH11" s="18" t="e">
        <f ca="1">AM11/'Master P&amp;L'!$AE$7</f>
        <v>#NAME?</v>
      </c>
      <c r="AI11" s="352" t="e">
        <f ca="1">AO11/'Master P&amp;L'!$AD$7*10000</f>
        <v>#NAME?</v>
      </c>
      <c r="AJ11" s="277" t="e">
        <f t="shared" ca="1" si="8"/>
        <v>#NAME?</v>
      </c>
      <c r="AK11" s="37" t="e">
        <f ca="1">AP11/'Master P&amp;L'!$AD$7*10000</f>
        <v>#NAME?</v>
      </c>
      <c r="AL11" s="15" t="e">
        <f t="shared" ca="1" si="9"/>
        <v>#NAME?</v>
      </c>
      <c r="AM11" s="15" t="e">
        <f t="shared" ca="1" si="10"/>
        <v>#NAME?</v>
      </c>
      <c r="AN11" s="37" t="e" cm="1">
        <f t="array" aca="1" ref="AN11" ca="1">_xll.BDP($B11&amp;" Equity","theta_mid_rt")</f>
        <v>#NAME?</v>
      </c>
      <c r="AO11" s="15" t="e">
        <f t="shared" ca="1" si="11"/>
        <v>#NAME?</v>
      </c>
      <c r="AP11" s="15" t="e">
        <f t="shared" ca="1" si="12"/>
        <v>#NAME?</v>
      </c>
      <c r="AQ11" s="35" t="e" cm="1">
        <f t="array" aca="1" ref="AQ11" ca="1">_xll.BDP($D11&amp;" Equity","EXPECTED_REPORT_DT")</f>
        <v>#NAME?</v>
      </c>
      <c r="AR11" s="65" t="e" cm="1">
        <f t="array" aca="1" ref="AR11" ca="1">_xll.BDP($B11&amp;" Equity","GAMMA_LAST")</f>
        <v>#NAME?</v>
      </c>
      <c r="AS11" t="e">
        <f t="shared" ca="1" si="13"/>
        <v>#NAME?</v>
      </c>
      <c r="AT11" t="e">
        <f t="shared" ca="1" si="14"/>
        <v>#NAME?</v>
      </c>
      <c r="AU11" t="s">
        <v>95</v>
      </c>
      <c r="AV11" s="206" t="e" cm="1">
        <f t="array" aca="1" ref="AV11" ca="1">_xll.BDP($D11&amp;" Equity","EST_PE_NXT_YR")*(AA11/Z11)</f>
        <v>#NAME?</v>
      </c>
      <c r="AX11" s="15"/>
      <c r="AY11" s="206">
        <v>0.46</v>
      </c>
      <c r="AZ11" s="282"/>
      <c r="BA11" s="15">
        <f t="shared" si="15"/>
        <v>0.46</v>
      </c>
      <c r="BB11" s="340">
        <f t="shared" si="16"/>
        <v>2.02</v>
      </c>
      <c r="BC11" s="340">
        <f t="shared" si="17"/>
        <v>-78000</v>
      </c>
      <c r="BD11" s="340">
        <f>BC11/'Master P&amp;L'!$AD$7*10000</f>
        <v>-0.30898915320792475</v>
      </c>
    </row>
    <row r="12" spans="1:56" ht="15.75" customHeight="1">
      <c r="A12" s="263"/>
      <c r="B12" s="72" t="s">
        <v>971</v>
      </c>
      <c r="C12" s="72" t="e" cm="1">
        <f t="array" aca="1" ref="C12" ca="1">_xll.BDP($B12&amp;" Equity","opt_put_call")</f>
        <v>#NAME?</v>
      </c>
      <c r="D12" s="72" t="e" cm="1">
        <f t="array" aca="1" ref="D12" ca="1">_xll.BDP(B12&amp;" Equity","OPT_UNDL_TICKER")</f>
        <v>#NAME?</v>
      </c>
      <c r="E12" s="72" t="e" cm="1">
        <f t="array" aca="1" ref="E12" ca="1">_xll.BDP($B12&amp;" Equity","mifid_Maturity_date")</f>
        <v>#NAME?</v>
      </c>
      <c r="F12" s="72" t="e" cm="1">
        <f t="array" aca="1" ref="F12" ca="1">_xll.BDP($B12&amp;" Equity","opt_days_expire")</f>
        <v>#NAME?</v>
      </c>
      <c r="G12" s="72" t="e" cm="1">
        <f t="array" aca="1" ref="G12" ca="1">_xll.BDP(B12&amp;" Equity","QUOTED_CURRENCY_REALTIME")</f>
        <v>#NAME?</v>
      </c>
      <c r="H12" s="41">
        <v>300</v>
      </c>
      <c r="I12" s="335">
        <v>6.7</v>
      </c>
      <c r="J12" s="14">
        <f>VLOOKUP(B12,Precificação!$B:$O,14,FALSE)</f>
        <v>7.3000000000000007</v>
      </c>
      <c r="K12" s="73">
        <f t="shared" si="18"/>
        <v>7.3000000000000007</v>
      </c>
      <c r="L12" s="73" t="e" cm="1">
        <f t="array" aca="1" ref="L12" ca="1">_xll.BDP($B12&amp;" Equity","mid")</f>
        <v>#NAME?</v>
      </c>
      <c r="M12" s="74" t="e">
        <f t="shared" ca="1" si="0"/>
        <v>#NAME?</v>
      </c>
      <c r="N12" s="279"/>
      <c r="O12" s="74" t="e">
        <f t="shared" ca="1" si="1"/>
        <v>#NAME?</v>
      </c>
      <c r="P12" s="73" t="e" cm="1">
        <f t="array" aca="1" ref="P12" ca="1">_xll.BDP($B12&amp;" Equity","bid")</f>
        <v>#NAME?</v>
      </c>
      <c r="Q12" s="73" t="e" cm="1">
        <f t="array" aca="1" ref="Q12" ca="1">_xll.BDP($B12&amp;" Equity","ask")</f>
        <v>#NAME?</v>
      </c>
      <c r="R12" s="75" t="e">
        <f t="shared" ca="1" si="2"/>
        <v>#NAME?</v>
      </c>
      <c r="S12" s="35" t="e" cm="1">
        <f t="array" aca="1" ref="S12" ca="1">_xll.BDP(G12&amp;" Curncy","PX_LAST")</f>
        <v>#NAME?</v>
      </c>
      <c r="T12" s="41" t="e" cm="1">
        <f t="array" aca="1" ref="T12" ca="1">_xll.BDP(B12&amp;" Equity","OPT_MULTIPLIER")</f>
        <v>#NAME?</v>
      </c>
      <c r="U12" s="41" t="e">
        <f t="shared" ca="1" si="3"/>
        <v>#NAME?</v>
      </c>
      <c r="V12" s="111" t="e">
        <f ca="1">U12/'Master P&amp;L'!$AD$7*10000</f>
        <v>#NAME?</v>
      </c>
      <c r="W12" s="111" t="e">
        <f ca="1">(Y12*H12*T12/S12)/'Master P&amp;L'!$AD$7*10000</f>
        <v>#NAME?</v>
      </c>
      <c r="X12" s="116" t="e">
        <f t="shared" ca="1" si="4"/>
        <v>#NAME?</v>
      </c>
      <c r="Y12" s="201" t="e">
        <f t="shared" ca="1" si="5"/>
        <v>#NAME?</v>
      </c>
      <c r="Z12" s="76" t="e">
        <f ca="1">_xll.BDP(D12&amp;" Equity","LAST_PRICE")</f>
        <v>#NAME?</v>
      </c>
      <c r="AA12" s="76" t="e" cm="1">
        <f t="array" aca="1" ref="AA12" ca="1">_xll.BDP(B12&amp;" Equity","OPT_STRIKE_PX")</f>
        <v>#NAME?</v>
      </c>
      <c r="AB12" s="75" t="e">
        <f t="shared" ca="1" si="6"/>
        <v>#NAME?</v>
      </c>
      <c r="AC12" s="251" t="e" cm="1">
        <f t="array" aca="1" ref="AC12" ca="1">_xll.BDP($D12&amp;" Equity","volatility_10d")</f>
        <v>#NAME?</v>
      </c>
      <c r="AD12" s="76" t="e" cm="1">
        <f t="array" aca="1" ref="AD12" ca="1">_xll.BDP(B12&amp;" Equity","ivol_mid")</f>
        <v>#NAME?</v>
      </c>
      <c r="AE12" s="76" t="e">
        <f t="shared" ca="1" si="7"/>
        <v>#NAME?</v>
      </c>
      <c r="AF12" s="77" t="e" cm="1">
        <f t="array" aca="1" ref="AF12" ca="1">_xll.BDP(B12&amp;" Equity","DELTA_MID_RT")</f>
        <v>#NAME?</v>
      </c>
      <c r="AG12" s="74" t="e">
        <f ca="1">AL12/'Master P&amp;L'!$AE$7</f>
        <v>#NAME?</v>
      </c>
      <c r="AH12" s="74" t="e">
        <f ca="1">AM12/'Master P&amp;L'!$AE$7</f>
        <v>#NAME?</v>
      </c>
      <c r="AI12" s="353" t="e">
        <f ca="1">AO12/'Master P&amp;L'!$AD$7*10000</f>
        <v>#NAME?</v>
      </c>
      <c r="AJ12" s="277" t="e">
        <f t="shared" ca="1" si="8"/>
        <v>#NAME?</v>
      </c>
      <c r="AK12" s="77" t="e">
        <f ca="1">AP12/'Master P&amp;L'!$AD$7*10000</f>
        <v>#NAME?</v>
      </c>
      <c r="AL12" s="41" t="e">
        <f t="shared" ca="1" si="9"/>
        <v>#NAME?</v>
      </c>
      <c r="AM12" s="41" t="e">
        <f t="shared" ca="1" si="10"/>
        <v>#NAME?</v>
      </c>
      <c r="AN12" s="77" t="e" cm="1">
        <f t="array" aca="1" ref="AN12" ca="1">_xll.BDP($B12&amp;" Equity","theta_mid_rt")</f>
        <v>#NAME?</v>
      </c>
      <c r="AO12" s="41" t="e">
        <f t="shared" ca="1" si="11"/>
        <v>#NAME?</v>
      </c>
      <c r="AP12" s="41" t="e">
        <f t="shared" ca="1" si="12"/>
        <v>#NAME?</v>
      </c>
      <c r="AQ12" s="73" t="e" cm="1">
        <f t="array" aca="1" ref="AQ12" ca="1">_xll.BDP($D12&amp;" Equity","EXPECTED_REPORT_DT")</f>
        <v>#NAME?</v>
      </c>
      <c r="AR12" s="189" t="e" cm="1">
        <f t="array" aca="1" ref="AR12" ca="1">_xll.BDP($B12&amp;" Equity","GAMMA_LAST")</f>
        <v>#NAME?</v>
      </c>
      <c r="AS12" s="72" t="e">
        <f t="shared" ca="1" si="13"/>
        <v>#NAME?</v>
      </c>
      <c r="AT12" s="72" t="e">
        <f t="shared" ca="1" si="14"/>
        <v>#NAME?</v>
      </c>
      <c r="AU12" s="72" t="s">
        <v>95</v>
      </c>
      <c r="AV12" s="250" t="e" cm="1">
        <f t="array" aca="1" ref="AV12" ca="1">_xll.BDP($D12&amp;" Equity","EST_PE_NXT_YR")*(AA12/Z12)</f>
        <v>#NAME?</v>
      </c>
      <c r="AW12" s="72"/>
      <c r="AX12" s="41"/>
      <c r="AY12" s="250">
        <v>6.2</v>
      </c>
      <c r="AZ12" s="281"/>
      <c r="BA12" s="41">
        <f t="shared" si="15"/>
        <v>6.2</v>
      </c>
      <c r="BB12" s="273">
        <f t="shared" si="16"/>
        <v>7.3000000000000007</v>
      </c>
      <c r="BC12" s="273">
        <f t="shared" si="17"/>
        <v>33000.000000000015</v>
      </c>
      <c r="BD12" s="273">
        <f>BC12/'Master P&amp;L'!$AD$7*10000</f>
        <v>0.13072618020335283</v>
      </c>
    </row>
    <row r="13" spans="1:56" ht="15.75" customHeight="1">
      <c r="A13" s="283"/>
      <c r="B13" t="s">
        <v>1188</v>
      </c>
      <c r="C13" t="e" cm="1">
        <f t="array" aca="1" ref="C13" ca="1">_xll.BDP($B13&amp;" Equity","opt_put_call")</f>
        <v>#NAME?</v>
      </c>
      <c r="D13" t="e" cm="1">
        <f t="array" aca="1" ref="D13" ca="1">_xll.BDP(B13&amp;" Equity","OPT_UNDL_TICKER")</f>
        <v>#NAME?</v>
      </c>
      <c r="E13" t="e" cm="1">
        <f t="array" aca="1" ref="E13" ca="1">_xll.BDP($B13&amp;" Equity","mifid_Maturity_date")</f>
        <v>#NAME?</v>
      </c>
      <c r="F13" t="e" cm="1">
        <f t="array" aca="1" ref="F13" ca="1">_xll.BDP($B13&amp;" Equity","opt_days_expire")</f>
        <v>#NAME?</v>
      </c>
      <c r="G13" t="e" cm="1">
        <f t="array" aca="1" ref="G13" ca="1">_xll.BDP(B13&amp;" Equity","QUOTED_CURRENCY_REALTIME")</f>
        <v>#NAME?</v>
      </c>
      <c r="H13" s="15">
        <v>150</v>
      </c>
      <c r="I13" s="336">
        <v>121.6</v>
      </c>
      <c r="J13" s="14">
        <f>VLOOKUP(B13,Precificação!$B:$O,14,FALSE)</f>
        <v>130.9</v>
      </c>
      <c r="K13" s="73">
        <f t="shared" si="18"/>
        <v>130.9</v>
      </c>
      <c r="L13" s="35" t="e" cm="1">
        <f t="array" aca="1" ref="L13" ca="1">_xll.BDP($B13&amp;" Equity","mid")</f>
        <v>#NAME?</v>
      </c>
      <c r="M13" s="18" t="e">
        <f t="shared" ca="1" si="0"/>
        <v>#NAME?</v>
      </c>
      <c r="N13" s="277"/>
      <c r="O13" s="18" t="e">
        <f t="shared" ca="1" si="1"/>
        <v>#NAME?</v>
      </c>
      <c r="P13" s="35" t="e" cm="1">
        <f t="array" aca="1" ref="P13" ca="1">_xll.BDP($B13&amp;" Equity","bid")</f>
        <v>#NAME?</v>
      </c>
      <c r="Q13" s="35" t="e" cm="1">
        <f t="array" aca="1" ref="Q13" ca="1">_xll.BDP($B13&amp;" Equity","ask")</f>
        <v>#NAME?</v>
      </c>
      <c r="R13" s="39" t="e">
        <f t="shared" ca="1" si="2"/>
        <v>#NAME?</v>
      </c>
      <c r="S13" s="35" t="e" cm="1">
        <f t="array" aca="1" ref="S13" ca="1">_xll.BDP(G13&amp;" Curncy","PX_LAST")</f>
        <v>#NAME?</v>
      </c>
      <c r="T13" s="15" t="e" cm="1">
        <f t="array" aca="1" ref="T13" ca="1">_xll.BDP(B13&amp;" Equity","OPT_MULTIPLIER")</f>
        <v>#NAME?</v>
      </c>
      <c r="U13" s="15" t="e">
        <f t="shared" ca="1" si="3"/>
        <v>#NAME?</v>
      </c>
      <c r="V13" s="122" t="e">
        <f ca="1">U13/'Master P&amp;L'!$AD$7*10000</f>
        <v>#NAME?</v>
      </c>
      <c r="W13" s="122" t="e">
        <f ca="1">(Y13*H13*T13/S13)/'Master P&amp;L'!$AD$7*10000</f>
        <v>#NAME?</v>
      </c>
      <c r="X13" s="339" t="e">
        <f t="shared" ca="1" si="4"/>
        <v>#NAME?</v>
      </c>
      <c r="Y13" s="202" t="e">
        <f t="shared" ca="1" si="5"/>
        <v>#NAME?</v>
      </c>
      <c r="Z13" s="36" t="e">
        <f ca="1">_xll.BDP(D13&amp;" Equity","LAST_PRICE")</f>
        <v>#NAME?</v>
      </c>
      <c r="AA13" s="36" t="e" cm="1">
        <f t="array" aca="1" ref="AA13" ca="1">_xll.BDP(B13&amp;" Equity","OPT_STRIKE_PX")</f>
        <v>#NAME?</v>
      </c>
      <c r="AB13" s="39" t="e">
        <f t="shared" ca="1" si="6"/>
        <v>#NAME?</v>
      </c>
      <c r="AC13" s="252" t="e" cm="1">
        <f t="array" aca="1" ref="AC13" ca="1">_xll.BDP($D13&amp;" Equity","volatility_10d")</f>
        <v>#NAME?</v>
      </c>
      <c r="AD13" s="36" t="e" cm="1">
        <f t="array" aca="1" ref="AD13" ca="1">_xll.BDP(B13&amp;" Equity","ivol_mid")</f>
        <v>#NAME?</v>
      </c>
      <c r="AE13" s="36" t="e">
        <f t="shared" ca="1" si="7"/>
        <v>#NAME?</v>
      </c>
      <c r="AF13" s="37" t="e" cm="1">
        <f t="array" aca="1" ref="AF13" ca="1">_xll.BDP(B13&amp;" Equity","DELTA_MID_RT")</f>
        <v>#NAME?</v>
      </c>
      <c r="AG13" s="18" t="e">
        <f ca="1">AL13/'Master P&amp;L'!$AE$7</f>
        <v>#NAME?</v>
      </c>
      <c r="AH13" s="18" t="e">
        <f ca="1">AM13/'Master P&amp;L'!$AE$7</f>
        <v>#NAME?</v>
      </c>
      <c r="AI13" s="352" t="e">
        <f ca="1">AO13/'Master P&amp;L'!$AD$7*10000</f>
        <v>#NAME?</v>
      </c>
      <c r="AJ13" s="277" t="e">
        <f t="shared" ca="1" si="8"/>
        <v>#NAME?</v>
      </c>
      <c r="AK13" s="37" t="e">
        <f ca="1">AP13/'Master P&amp;L'!$AD$7*10000</f>
        <v>#NAME?</v>
      </c>
      <c r="AL13" s="15" t="e">
        <f t="shared" ca="1" si="9"/>
        <v>#NAME?</v>
      </c>
      <c r="AM13" s="15" t="e">
        <f t="shared" ca="1" si="10"/>
        <v>#NAME?</v>
      </c>
      <c r="AN13" s="37" t="e" cm="1">
        <f t="array" aca="1" ref="AN13" ca="1">_xll.BDP($B13&amp;" Equity","theta_mid_rt")</f>
        <v>#NAME?</v>
      </c>
      <c r="AO13" s="15" t="e">
        <f t="shared" ca="1" si="11"/>
        <v>#NAME?</v>
      </c>
      <c r="AP13" s="15" t="e">
        <f t="shared" ca="1" si="12"/>
        <v>#NAME?</v>
      </c>
      <c r="AQ13" s="35" t="e" cm="1">
        <f t="array" aca="1" ref="AQ13" ca="1">_xll.BDP($D13&amp;" Equity","EXPECTED_REPORT_DT")</f>
        <v>#NAME?</v>
      </c>
      <c r="AR13" s="65" t="e" cm="1">
        <f t="array" aca="1" ref="AR13" ca="1">_xll.BDP($B13&amp;" Equity","GAMMA_LAST")</f>
        <v>#NAME?</v>
      </c>
      <c r="AS13" t="e">
        <f t="shared" ca="1" si="13"/>
        <v>#NAME?</v>
      </c>
      <c r="AT13" t="e">
        <f t="shared" ca="1" si="14"/>
        <v>#NAME?</v>
      </c>
      <c r="AU13" t="s">
        <v>95</v>
      </c>
      <c r="AV13" s="206" t="e" cm="1">
        <f t="array" aca="1" ref="AV13" ca="1">_xll.BDP($D13&amp;" Equity","EST_PE_NXT_YR")*(AA13/Z13)</f>
        <v>#NAME?</v>
      </c>
      <c r="AX13" s="15"/>
      <c r="AY13" s="206">
        <v>136.94999999999999</v>
      </c>
      <c r="AZ13" s="282"/>
      <c r="BA13" s="15">
        <f t="shared" si="15"/>
        <v>136.94999999999999</v>
      </c>
      <c r="BB13" s="340">
        <f t="shared" si="16"/>
        <v>130.9</v>
      </c>
      <c r="BC13" s="340">
        <f t="shared" si="17"/>
        <v>-90749.999999999753</v>
      </c>
      <c r="BD13" s="340">
        <f>BC13/'Master P&amp;L'!$AD$7*10000</f>
        <v>-0.35949699555921916</v>
      </c>
    </row>
    <row r="14" spans="1:56" ht="15.75" customHeight="1">
      <c r="A14" s="263"/>
      <c r="B14" s="72" t="s">
        <v>1189</v>
      </c>
      <c r="C14" s="72" t="e" cm="1">
        <f t="array" aca="1" ref="C14" ca="1">_xll.BDP($B14&amp;" Equity","opt_put_call")</f>
        <v>#NAME?</v>
      </c>
      <c r="D14" s="72" t="e" cm="1">
        <f t="array" aca="1" ref="D14" ca="1">_xll.BDP(B14&amp;" Equity","OPT_UNDL_TICKER")</f>
        <v>#NAME?</v>
      </c>
      <c r="E14" s="72" t="e" cm="1">
        <f t="array" aca="1" ref="E14" ca="1">_xll.BDP($B14&amp;" Equity","mifid_Maturity_date")</f>
        <v>#NAME?</v>
      </c>
      <c r="F14" s="72" t="e" cm="1">
        <f t="array" aca="1" ref="F14" ca="1">_xll.BDP($B14&amp;" Equity","opt_days_expire")</f>
        <v>#NAME?</v>
      </c>
      <c r="G14" s="72" t="e" cm="1">
        <f t="array" aca="1" ref="G14" ca="1">_xll.BDP(B14&amp;" Equity","QUOTED_CURRENCY_REALTIME")</f>
        <v>#NAME?</v>
      </c>
      <c r="H14" s="41">
        <v>-150</v>
      </c>
      <c r="I14" s="335">
        <v>86.81</v>
      </c>
      <c r="J14" s="14">
        <f>VLOOKUP(B14,Precificação!$B:$O,14,FALSE)</f>
        <v>93.8</v>
      </c>
      <c r="K14" s="73">
        <f t="shared" si="18"/>
        <v>93.8</v>
      </c>
      <c r="L14" s="73" t="e" cm="1">
        <f t="array" aca="1" ref="L14" ca="1">_xll.BDP($B14&amp;" Equity","mid")</f>
        <v>#NAME?</v>
      </c>
      <c r="M14" s="74" t="e">
        <f t="shared" ca="1" si="0"/>
        <v>#NAME?</v>
      </c>
      <c r="N14" s="279"/>
      <c r="O14" s="74" t="e">
        <f t="shared" ca="1" si="1"/>
        <v>#NAME?</v>
      </c>
      <c r="P14" s="73" t="e" cm="1">
        <f t="array" aca="1" ref="P14" ca="1">_xll.BDP($B14&amp;" Equity","bid")</f>
        <v>#NAME?</v>
      </c>
      <c r="Q14" s="73" t="e" cm="1">
        <f t="array" aca="1" ref="Q14" ca="1">_xll.BDP($B14&amp;" Equity","ask")</f>
        <v>#NAME?</v>
      </c>
      <c r="R14" s="75" t="e">
        <f t="shared" ca="1" si="2"/>
        <v>#NAME?</v>
      </c>
      <c r="S14" s="35" t="e" cm="1">
        <f t="array" aca="1" ref="S14" ca="1">_xll.BDP(G14&amp;" Curncy","PX_LAST")</f>
        <v>#NAME?</v>
      </c>
      <c r="T14" s="41" t="e" cm="1">
        <f t="array" aca="1" ref="T14" ca="1">_xll.BDP(B14&amp;" Equity","OPT_MULTIPLIER")</f>
        <v>#NAME?</v>
      </c>
      <c r="U14" s="41" t="e">
        <f t="shared" ca="1" si="3"/>
        <v>#NAME?</v>
      </c>
      <c r="V14" s="111" t="e">
        <f ca="1">U14/'Master P&amp;L'!$AD$7*10000</f>
        <v>#NAME?</v>
      </c>
      <c r="W14" s="111" t="e">
        <f ca="1">(Y14*H14*T14/S14)/'Master P&amp;L'!$AD$7*10000</f>
        <v>#NAME?</v>
      </c>
      <c r="X14" s="116" t="e">
        <f t="shared" ca="1" si="4"/>
        <v>#NAME?</v>
      </c>
      <c r="Y14" s="201" t="e">
        <f t="shared" ca="1" si="5"/>
        <v>#NAME?</v>
      </c>
      <c r="Z14" s="76" t="e">
        <f ca="1">_xll.BDP(D14&amp;" Equity","LAST_PRICE")</f>
        <v>#NAME?</v>
      </c>
      <c r="AA14" s="76" t="e" cm="1">
        <f t="array" aca="1" ref="AA14" ca="1">_xll.BDP(B14&amp;" Equity","OPT_STRIKE_PX")</f>
        <v>#NAME?</v>
      </c>
      <c r="AB14" s="75" t="e">
        <f t="shared" ca="1" si="6"/>
        <v>#NAME?</v>
      </c>
      <c r="AC14" s="251" t="e" cm="1">
        <f t="array" aca="1" ref="AC14" ca="1">_xll.BDP($D14&amp;" Equity","volatility_10d")</f>
        <v>#NAME?</v>
      </c>
      <c r="AD14" s="76" t="e" cm="1">
        <f t="array" aca="1" ref="AD14" ca="1">_xll.BDP(B14&amp;" Equity","ivol_mid")</f>
        <v>#NAME?</v>
      </c>
      <c r="AE14" s="76" t="e">
        <f t="shared" ca="1" si="7"/>
        <v>#NAME?</v>
      </c>
      <c r="AF14" s="77" t="e" cm="1">
        <f t="array" aca="1" ref="AF14" ca="1">_xll.BDP(B14&amp;" Equity","DELTA_MID_RT")</f>
        <v>#NAME?</v>
      </c>
      <c r="AG14" s="74" t="e">
        <f ca="1">AL14/'Master P&amp;L'!$AE$7</f>
        <v>#NAME?</v>
      </c>
      <c r="AH14" s="74" t="e">
        <f ca="1">AM14/'Master P&amp;L'!$AE$7</f>
        <v>#NAME?</v>
      </c>
      <c r="AI14" s="353" t="e">
        <f ca="1">AO14/'Master P&amp;L'!$AD$7*10000</f>
        <v>#NAME?</v>
      </c>
      <c r="AJ14" s="277" t="e">
        <f t="shared" ca="1" si="8"/>
        <v>#NAME?</v>
      </c>
      <c r="AK14" s="77" t="e">
        <f ca="1">AP14/'Master P&amp;L'!$AD$7*10000</f>
        <v>#NAME?</v>
      </c>
      <c r="AL14" s="41" t="e">
        <f t="shared" ca="1" si="9"/>
        <v>#NAME?</v>
      </c>
      <c r="AM14" s="41" t="e">
        <f t="shared" ca="1" si="10"/>
        <v>#NAME?</v>
      </c>
      <c r="AN14" s="77" t="e" cm="1">
        <f t="array" aca="1" ref="AN14" ca="1">_xll.BDP($B14&amp;" Equity","theta_mid_rt")</f>
        <v>#NAME?</v>
      </c>
      <c r="AO14" s="41" t="e">
        <f t="shared" ca="1" si="11"/>
        <v>#NAME?</v>
      </c>
      <c r="AP14" s="41" t="e">
        <f t="shared" ca="1" si="12"/>
        <v>#NAME?</v>
      </c>
      <c r="AQ14" s="73" t="e" cm="1">
        <f t="array" aca="1" ref="AQ14" ca="1">_xll.BDP($D14&amp;" Equity","EXPECTED_REPORT_DT")</f>
        <v>#NAME?</v>
      </c>
      <c r="AR14" s="189" t="e" cm="1">
        <f t="array" aca="1" ref="AR14" ca="1">_xll.BDP($B14&amp;" Equity","GAMMA_LAST")</f>
        <v>#NAME?</v>
      </c>
      <c r="AS14" s="72" t="e">
        <f t="shared" ca="1" si="13"/>
        <v>#NAME?</v>
      </c>
      <c r="AT14" s="72" t="e">
        <f t="shared" ca="1" si="14"/>
        <v>#NAME?</v>
      </c>
      <c r="AU14" s="72" t="s">
        <v>95</v>
      </c>
      <c r="AV14" s="250" t="e" cm="1">
        <f t="array" aca="1" ref="AV14" ca="1">_xll.BDP($D14&amp;" Equity","EST_PE_NXT_YR")*(AA14/Z14)</f>
        <v>#NAME?</v>
      </c>
      <c r="AW14" s="72"/>
      <c r="AX14" s="41"/>
      <c r="AY14" s="250">
        <v>99.45</v>
      </c>
      <c r="AZ14" s="281"/>
      <c r="BA14" s="41">
        <f t="shared" si="15"/>
        <v>99.45</v>
      </c>
      <c r="BB14" s="273">
        <f t="shared" si="16"/>
        <v>93.8</v>
      </c>
      <c r="BC14" s="273">
        <f t="shared" si="17"/>
        <v>84750.000000000087</v>
      </c>
      <c r="BD14" s="273">
        <f>BC14/'Master P&amp;L'!$AD$7*10000</f>
        <v>0.33572859915861086</v>
      </c>
    </row>
    <row r="15" spans="1:56" ht="15.75" customHeight="1">
      <c r="A15" s="283"/>
      <c r="B15" t="s">
        <v>1074</v>
      </c>
      <c r="C15" t="e" cm="1">
        <f t="array" aca="1" ref="C15" ca="1">_xll.BDP($B15&amp;" Equity","opt_put_call")</f>
        <v>#NAME?</v>
      </c>
      <c r="D15" t="e" cm="1">
        <f t="array" aca="1" ref="D15" ca="1">_xll.BDP(B15&amp;" Equity","OPT_UNDL_TICKER")</f>
        <v>#NAME?</v>
      </c>
      <c r="E15" t="e" cm="1">
        <f t="array" aca="1" ref="E15" ca="1">_xll.BDP($B15&amp;" Equity","mifid_Maturity_date")</f>
        <v>#NAME?</v>
      </c>
      <c r="F15" t="e" cm="1">
        <f t="array" aca="1" ref="F15" ca="1">_xll.BDP($B15&amp;" Equity","opt_days_expire")</f>
        <v>#NAME?</v>
      </c>
      <c r="G15" t="e" cm="1">
        <f t="array" aca="1" ref="G15" ca="1">_xll.BDP(B15&amp;" Equity","QUOTED_CURRENCY_REALTIME")</f>
        <v>#NAME?</v>
      </c>
      <c r="H15" s="15">
        <v>170</v>
      </c>
      <c r="I15" s="336">
        <v>51.45</v>
      </c>
      <c r="J15" s="14">
        <f>VLOOKUP(B15,Precificação!$B:$O,14,FALSE)</f>
        <v>33.299999999999997</v>
      </c>
      <c r="K15" s="73">
        <f t="shared" si="18"/>
        <v>33.299999999999997</v>
      </c>
      <c r="L15" s="35" t="e" cm="1">
        <f t="array" aca="1" ref="L15" ca="1">_xll.BDP($B15&amp;" Equity","mid")</f>
        <v>#NAME?</v>
      </c>
      <c r="M15" s="18" t="e">
        <f t="shared" ca="1" si="0"/>
        <v>#NAME?</v>
      </c>
      <c r="N15" s="277"/>
      <c r="O15" s="18" t="e">
        <f t="shared" ca="1" si="1"/>
        <v>#NAME?</v>
      </c>
      <c r="P15" s="35" t="e" cm="1">
        <f t="array" aca="1" ref="P15" ca="1">_xll.BDP($B15&amp;" Equity","bid")</f>
        <v>#NAME?</v>
      </c>
      <c r="Q15" s="35" t="e" cm="1">
        <f t="array" aca="1" ref="Q15" ca="1">_xll.BDP($B15&amp;" Equity","ask")</f>
        <v>#NAME?</v>
      </c>
      <c r="R15" s="39" t="e">
        <f t="shared" ca="1" si="2"/>
        <v>#NAME?</v>
      </c>
      <c r="S15" s="35" t="e" cm="1">
        <f t="array" aca="1" ref="S15" ca="1">_xll.BDP(G15&amp;" Curncy","PX_LAST")</f>
        <v>#NAME?</v>
      </c>
      <c r="T15" s="15" t="e" cm="1">
        <f t="array" aca="1" ref="T15" ca="1">_xll.BDP(B15&amp;" Equity","OPT_MULTIPLIER")</f>
        <v>#NAME?</v>
      </c>
      <c r="U15" s="15" t="e">
        <f t="shared" ca="1" si="3"/>
        <v>#NAME?</v>
      </c>
      <c r="V15" s="122" t="e">
        <f ca="1">U15/'Master P&amp;L'!$AD$7*10000</f>
        <v>#NAME?</v>
      </c>
      <c r="W15" s="122" t="e">
        <f ca="1">(Y15*H15*T15/S15)/'Master P&amp;L'!$AD$7*10000</f>
        <v>#NAME?</v>
      </c>
      <c r="X15" s="339" t="e">
        <f t="shared" ca="1" si="4"/>
        <v>#NAME?</v>
      </c>
      <c r="Y15" s="202" t="e">
        <f t="shared" ca="1" si="5"/>
        <v>#NAME?</v>
      </c>
      <c r="Z15" s="36" t="e">
        <f ca="1">_xll.BDP(D15&amp;" Equity","LAST_PRICE")</f>
        <v>#NAME?</v>
      </c>
      <c r="AA15" s="36" t="e" cm="1">
        <f t="array" aca="1" ref="AA15" ca="1">_xll.BDP(B15&amp;" Equity","OPT_STRIKE_PX")</f>
        <v>#NAME?</v>
      </c>
      <c r="AB15" s="39" t="e">
        <f t="shared" ca="1" si="6"/>
        <v>#NAME?</v>
      </c>
      <c r="AC15" s="252" t="e" cm="1">
        <f t="array" aca="1" ref="AC15" ca="1">_xll.BDP($D15&amp;" Equity","volatility_10d")</f>
        <v>#NAME?</v>
      </c>
      <c r="AD15" s="36" t="e" cm="1">
        <f t="array" aca="1" ref="AD15" ca="1">_xll.BDP(B15&amp;" Equity","ivol_mid")</f>
        <v>#NAME?</v>
      </c>
      <c r="AE15" s="36" t="e">
        <f t="shared" ca="1" si="7"/>
        <v>#NAME?</v>
      </c>
      <c r="AF15" s="37" t="e" cm="1">
        <f t="array" aca="1" ref="AF15" ca="1">_xll.BDP(B15&amp;" Equity","DELTA_MID_RT")</f>
        <v>#NAME?</v>
      </c>
      <c r="AG15" s="18" t="e">
        <f ca="1">AL15/'Master P&amp;L'!$AE$7</f>
        <v>#NAME?</v>
      </c>
      <c r="AH15" s="18" t="e">
        <f ca="1">AM15/'Master P&amp;L'!$AE$7</f>
        <v>#NAME?</v>
      </c>
      <c r="AI15" s="352" t="e">
        <f ca="1">AO15/'Master P&amp;L'!$AD$7*10000</f>
        <v>#NAME?</v>
      </c>
      <c r="AJ15" s="277" t="e">
        <f t="shared" ca="1" si="8"/>
        <v>#NAME?</v>
      </c>
      <c r="AK15" s="37" t="e">
        <f ca="1">AP15/'Master P&amp;L'!$AD$7*10000</f>
        <v>#NAME?</v>
      </c>
      <c r="AL15" s="15" t="e">
        <f t="shared" ca="1" si="9"/>
        <v>#NAME?</v>
      </c>
      <c r="AM15" s="15" t="e">
        <f t="shared" ca="1" si="10"/>
        <v>#NAME?</v>
      </c>
      <c r="AN15" s="37" t="e" cm="1">
        <f t="array" aca="1" ref="AN15" ca="1">_xll.BDP($B15&amp;" Equity","theta_mid_rt")</f>
        <v>#NAME?</v>
      </c>
      <c r="AO15" s="15" t="e">
        <f t="shared" ca="1" si="11"/>
        <v>#NAME?</v>
      </c>
      <c r="AP15" s="15" t="e">
        <f t="shared" ca="1" si="12"/>
        <v>#NAME?</v>
      </c>
      <c r="AQ15" s="35" t="e" cm="1">
        <f t="array" aca="1" ref="AQ15" ca="1">_xll.BDP($D15&amp;" Equity","EXPECTED_REPORT_DT")</f>
        <v>#NAME?</v>
      </c>
      <c r="AR15" s="65" t="e" cm="1">
        <f t="array" aca="1" ref="AR15" ca="1">_xll.BDP($B15&amp;" Equity","GAMMA_LAST")</f>
        <v>#NAME?</v>
      </c>
      <c r="AS15" t="e">
        <f t="shared" ca="1" si="13"/>
        <v>#NAME?</v>
      </c>
      <c r="AT15" t="e">
        <f t="shared" ca="1" si="14"/>
        <v>#NAME?</v>
      </c>
      <c r="AU15" t="s">
        <v>95</v>
      </c>
      <c r="AV15" s="206" t="e" cm="1">
        <f t="array" aca="1" ref="AV15" ca="1">_xll.BDP($D15&amp;" Equity","EST_PE_NXT_YR")*(AA15/Z15)</f>
        <v>#NAME?</v>
      </c>
      <c r="AX15" s="15"/>
      <c r="AY15" s="206">
        <v>27.4</v>
      </c>
      <c r="AZ15" s="282"/>
      <c r="BA15" s="15">
        <f t="shared" si="15"/>
        <v>27.4</v>
      </c>
      <c r="BB15" s="340">
        <f t="shared" si="16"/>
        <v>33.299999999999997</v>
      </c>
      <c r="BC15" s="340">
        <f t="shared" si="17"/>
        <v>100299.99999999997</v>
      </c>
      <c r="BD15" s="340">
        <f>BC15/'Master P&amp;L'!$AD$7*10000</f>
        <v>0.39732835983019033</v>
      </c>
    </row>
    <row r="16" spans="1:56" ht="15.75" customHeight="1">
      <c r="A16" s="263"/>
      <c r="B16" s="72" t="s">
        <v>925</v>
      </c>
      <c r="C16" s="72" t="e" cm="1">
        <f t="array" aca="1" ref="C16" ca="1">_xll.BDP($B16&amp;" Equity","opt_put_call")</f>
        <v>#NAME?</v>
      </c>
      <c r="D16" s="72" t="e" cm="1">
        <f t="array" aca="1" ref="D16" ca="1">_xll.BDP(B16&amp;" Equity","OPT_UNDL_TICKER")</f>
        <v>#NAME?</v>
      </c>
      <c r="E16" s="72" t="e" cm="1">
        <f t="array" aca="1" ref="E16" ca="1">_xll.BDP($B16&amp;" Equity","mifid_Maturity_date")</f>
        <v>#NAME?</v>
      </c>
      <c r="F16" s="72" t="e" cm="1">
        <f t="array" aca="1" ref="F16" ca="1">_xll.BDP($B16&amp;" Equity","opt_days_expire")</f>
        <v>#NAME?</v>
      </c>
      <c r="G16" s="72" t="e" cm="1">
        <f t="array" aca="1" ref="G16" ca="1">_xll.BDP(B16&amp;" Equity","QUOTED_CURRENCY_REALTIME")</f>
        <v>#NAME?</v>
      </c>
      <c r="H16" s="41">
        <v>450</v>
      </c>
      <c r="I16" s="335">
        <v>4.82</v>
      </c>
      <c r="J16" s="14">
        <f>VLOOKUP(B16,Precificação!$B:$O,14,FALSE)</f>
        <v>2.415</v>
      </c>
      <c r="K16" s="73">
        <f t="shared" si="18"/>
        <v>2.415</v>
      </c>
      <c r="L16" s="73" t="e" cm="1">
        <f t="array" aca="1" ref="L16" ca="1">_xll.BDP($B16&amp;" Equity","mid")</f>
        <v>#NAME?</v>
      </c>
      <c r="M16" s="74" t="e">
        <f t="shared" ca="1" si="0"/>
        <v>#NAME?</v>
      </c>
      <c r="N16" s="279"/>
      <c r="O16" s="74" t="e">
        <f t="shared" ca="1" si="1"/>
        <v>#NAME?</v>
      </c>
      <c r="P16" s="73" t="e" cm="1">
        <f t="array" aca="1" ref="P16" ca="1">_xll.BDP($B16&amp;" Equity","bid")</f>
        <v>#NAME?</v>
      </c>
      <c r="Q16" s="73" t="e" cm="1">
        <f t="array" aca="1" ref="Q16" ca="1">_xll.BDP($B16&amp;" Equity","ask")</f>
        <v>#NAME?</v>
      </c>
      <c r="R16" s="75" t="e">
        <f t="shared" ca="1" si="2"/>
        <v>#NAME?</v>
      </c>
      <c r="S16" s="35" t="e" cm="1">
        <f t="array" aca="1" ref="S16" ca="1">_xll.BDP(G16&amp;" Curncy","PX_LAST")</f>
        <v>#NAME?</v>
      </c>
      <c r="T16" s="41" t="e" cm="1">
        <f t="array" aca="1" ref="T16" ca="1">_xll.BDP(B16&amp;" Equity","OPT_MULTIPLIER")</f>
        <v>#NAME?</v>
      </c>
      <c r="U16" s="41" t="e">
        <f t="shared" ca="1" si="3"/>
        <v>#NAME?</v>
      </c>
      <c r="V16" s="111" t="e">
        <f ca="1">U16/'Master P&amp;L'!$AD$7*10000</f>
        <v>#NAME?</v>
      </c>
      <c r="W16" s="111" t="e">
        <f ca="1">(Y16*H16*T16/S16)/'Master P&amp;L'!$AD$7*10000</f>
        <v>#NAME?</v>
      </c>
      <c r="X16" s="116" t="e">
        <f t="shared" ca="1" si="4"/>
        <v>#NAME?</v>
      </c>
      <c r="Y16" s="201" t="e">
        <f t="shared" ca="1" si="5"/>
        <v>#NAME?</v>
      </c>
      <c r="Z16" s="76" t="e">
        <f ca="1">_xll.BDP(D16&amp;" Equity","LAST_PRICE")</f>
        <v>#NAME?</v>
      </c>
      <c r="AA16" s="76" t="e" cm="1">
        <f t="array" aca="1" ref="AA16" ca="1">_xll.BDP(B16&amp;" Equity","OPT_STRIKE_PX")</f>
        <v>#NAME?</v>
      </c>
      <c r="AB16" s="75" t="e">
        <f t="shared" ca="1" si="6"/>
        <v>#NAME?</v>
      </c>
      <c r="AC16" s="251" t="e" cm="1">
        <f t="array" aca="1" ref="AC16" ca="1">_xll.BDP($D16&amp;" Equity","volatility_10d")</f>
        <v>#NAME?</v>
      </c>
      <c r="AD16" s="76" t="e" cm="1">
        <f t="array" aca="1" ref="AD16" ca="1">_xll.BDP(B16&amp;" Equity","ivol_mid")</f>
        <v>#NAME?</v>
      </c>
      <c r="AE16" s="76" t="e">
        <f t="shared" ca="1" si="7"/>
        <v>#NAME?</v>
      </c>
      <c r="AF16" s="77" t="e" cm="1">
        <f t="array" aca="1" ref="AF16" ca="1">_xll.BDP(B16&amp;" Equity","DELTA_MID_RT")</f>
        <v>#NAME?</v>
      </c>
      <c r="AG16" s="74" t="e">
        <f ca="1">AL16/'Master P&amp;L'!$AE$7</f>
        <v>#NAME?</v>
      </c>
      <c r="AH16" s="74" t="e">
        <f ca="1">AM16/'Master P&amp;L'!$AE$7</f>
        <v>#NAME?</v>
      </c>
      <c r="AI16" s="353" t="e">
        <f ca="1">AO16/'Master P&amp;L'!$AD$7*10000</f>
        <v>#NAME?</v>
      </c>
      <c r="AJ16" s="277" t="e">
        <f t="shared" ca="1" si="8"/>
        <v>#NAME?</v>
      </c>
      <c r="AK16" s="77" t="e">
        <f ca="1">AP16/'Master P&amp;L'!$AD$7*10000</f>
        <v>#NAME?</v>
      </c>
      <c r="AL16" s="41" t="e">
        <f t="shared" ca="1" si="9"/>
        <v>#NAME?</v>
      </c>
      <c r="AM16" s="41" t="e">
        <f t="shared" ca="1" si="10"/>
        <v>#NAME?</v>
      </c>
      <c r="AN16" s="77" t="e" cm="1">
        <f t="array" aca="1" ref="AN16" ca="1">_xll.BDP($B16&amp;" Equity","theta_mid_rt")</f>
        <v>#NAME?</v>
      </c>
      <c r="AO16" s="41" t="e">
        <f t="shared" ca="1" si="11"/>
        <v>#NAME?</v>
      </c>
      <c r="AP16" s="41" t="e">
        <f t="shared" ca="1" si="12"/>
        <v>#NAME?</v>
      </c>
      <c r="AQ16" s="73" t="e" cm="1">
        <f t="array" aca="1" ref="AQ16" ca="1">_xll.BDP($D16&amp;" Equity","EXPECTED_REPORT_DT")</f>
        <v>#NAME?</v>
      </c>
      <c r="AR16" s="189" t="e" cm="1">
        <f t="array" aca="1" ref="AR16" ca="1">_xll.BDP($B16&amp;" Equity","GAMMA_LAST")</f>
        <v>#NAME?</v>
      </c>
      <c r="AS16" s="72" t="e">
        <f t="shared" ca="1" si="13"/>
        <v>#NAME?</v>
      </c>
      <c r="AT16" s="72" t="e">
        <f t="shared" ca="1" si="14"/>
        <v>#NAME?</v>
      </c>
      <c r="AU16" s="72" t="s">
        <v>95</v>
      </c>
      <c r="AV16" s="250" t="e" cm="1">
        <f t="array" aca="1" ref="AV16" ca="1">_xll.BDP($D16&amp;" Equity","EST_PE_NXT_YR")*(AA16/Z16)</f>
        <v>#NAME?</v>
      </c>
      <c r="AW16" s="72"/>
      <c r="AX16" s="41"/>
      <c r="AY16" s="250">
        <v>3.17</v>
      </c>
      <c r="AZ16" s="281"/>
      <c r="BA16" s="41">
        <f t="shared" si="15"/>
        <v>3.17</v>
      </c>
      <c r="BB16" s="273">
        <f t="shared" si="16"/>
        <v>2.415</v>
      </c>
      <c r="BC16" s="273">
        <f t="shared" si="17"/>
        <v>-33974.999999999993</v>
      </c>
      <c r="BD16" s="273">
        <f>BC16/'Master P&amp;L'!$AD$7*10000</f>
        <v>-0.13458854461845182</v>
      </c>
    </row>
    <row r="17" spans="1:56" ht="15.75" customHeight="1">
      <c r="A17" s="283"/>
      <c r="B17" t="s">
        <v>1101</v>
      </c>
      <c r="C17" t="e" cm="1">
        <f t="array" aca="1" ref="C17" ca="1">_xll.BDP($B17&amp;" Equity","opt_put_call")</f>
        <v>#NAME?</v>
      </c>
      <c r="D17" t="e" cm="1">
        <f t="array" aca="1" ref="D17" ca="1">_xll.BDP(B17&amp;" Equity","OPT_UNDL_TICKER")</f>
        <v>#NAME?</v>
      </c>
      <c r="E17" t="e" cm="1">
        <f t="array" aca="1" ref="E17" ca="1">_xll.BDP($B17&amp;" Equity","mifid_Maturity_date")</f>
        <v>#NAME?</v>
      </c>
      <c r="F17" t="e" cm="1">
        <f t="array" aca="1" ref="F17" ca="1">_xll.BDP($B17&amp;" Equity","opt_days_expire")</f>
        <v>#NAME?</v>
      </c>
      <c r="G17" t="e" cm="1">
        <f t="array" aca="1" ref="G17" ca="1">_xll.BDP(B17&amp;" Equity","QUOTED_CURRENCY_REALTIME")</f>
        <v>#NAME?</v>
      </c>
      <c r="H17" s="15">
        <v>-450</v>
      </c>
      <c r="I17" s="336">
        <v>1.66</v>
      </c>
      <c r="J17" s="14">
        <f>VLOOKUP(B17,Precificação!$B:$O,14,FALSE)</f>
        <v>0.78</v>
      </c>
      <c r="K17" s="73">
        <f t="shared" si="18"/>
        <v>0.78</v>
      </c>
      <c r="L17" s="35" t="e" cm="1">
        <f t="array" aca="1" ref="L17" ca="1">_xll.BDP($B17&amp;" Equity","mid")</f>
        <v>#NAME?</v>
      </c>
      <c r="M17" s="18" t="e">
        <f t="shared" ca="1" si="0"/>
        <v>#NAME?</v>
      </c>
      <c r="N17" s="277"/>
      <c r="O17" s="18" t="e">
        <f t="shared" ca="1" si="1"/>
        <v>#NAME?</v>
      </c>
      <c r="P17" s="35" t="e" cm="1">
        <f t="array" aca="1" ref="P17" ca="1">_xll.BDP($B17&amp;" Equity","bid")</f>
        <v>#NAME?</v>
      </c>
      <c r="Q17" s="35" t="e" cm="1">
        <f t="array" aca="1" ref="Q17" ca="1">_xll.BDP($B17&amp;" Equity","ask")</f>
        <v>#NAME?</v>
      </c>
      <c r="R17" s="39" t="e">
        <f t="shared" ca="1" si="2"/>
        <v>#NAME?</v>
      </c>
      <c r="S17" s="35" t="e" cm="1">
        <f t="array" aca="1" ref="S17" ca="1">_xll.BDP(G17&amp;" Curncy","PX_LAST")</f>
        <v>#NAME?</v>
      </c>
      <c r="T17" s="15" t="e" cm="1">
        <f t="array" aca="1" ref="T17" ca="1">_xll.BDP(B17&amp;" Equity","OPT_MULTIPLIER")</f>
        <v>#NAME?</v>
      </c>
      <c r="U17" s="15" t="e">
        <f t="shared" ca="1" si="3"/>
        <v>#NAME?</v>
      </c>
      <c r="V17" s="122" t="e">
        <f ca="1">U17/'Master P&amp;L'!$AD$7*10000</f>
        <v>#NAME?</v>
      </c>
      <c r="W17" s="122" t="e">
        <f ca="1">(Y17*H17*T17/S17)/'Master P&amp;L'!$AD$7*10000</f>
        <v>#NAME?</v>
      </c>
      <c r="X17" s="339" t="e">
        <f t="shared" ca="1" si="4"/>
        <v>#NAME?</v>
      </c>
      <c r="Y17" s="202" t="e">
        <f t="shared" ca="1" si="5"/>
        <v>#NAME?</v>
      </c>
      <c r="Z17" s="36" t="e">
        <f ca="1">_xll.BDP(D17&amp;" Equity","LAST_PRICE")</f>
        <v>#NAME?</v>
      </c>
      <c r="AA17" s="36" t="e" cm="1">
        <f t="array" aca="1" ref="AA17" ca="1">_xll.BDP(B17&amp;" Equity","OPT_STRIKE_PX")</f>
        <v>#NAME?</v>
      </c>
      <c r="AB17" s="39" t="e">
        <f t="shared" ca="1" si="6"/>
        <v>#NAME?</v>
      </c>
      <c r="AC17" s="252" t="e" cm="1">
        <f t="array" aca="1" ref="AC17" ca="1">_xll.BDP($D17&amp;" Equity","volatility_10d")</f>
        <v>#NAME?</v>
      </c>
      <c r="AD17" s="36" t="e" cm="1">
        <f t="array" aca="1" ref="AD17" ca="1">_xll.BDP(B17&amp;" Equity","ivol_mid")</f>
        <v>#NAME?</v>
      </c>
      <c r="AE17" s="36" t="e">
        <f t="shared" ca="1" si="7"/>
        <v>#NAME?</v>
      </c>
      <c r="AF17" s="37" t="e" cm="1">
        <f t="array" aca="1" ref="AF17" ca="1">_xll.BDP(B17&amp;" Equity","DELTA_MID_RT")</f>
        <v>#NAME?</v>
      </c>
      <c r="AG17" s="18" t="e">
        <f ca="1">AL17/'Master P&amp;L'!$AE$7</f>
        <v>#NAME?</v>
      </c>
      <c r="AH17" s="18" t="e">
        <f ca="1">AM17/'Master P&amp;L'!$AE$7</f>
        <v>#NAME?</v>
      </c>
      <c r="AI17" s="352" t="e">
        <f ca="1">AO17/'Master P&amp;L'!$AD$7*10000</f>
        <v>#NAME?</v>
      </c>
      <c r="AJ17" s="277" t="e">
        <f t="shared" ca="1" si="8"/>
        <v>#NAME?</v>
      </c>
      <c r="AK17" s="37" t="e">
        <f ca="1">AP17/'Master P&amp;L'!$AD$7*10000</f>
        <v>#NAME?</v>
      </c>
      <c r="AL17" s="15" t="e">
        <f t="shared" ca="1" si="9"/>
        <v>#NAME?</v>
      </c>
      <c r="AM17" s="15" t="e">
        <f t="shared" ca="1" si="10"/>
        <v>#NAME?</v>
      </c>
      <c r="AN17" s="37" t="e" cm="1">
        <f t="array" aca="1" ref="AN17" ca="1">_xll.BDP($B17&amp;" Equity","theta_mid_rt")</f>
        <v>#NAME?</v>
      </c>
      <c r="AO17" s="15" t="e">
        <f t="shared" ca="1" si="11"/>
        <v>#NAME?</v>
      </c>
      <c r="AP17" s="15" t="e">
        <f t="shared" ca="1" si="12"/>
        <v>#NAME?</v>
      </c>
      <c r="AQ17" s="35" t="e" cm="1">
        <f t="array" aca="1" ref="AQ17" ca="1">_xll.BDP($D17&amp;" Equity","EXPECTED_REPORT_DT")</f>
        <v>#NAME?</v>
      </c>
      <c r="AR17" s="65" t="e" cm="1">
        <f t="array" aca="1" ref="AR17" ca="1">_xll.BDP($B17&amp;" Equity","GAMMA_LAST")</f>
        <v>#NAME?</v>
      </c>
      <c r="AS17" t="e">
        <f t="shared" ca="1" si="13"/>
        <v>#NAME?</v>
      </c>
      <c r="AT17" t="e">
        <f t="shared" ca="1" si="14"/>
        <v>#NAME?</v>
      </c>
      <c r="AU17" t="s">
        <v>95</v>
      </c>
      <c r="AV17" s="206" t="e" cm="1">
        <f t="array" aca="1" ref="AV17" ca="1">_xll.BDP($D17&amp;" Equity","EST_PE_NXT_YR")*(AA17/Z17)</f>
        <v>#NAME?</v>
      </c>
      <c r="AX17" s="15"/>
      <c r="AY17" s="206">
        <v>1.08</v>
      </c>
      <c r="AZ17" s="282"/>
      <c r="BA17" s="15">
        <f t="shared" si="15"/>
        <v>1.08</v>
      </c>
      <c r="BB17" s="340">
        <f t="shared" si="16"/>
        <v>0.78</v>
      </c>
      <c r="BC17" s="340">
        <f t="shared" si="17"/>
        <v>13500.000000000004</v>
      </c>
      <c r="BD17" s="340">
        <f>BC17/'Master P&amp;L'!$AD$7*10000</f>
        <v>5.347889190137161E-2</v>
      </c>
    </row>
    <row r="18" spans="1:56" ht="15.75" customHeight="1">
      <c r="A18" s="263"/>
      <c r="B18" s="72" t="s">
        <v>1102</v>
      </c>
      <c r="C18" s="72" t="e" cm="1">
        <f t="array" aca="1" ref="C18" ca="1">_xll.BDP($B18&amp;" Equity","opt_put_call")</f>
        <v>#NAME?</v>
      </c>
      <c r="D18" s="72" t="e" cm="1">
        <f t="array" aca="1" ref="D18" ca="1">_xll.BDP(B18&amp;" Equity","OPT_UNDL_TICKER")</f>
        <v>#NAME?</v>
      </c>
      <c r="E18" s="72" t="e" cm="1">
        <f t="array" aca="1" ref="E18" ca="1">_xll.BDP($B18&amp;" Equity","mifid_Maturity_date")</f>
        <v>#NAME?</v>
      </c>
      <c r="F18" s="72" t="e" cm="1">
        <f t="array" aca="1" ref="F18" ca="1">_xll.BDP($B18&amp;" Equity","opt_days_expire")</f>
        <v>#NAME?</v>
      </c>
      <c r="G18" s="72" t="e" cm="1">
        <f t="array" aca="1" ref="G18" ca="1">_xll.BDP(B18&amp;" Equity","QUOTED_CURRENCY_REALTIME")</f>
        <v>#NAME?</v>
      </c>
      <c r="H18" s="41">
        <v>-300</v>
      </c>
      <c r="I18" s="335">
        <v>2.88</v>
      </c>
      <c r="J18" s="14">
        <f>VLOOKUP(B18,Precificação!$B:$O,14,FALSE)</f>
        <v>3.0249999999999999</v>
      </c>
      <c r="K18" s="73">
        <f t="shared" si="18"/>
        <v>3.0249999999999999</v>
      </c>
      <c r="L18" s="73" t="e" cm="1">
        <f t="array" aca="1" ref="L18" ca="1">_xll.BDP($B18&amp;" Equity","mid")</f>
        <v>#NAME?</v>
      </c>
      <c r="M18" s="74" t="e">
        <f t="shared" ca="1" si="0"/>
        <v>#NAME?</v>
      </c>
      <c r="N18" s="279"/>
      <c r="O18" s="74" t="e">
        <f t="shared" ca="1" si="1"/>
        <v>#NAME?</v>
      </c>
      <c r="P18" s="73" t="e" cm="1">
        <f t="array" aca="1" ref="P18" ca="1">_xll.BDP($B18&amp;" Equity","bid")</f>
        <v>#NAME?</v>
      </c>
      <c r="Q18" s="73" t="e" cm="1">
        <f t="array" aca="1" ref="Q18" ca="1">_xll.BDP($B18&amp;" Equity","ask")</f>
        <v>#NAME?</v>
      </c>
      <c r="R18" s="75" t="e">
        <f t="shared" ca="1" si="2"/>
        <v>#NAME?</v>
      </c>
      <c r="S18" s="35" t="e" cm="1">
        <f t="array" aca="1" ref="S18" ca="1">_xll.BDP(G18&amp;" Curncy","PX_LAST")</f>
        <v>#NAME?</v>
      </c>
      <c r="T18" s="41" t="e" cm="1">
        <f t="array" aca="1" ref="T18" ca="1">_xll.BDP(B18&amp;" Equity","OPT_MULTIPLIER")</f>
        <v>#NAME?</v>
      </c>
      <c r="U18" s="41" t="e">
        <f t="shared" ca="1" si="3"/>
        <v>#NAME?</v>
      </c>
      <c r="V18" s="111" t="e">
        <f ca="1">U18/'Master P&amp;L'!$AD$7*10000</f>
        <v>#NAME?</v>
      </c>
      <c r="W18" s="111" t="e">
        <f ca="1">(Y18*H18*T18/S18)/'Master P&amp;L'!$AD$7*10000</f>
        <v>#NAME?</v>
      </c>
      <c r="X18" s="116" t="e">
        <f t="shared" ca="1" si="4"/>
        <v>#NAME?</v>
      </c>
      <c r="Y18" s="201" t="e">
        <f t="shared" ca="1" si="5"/>
        <v>#NAME?</v>
      </c>
      <c r="Z18" s="76" t="e">
        <f ca="1">_xll.BDP(D18&amp;" Equity","LAST_PRICE")</f>
        <v>#NAME?</v>
      </c>
      <c r="AA18" s="76" t="e" cm="1">
        <f t="array" aca="1" ref="AA18" ca="1">_xll.BDP(B18&amp;" Equity","OPT_STRIKE_PX")</f>
        <v>#NAME?</v>
      </c>
      <c r="AB18" s="75" t="e">
        <f t="shared" ca="1" si="6"/>
        <v>#NAME?</v>
      </c>
      <c r="AC18" s="251" t="e" cm="1">
        <f t="array" aca="1" ref="AC18" ca="1">_xll.BDP($D18&amp;" Equity","volatility_10d")</f>
        <v>#NAME?</v>
      </c>
      <c r="AD18" s="76" t="e" cm="1">
        <f t="array" aca="1" ref="AD18" ca="1">_xll.BDP(B18&amp;" Equity","ivol_mid")</f>
        <v>#NAME?</v>
      </c>
      <c r="AE18" s="76" t="e">
        <f t="shared" ca="1" si="7"/>
        <v>#NAME?</v>
      </c>
      <c r="AF18" s="77" t="e" cm="1">
        <f t="array" aca="1" ref="AF18" ca="1">_xll.BDP(B18&amp;" Equity","DELTA_MID_RT")</f>
        <v>#NAME?</v>
      </c>
      <c r="AG18" s="74" t="e">
        <f ca="1">AL18/'Master P&amp;L'!$AE$7</f>
        <v>#NAME?</v>
      </c>
      <c r="AH18" s="74" t="e">
        <f ca="1">AM18/'Master P&amp;L'!$AE$7</f>
        <v>#NAME?</v>
      </c>
      <c r="AI18" s="353" t="e">
        <f ca="1">AO18/'Master P&amp;L'!$AD$7*10000</f>
        <v>#NAME?</v>
      </c>
      <c r="AJ18" s="277" t="e">
        <f t="shared" ca="1" si="8"/>
        <v>#NAME?</v>
      </c>
      <c r="AK18" s="77" t="e">
        <f ca="1">AP18/'Master P&amp;L'!$AD$7*10000</f>
        <v>#NAME?</v>
      </c>
      <c r="AL18" s="41" t="e">
        <f t="shared" ca="1" si="9"/>
        <v>#NAME?</v>
      </c>
      <c r="AM18" s="41" t="e">
        <f t="shared" ca="1" si="10"/>
        <v>#NAME?</v>
      </c>
      <c r="AN18" s="77" t="e" cm="1">
        <f t="array" aca="1" ref="AN18" ca="1">_xll.BDP($B18&amp;" Equity","theta_mid_rt")</f>
        <v>#NAME?</v>
      </c>
      <c r="AO18" s="41" t="e">
        <f t="shared" ca="1" si="11"/>
        <v>#NAME?</v>
      </c>
      <c r="AP18" s="41" t="e">
        <f t="shared" ca="1" si="12"/>
        <v>#NAME?</v>
      </c>
      <c r="AQ18" s="73" t="e" cm="1">
        <f t="array" aca="1" ref="AQ18" ca="1">_xll.BDP($D18&amp;" Equity","EXPECTED_REPORT_DT")</f>
        <v>#NAME?</v>
      </c>
      <c r="AR18" s="189" t="e" cm="1">
        <f t="array" aca="1" ref="AR18" ca="1">_xll.BDP($B18&amp;" Equity","GAMMA_LAST")</f>
        <v>#NAME?</v>
      </c>
      <c r="AS18" s="72" t="e">
        <f t="shared" ca="1" si="13"/>
        <v>#NAME?</v>
      </c>
      <c r="AT18" s="72" t="e">
        <f t="shared" ca="1" si="14"/>
        <v>#NAME?</v>
      </c>
      <c r="AU18" s="72" t="s">
        <v>95</v>
      </c>
      <c r="AV18" s="250" t="e" cm="1">
        <f t="array" aca="1" ref="AV18" ca="1">_xll.BDP($D18&amp;" Equity","EST_PE_NXT_YR")*(AA18/Z18)</f>
        <v>#NAME?</v>
      </c>
      <c r="AW18" s="72"/>
      <c r="AX18" s="41"/>
      <c r="AY18" s="250">
        <v>2.1800000000000002</v>
      </c>
      <c r="AZ18" s="281"/>
      <c r="BA18" s="41">
        <f t="shared" si="15"/>
        <v>2.1800000000000002</v>
      </c>
      <c r="BB18" s="273">
        <f t="shared" si="16"/>
        <v>3.0249999999999999</v>
      </c>
      <c r="BC18" s="273">
        <f t="shared" si="17"/>
        <v>-25349.999999999993</v>
      </c>
      <c r="BD18" s="273">
        <f>BC18/'Master P&amp;L'!$AD$7*10000</f>
        <v>-0.10042147479257552</v>
      </c>
    </row>
    <row r="19" spans="1:56" ht="15.75" customHeight="1">
      <c r="A19" s="283"/>
      <c r="B19" t="s">
        <v>1103</v>
      </c>
      <c r="C19" t="e" cm="1">
        <f t="array" aca="1" ref="C19" ca="1">_xll.BDP($B19&amp;" Equity","opt_put_call")</f>
        <v>#NAME?</v>
      </c>
      <c r="D19" t="e" cm="1">
        <f t="array" aca="1" ref="D19" ca="1">_xll.BDP(B19&amp;" Equity","OPT_UNDL_TICKER")</f>
        <v>#NAME?</v>
      </c>
      <c r="E19" t="e" cm="1">
        <f t="array" aca="1" ref="E19" ca="1">_xll.BDP($B19&amp;" Equity","mifid_Maturity_date")</f>
        <v>#NAME?</v>
      </c>
      <c r="F19" t="e" cm="1">
        <f t="array" aca="1" ref="F19" ca="1">_xll.BDP($B19&amp;" Equity","opt_days_expire")</f>
        <v>#NAME?</v>
      </c>
      <c r="G19" t="e" cm="1">
        <f t="array" aca="1" ref="G19" ca="1">_xll.BDP(B19&amp;" Equity","QUOTED_CURRENCY_REALTIME")</f>
        <v>#NAME?</v>
      </c>
      <c r="H19" s="15">
        <v>-100</v>
      </c>
      <c r="I19" s="336">
        <v>2.13</v>
      </c>
      <c r="J19" s="14">
        <f>VLOOKUP(B19,Precificação!$B:$O,14,FALSE)</f>
        <v>2.2400000000000002</v>
      </c>
      <c r="K19" s="73">
        <f t="shared" si="18"/>
        <v>2.2400000000000002</v>
      </c>
      <c r="L19" s="35" t="e" cm="1">
        <f t="array" aca="1" ref="L19" ca="1">_xll.BDP($B19&amp;" Equity","mid")</f>
        <v>#NAME?</v>
      </c>
      <c r="M19" s="18" t="e">
        <f t="shared" ca="1" si="0"/>
        <v>#NAME?</v>
      </c>
      <c r="N19" s="277"/>
      <c r="O19" s="18" t="e">
        <f t="shared" ca="1" si="1"/>
        <v>#NAME?</v>
      </c>
      <c r="P19" s="35" t="e" cm="1">
        <f t="array" aca="1" ref="P19" ca="1">_xll.BDP($B19&amp;" Equity","bid")</f>
        <v>#NAME?</v>
      </c>
      <c r="Q19" s="35" t="e" cm="1">
        <f t="array" aca="1" ref="Q19" ca="1">_xll.BDP($B19&amp;" Equity","ask")</f>
        <v>#NAME?</v>
      </c>
      <c r="R19" s="39" t="e">
        <f t="shared" ca="1" si="2"/>
        <v>#NAME?</v>
      </c>
      <c r="S19" s="35" t="e" cm="1">
        <f t="array" aca="1" ref="S19" ca="1">_xll.BDP(G19&amp;" Curncy","PX_LAST")</f>
        <v>#NAME?</v>
      </c>
      <c r="T19" s="15" t="e" cm="1">
        <f t="array" aca="1" ref="T19" ca="1">_xll.BDP(B19&amp;" Equity","OPT_MULTIPLIER")</f>
        <v>#NAME?</v>
      </c>
      <c r="U19" s="15" t="e">
        <f t="shared" ca="1" si="3"/>
        <v>#NAME?</v>
      </c>
      <c r="V19" s="122" t="e">
        <f ca="1">U19/'Master P&amp;L'!$AD$7*10000</f>
        <v>#NAME?</v>
      </c>
      <c r="W19" s="122" t="e">
        <f ca="1">(Y19*H19*T19/S19)/'Master P&amp;L'!$AD$7*10000</f>
        <v>#NAME?</v>
      </c>
      <c r="X19" s="339" t="e">
        <f t="shared" ca="1" si="4"/>
        <v>#NAME?</v>
      </c>
      <c r="Y19" s="202" t="e">
        <f t="shared" ca="1" si="5"/>
        <v>#NAME?</v>
      </c>
      <c r="Z19" s="36" t="e">
        <f ca="1">_xll.BDP(D19&amp;" Equity","LAST_PRICE")</f>
        <v>#NAME?</v>
      </c>
      <c r="AA19" s="36" t="e" cm="1">
        <f t="array" aca="1" ref="AA19" ca="1">_xll.BDP(B19&amp;" Equity","OPT_STRIKE_PX")</f>
        <v>#NAME?</v>
      </c>
      <c r="AB19" s="39" t="e">
        <f t="shared" ca="1" si="6"/>
        <v>#NAME?</v>
      </c>
      <c r="AC19" s="252" t="e" cm="1">
        <f t="array" aca="1" ref="AC19" ca="1">_xll.BDP($D19&amp;" Equity","volatility_10d")</f>
        <v>#NAME?</v>
      </c>
      <c r="AD19" s="36" t="e" cm="1">
        <f t="array" aca="1" ref="AD19" ca="1">_xll.BDP(B19&amp;" Equity","ivol_mid")</f>
        <v>#NAME?</v>
      </c>
      <c r="AE19" s="36" t="e">
        <f t="shared" ca="1" si="7"/>
        <v>#NAME?</v>
      </c>
      <c r="AF19" s="37" t="e" cm="1">
        <f t="array" aca="1" ref="AF19" ca="1">_xll.BDP(B19&amp;" Equity","DELTA_MID_RT")</f>
        <v>#NAME?</v>
      </c>
      <c r="AG19" s="18" t="e">
        <f ca="1">AL19/'Master P&amp;L'!$AE$7</f>
        <v>#NAME?</v>
      </c>
      <c r="AH19" s="18" t="e">
        <f ca="1">AM19/'Master P&amp;L'!$AE$7</f>
        <v>#NAME?</v>
      </c>
      <c r="AI19" s="352" t="e">
        <f ca="1">AO19/'Master P&amp;L'!$AD$7*10000</f>
        <v>#NAME?</v>
      </c>
      <c r="AJ19" s="277" t="e">
        <f t="shared" ca="1" si="8"/>
        <v>#NAME?</v>
      </c>
      <c r="AK19" s="37" t="e">
        <f ca="1">AP19/'Master P&amp;L'!$AD$7*10000</f>
        <v>#NAME?</v>
      </c>
      <c r="AL19" s="15" t="e">
        <f t="shared" ca="1" si="9"/>
        <v>#NAME?</v>
      </c>
      <c r="AM19" s="15" t="e">
        <f t="shared" ca="1" si="10"/>
        <v>#NAME?</v>
      </c>
      <c r="AN19" s="37" t="e" cm="1">
        <f t="array" aca="1" ref="AN19" ca="1">_xll.BDP($B19&amp;" Equity","theta_mid_rt")</f>
        <v>#NAME?</v>
      </c>
      <c r="AO19" s="15" t="e">
        <f t="shared" ca="1" si="11"/>
        <v>#NAME?</v>
      </c>
      <c r="AP19" s="15" t="e">
        <f t="shared" ca="1" si="12"/>
        <v>#NAME?</v>
      </c>
      <c r="AQ19" s="35" t="e" cm="1">
        <f t="array" aca="1" ref="AQ19" ca="1">_xll.BDP($D19&amp;" Equity","EXPECTED_REPORT_DT")</f>
        <v>#NAME?</v>
      </c>
      <c r="AR19" s="65" t="e" cm="1">
        <f t="array" aca="1" ref="AR19" ca="1">_xll.BDP($B19&amp;" Equity","GAMMA_LAST")</f>
        <v>#NAME?</v>
      </c>
      <c r="AS19" t="e">
        <f t="shared" ca="1" si="13"/>
        <v>#NAME?</v>
      </c>
      <c r="AT19" t="e">
        <f t="shared" ca="1" si="14"/>
        <v>#NAME?</v>
      </c>
      <c r="AU19" t="s">
        <v>95</v>
      </c>
      <c r="AV19" s="206" t="e" cm="1">
        <f t="array" aca="1" ref="AV19" ca="1">_xll.BDP($D19&amp;" Equity","EST_PE_NXT_YR")*(AA19/Z19)</f>
        <v>#NAME?</v>
      </c>
      <c r="AX19" s="15"/>
      <c r="AY19" s="206">
        <v>3.67</v>
      </c>
      <c r="AZ19" s="282"/>
      <c r="BA19" s="15">
        <f t="shared" si="15"/>
        <v>3.67</v>
      </c>
      <c r="BB19" s="340">
        <f t="shared" si="16"/>
        <v>2.2400000000000002</v>
      </c>
      <c r="BC19" s="340">
        <f t="shared" si="17"/>
        <v>14299.999999999996</v>
      </c>
      <c r="BD19" s="340">
        <f>BC19/'Master P&amp;L'!$AD$7*10000</f>
        <v>5.6648011421452864E-2</v>
      </c>
    </row>
    <row r="20" spans="1:56" ht="15.75" customHeight="1">
      <c r="A20" s="263"/>
      <c r="B20" s="72" t="s">
        <v>1029</v>
      </c>
      <c r="C20" s="72" t="e" cm="1">
        <f t="array" aca="1" ref="C20" ca="1">_xll.BDP($B20&amp;" Equity","opt_put_call")</f>
        <v>#NAME?</v>
      </c>
      <c r="D20" s="72" t="e" cm="1">
        <f t="array" aca="1" ref="D20" ca="1">_xll.BDP(B20&amp;" Equity","OPT_UNDL_TICKER")</f>
        <v>#NAME?</v>
      </c>
      <c r="E20" s="72" t="e" cm="1">
        <f t="array" aca="1" ref="E20" ca="1">_xll.BDP($B20&amp;" Equity","mifid_Maturity_date")</f>
        <v>#NAME?</v>
      </c>
      <c r="F20" s="72" t="e" cm="1">
        <f t="array" aca="1" ref="F20" ca="1">_xll.BDP($B20&amp;" Equity","opt_days_expire")</f>
        <v>#NAME?</v>
      </c>
      <c r="G20" s="72" t="e" cm="1">
        <f t="array" aca="1" ref="G20" ca="1">_xll.BDP(B20&amp;" Equity","QUOTED_CURRENCY_REALTIME")</f>
        <v>#NAME?</v>
      </c>
      <c r="H20" s="41">
        <v>150</v>
      </c>
      <c r="I20" s="335">
        <v>14.91</v>
      </c>
      <c r="J20" s="14">
        <f>VLOOKUP(B20,Precificação!$B:$O,14,FALSE)</f>
        <v>13.5</v>
      </c>
      <c r="K20" s="73">
        <f t="shared" si="18"/>
        <v>13.5</v>
      </c>
      <c r="L20" s="73" t="e" cm="1">
        <f t="array" aca="1" ref="L20" ca="1">_xll.BDP($B20&amp;" Equity","mid")</f>
        <v>#NAME?</v>
      </c>
      <c r="M20" s="74" t="e">
        <f t="shared" ca="1" si="0"/>
        <v>#NAME?</v>
      </c>
      <c r="N20" s="279"/>
      <c r="O20" s="74" t="e">
        <f t="shared" ca="1" si="1"/>
        <v>#NAME?</v>
      </c>
      <c r="P20" s="73" t="e" cm="1">
        <f t="array" aca="1" ref="P20" ca="1">_xll.BDP($B20&amp;" Equity","bid")</f>
        <v>#NAME?</v>
      </c>
      <c r="Q20" s="73" t="e" cm="1">
        <f t="array" aca="1" ref="Q20" ca="1">_xll.BDP($B20&amp;" Equity","ask")</f>
        <v>#NAME?</v>
      </c>
      <c r="R20" s="75" t="e">
        <f t="shared" ca="1" si="2"/>
        <v>#NAME?</v>
      </c>
      <c r="S20" s="35" t="e" cm="1">
        <f t="array" aca="1" ref="S20" ca="1">_xll.BDP(G20&amp;" Curncy","PX_LAST")</f>
        <v>#NAME?</v>
      </c>
      <c r="T20" s="41" t="e" cm="1">
        <f t="array" aca="1" ref="T20" ca="1">_xll.BDP(B20&amp;" Equity","OPT_MULTIPLIER")</f>
        <v>#NAME?</v>
      </c>
      <c r="U20" s="41" t="e">
        <f t="shared" ca="1" si="3"/>
        <v>#NAME?</v>
      </c>
      <c r="V20" s="111" t="e">
        <f ca="1">U20/'Master P&amp;L'!$AD$7*10000</f>
        <v>#NAME?</v>
      </c>
      <c r="W20" s="111" t="e">
        <f ca="1">(Y20*H20*T20/S20)/'Master P&amp;L'!$AD$7*10000</f>
        <v>#NAME?</v>
      </c>
      <c r="X20" s="116" t="e">
        <f t="shared" ca="1" si="4"/>
        <v>#NAME?</v>
      </c>
      <c r="Y20" s="201" t="e">
        <f t="shared" ca="1" si="5"/>
        <v>#NAME?</v>
      </c>
      <c r="Z20" s="76" t="e">
        <f ca="1">_xll.BDP(D20&amp;" Equity","LAST_PRICE")</f>
        <v>#NAME?</v>
      </c>
      <c r="AA20" s="76" t="e" cm="1">
        <f t="array" aca="1" ref="AA20" ca="1">_xll.BDP(B20&amp;" Equity","OPT_STRIKE_PX")</f>
        <v>#NAME?</v>
      </c>
      <c r="AB20" s="75" t="e">
        <f t="shared" ca="1" si="6"/>
        <v>#NAME?</v>
      </c>
      <c r="AC20" s="251" t="e" cm="1">
        <f t="array" aca="1" ref="AC20" ca="1">_xll.BDP($D20&amp;" Equity","volatility_10d")</f>
        <v>#NAME?</v>
      </c>
      <c r="AD20" s="76" t="e" cm="1">
        <f t="array" aca="1" ref="AD20" ca="1">_xll.BDP(B20&amp;" Equity","ivol_mid")</f>
        <v>#NAME?</v>
      </c>
      <c r="AE20" s="76" t="e">
        <f t="shared" ca="1" si="7"/>
        <v>#NAME?</v>
      </c>
      <c r="AF20" s="77" t="e" cm="1">
        <f t="array" aca="1" ref="AF20" ca="1">_xll.BDP(B20&amp;" Equity","DELTA_MID_RT")</f>
        <v>#NAME?</v>
      </c>
      <c r="AG20" s="74" t="e">
        <f ca="1">AL20/'Master P&amp;L'!$AE$7</f>
        <v>#NAME?</v>
      </c>
      <c r="AH20" s="74" t="e">
        <f ca="1">AM20/'Master P&amp;L'!$AE$7</f>
        <v>#NAME?</v>
      </c>
      <c r="AI20" s="353" t="e">
        <f ca="1">AO20/'Master P&amp;L'!$AD$7*10000</f>
        <v>#NAME?</v>
      </c>
      <c r="AJ20" s="277" t="e">
        <f t="shared" ca="1" si="8"/>
        <v>#NAME?</v>
      </c>
      <c r="AK20" s="77" t="e">
        <f ca="1">AP20/'Master P&amp;L'!$AD$7*10000</f>
        <v>#NAME?</v>
      </c>
      <c r="AL20" s="41" t="e">
        <f t="shared" ca="1" si="9"/>
        <v>#NAME?</v>
      </c>
      <c r="AM20" s="41" t="e">
        <f t="shared" ca="1" si="10"/>
        <v>#NAME?</v>
      </c>
      <c r="AN20" s="77" t="e" cm="1">
        <f t="array" aca="1" ref="AN20" ca="1">_xll.BDP($B20&amp;" Equity","theta_mid_rt")</f>
        <v>#NAME?</v>
      </c>
      <c r="AO20" s="41" t="e">
        <f t="shared" ca="1" si="11"/>
        <v>#NAME?</v>
      </c>
      <c r="AP20" s="41" t="e">
        <f t="shared" ca="1" si="12"/>
        <v>#NAME?</v>
      </c>
      <c r="AQ20" s="73" t="e" cm="1">
        <f t="array" aca="1" ref="AQ20" ca="1">_xll.BDP($D20&amp;" Equity","EXPECTED_REPORT_DT")</f>
        <v>#NAME?</v>
      </c>
      <c r="AR20" s="189" t="e" cm="1">
        <f t="array" aca="1" ref="AR20" ca="1">_xll.BDP($B20&amp;" Equity","GAMMA_LAST")</f>
        <v>#NAME?</v>
      </c>
      <c r="AS20" s="72" t="e">
        <f t="shared" ca="1" si="13"/>
        <v>#NAME?</v>
      </c>
      <c r="AT20" s="72" t="e">
        <f t="shared" ca="1" si="14"/>
        <v>#NAME?</v>
      </c>
      <c r="AU20" s="72" t="s">
        <v>95</v>
      </c>
      <c r="AV20" s="250" t="e" cm="1">
        <f t="array" aca="1" ref="AV20" ca="1">_xll.BDP($D20&amp;" Equity","EST_PE_NXT_YR")*(AA20/Z20)</f>
        <v>#NAME?</v>
      </c>
      <c r="AW20" s="72"/>
      <c r="AX20" s="41"/>
      <c r="AY20" s="250">
        <v>12.48</v>
      </c>
      <c r="AZ20" s="281"/>
      <c r="BA20" s="41">
        <f t="shared" si="15"/>
        <v>12.48</v>
      </c>
      <c r="BB20" s="273">
        <f t="shared" si="16"/>
        <v>13.5</v>
      </c>
      <c r="BC20" s="273">
        <f t="shared" si="17"/>
        <v>15299.999999999995</v>
      </c>
      <c r="BD20" s="273">
        <f>BC20/'Master P&amp;L'!$AD$7*10000</f>
        <v>6.0609410821554452E-2</v>
      </c>
    </row>
    <row r="21" spans="1:56" ht="15.75" customHeight="1">
      <c r="A21" s="283"/>
      <c r="B21" t="s">
        <v>1218</v>
      </c>
      <c r="C21" t="e" cm="1">
        <f t="array" aca="1" ref="C21" ca="1">_xll.BDP($B21&amp;" Equity","opt_put_call")</f>
        <v>#NAME?</v>
      </c>
      <c r="D21" t="e" cm="1">
        <f t="array" aca="1" ref="D21" ca="1">_xll.BDP(B21&amp;" Equity","OPT_UNDL_TICKER")</f>
        <v>#NAME?</v>
      </c>
      <c r="E21" t="e" cm="1">
        <f t="array" aca="1" ref="E21" ca="1">_xll.BDP($B21&amp;" Equity","mifid_Maturity_date")</f>
        <v>#NAME?</v>
      </c>
      <c r="F21" t="e" cm="1">
        <f t="array" aca="1" ref="F21" ca="1">_xll.BDP($B21&amp;" Equity","opt_days_expire")</f>
        <v>#NAME?</v>
      </c>
      <c r="G21" t="e" cm="1">
        <f t="array" aca="1" ref="G21" ca="1">_xll.BDP(B21&amp;" Equity","QUOTED_CURRENCY_REALTIME")</f>
        <v>#NAME?</v>
      </c>
      <c r="H21" s="15">
        <v>725</v>
      </c>
      <c r="I21" s="336">
        <v>7.98</v>
      </c>
      <c r="J21" s="14">
        <f>VLOOKUP(B21,Precificação!$B:$O,14,FALSE)</f>
        <v>7.4</v>
      </c>
      <c r="K21" s="73">
        <f t="shared" si="18"/>
        <v>7.4</v>
      </c>
      <c r="L21" s="35" t="e" cm="1">
        <f t="array" aca="1" ref="L21" ca="1">_xll.BDP($B21&amp;" Equity","mid")</f>
        <v>#NAME?</v>
      </c>
      <c r="M21" s="18" t="e">
        <f t="shared" ca="1" si="0"/>
        <v>#NAME?</v>
      </c>
      <c r="N21" s="277"/>
      <c r="O21" s="18" t="e">
        <f t="shared" ca="1" si="1"/>
        <v>#NAME?</v>
      </c>
      <c r="P21" s="35" t="e" cm="1">
        <f t="array" aca="1" ref="P21" ca="1">_xll.BDP($B21&amp;" Equity","bid")</f>
        <v>#NAME?</v>
      </c>
      <c r="Q21" s="35" t="e" cm="1">
        <f t="array" aca="1" ref="Q21" ca="1">_xll.BDP($B21&amp;" Equity","ask")</f>
        <v>#NAME?</v>
      </c>
      <c r="R21" s="39" t="e">
        <f t="shared" ca="1" si="2"/>
        <v>#NAME?</v>
      </c>
      <c r="S21" s="35" t="e" cm="1">
        <f t="array" aca="1" ref="S21" ca="1">_xll.BDP(G21&amp;" Curncy","PX_LAST")</f>
        <v>#NAME?</v>
      </c>
      <c r="T21" s="15" t="e" cm="1">
        <f t="array" aca="1" ref="T21" ca="1">_xll.BDP(B21&amp;" Equity","OPT_MULTIPLIER")</f>
        <v>#NAME?</v>
      </c>
      <c r="U21" s="15" t="e">
        <f t="shared" ca="1" si="3"/>
        <v>#NAME?</v>
      </c>
      <c r="V21" s="122" t="e">
        <f ca="1">U21/'Master P&amp;L'!$AD$7*10000</f>
        <v>#NAME?</v>
      </c>
      <c r="W21" s="122" t="e">
        <f ca="1">(Y21*H21*T21/S21)/'Master P&amp;L'!$AD$7*10000</f>
        <v>#NAME?</v>
      </c>
      <c r="X21" s="339" t="e">
        <f t="shared" ca="1" si="4"/>
        <v>#NAME?</v>
      </c>
      <c r="Y21" s="202" t="e">
        <f t="shared" ca="1" si="5"/>
        <v>#NAME?</v>
      </c>
      <c r="Z21" s="36" t="e">
        <f ca="1">_xll.BDP(D21&amp;" Equity","LAST_PRICE")</f>
        <v>#NAME?</v>
      </c>
      <c r="AA21" s="36" t="e" cm="1">
        <f t="array" aca="1" ref="AA21" ca="1">_xll.BDP(B21&amp;" Equity","OPT_STRIKE_PX")</f>
        <v>#NAME?</v>
      </c>
      <c r="AB21" s="39" t="e">
        <f t="shared" ca="1" si="6"/>
        <v>#NAME?</v>
      </c>
      <c r="AC21" s="252" t="e" cm="1">
        <f t="array" aca="1" ref="AC21" ca="1">_xll.BDP($D21&amp;" Equity","volatility_10d")</f>
        <v>#NAME?</v>
      </c>
      <c r="AD21" s="36" t="e" cm="1">
        <f t="array" aca="1" ref="AD21" ca="1">_xll.BDP(B21&amp;" Equity","ivol_mid")</f>
        <v>#NAME?</v>
      </c>
      <c r="AE21" s="36" t="e">
        <f t="shared" ca="1" si="7"/>
        <v>#NAME?</v>
      </c>
      <c r="AF21" s="37" t="e" cm="1">
        <f t="array" aca="1" ref="AF21" ca="1">_xll.BDP(B21&amp;" Equity","DELTA_MID_RT")</f>
        <v>#NAME?</v>
      </c>
      <c r="AG21" s="18" t="e">
        <f ca="1">AL21/'Master P&amp;L'!$AE$7</f>
        <v>#NAME?</v>
      </c>
      <c r="AH21" s="18" t="e">
        <f ca="1">AM21/'Master P&amp;L'!$AE$7</f>
        <v>#NAME?</v>
      </c>
      <c r="AI21" s="352" t="e">
        <f ca="1">AO21/'Master P&amp;L'!$AD$7*10000</f>
        <v>#NAME?</v>
      </c>
      <c r="AJ21" s="277" t="e">
        <f t="shared" ca="1" si="8"/>
        <v>#NAME?</v>
      </c>
      <c r="AK21" s="37" t="e">
        <f ca="1">AP21/'Master P&amp;L'!$AD$7*10000</f>
        <v>#NAME?</v>
      </c>
      <c r="AL21" s="15" t="e">
        <f t="shared" ca="1" si="9"/>
        <v>#NAME?</v>
      </c>
      <c r="AM21" s="15" t="e">
        <f t="shared" ca="1" si="10"/>
        <v>#NAME?</v>
      </c>
      <c r="AN21" s="37" t="e" cm="1">
        <f t="array" aca="1" ref="AN21" ca="1">_xll.BDP($B21&amp;" Equity","theta_mid_rt")</f>
        <v>#NAME?</v>
      </c>
      <c r="AO21" s="15" t="e">
        <f t="shared" ca="1" si="11"/>
        <v>#NAME?</v>
      </c>
      <c r="AP21" s="15" t="e">
        <f t="shared" ca="1" si="12"/>
        <v>#NAME?</v>
      </c>
      <c r="AQ21" s="35" t="e" cm="1">
        <f t="array" aca="1" ref="AQ21" ca="1">_xll.BDP($D21&amp;" Equity","EXPECTED_REPORT_DT")</f>
        <v>#NAME?</v>
      </c>
      <c r="AR21" s="65" t="e" cm="1">
        <f t="array" aca="1" ref="AR21" ca="1">_xll.BDP($B21&amp;" Equity","GAMMA_LAST")</f>
        <v>#NAME?</v>
      </c>
      <c r="AS21" t="e">
        <f t="shared" ca="1" si="13"/>
        <v>#NAME?</v>
      </c>
      <c r="AT21" t="e">
        <f t="shared" ca="1" si="14"/>
        <v>#NAME?</v>
      </c>
      <c r="AU21" t="s">
        <v>95</v>
      </c>
      <c r="AV21" s="206" t="e" cm="1">
        <f t="array" aca="1" ref="AV21" ca="1">_xll.BDP($D21&amp;" Equity","EST_PE_NXT_YR")*(AA21/Z21)</f>
        <v>#NAME?</v>
      </c>
      <c r="AX21" s="15"/>
      <c r="AY21" s="206">
        <v>6.55</v>
      </c>
      <c r="AZ21" s="282"/>
      <c r="BA21" s="15">
        <f t="shared" si="15"/>
        <v>6.55</v>
      </c>
      <c r="BB21" s="340">
        <f t="shared" si="16"/>
        <v>7.4</v>
      </c>
      <c r="BC21" s="340">
        <f t="shared" si="17"/>
        <v>61625.000000000036</v>
      </c>
      <c r="BD21" s="340">
        <f>BC21/'Master P&amp;L'!$AD$7*10000</f>
        <v>0.24412123803126123</v>
      </c>
    </row>
    <row r="22" spans="1:56" ht="15.75" customHeight="1">
      <c r="A22" s="263"/>
      <c r="B22" s="72" t="s">
        <v>1219</v>
      </c>
      <c r="C22" s="72" t="e" cm="1">
        <f t="array" aca="1" ref="C22" ca="1">_xll.BDP($B22&amp;" Equity","opt_put_call")</f>
        <v>#NAME?</v>
      </c>
      <c r="D22" s="72" t="e" cm="1">
        <f t="array" aca="1" ref="D22" ca="1">_xll.BDP(B22&amp;" Equity","OPT_UNDL_TICKER")</f>
        <v>#NAME?</v>
      </c>
      <c r="E22" s="72" t="e" cm="1">
        <f t="array" aca="1" ref="E22" ca="1">_xll.BDP($B22&amp;" Equity","mifid_Maturity_date")</f>
        <v>#NAME?</v>
      </c>
      <c r="F22" s="72" t="e" cm="1">
        <f t="array" aca="1" ref="F22" ca="1">_xll.BDP($B22&amp;" Equity","opt_days_expire")</f>
        <v>#NAME?</v>
      </c>
      <c r="G22" s="72" t="e" cm="1">
        <f t="array" aca="1" ref="G22" ca="1">_xll.BDP(B22&amp;" Equity","QUOTED_CURRENCY_REALTIME")</f>
        <v>#NAME?</v>
      </c>
      <c r="H22" s="41">
        <v>-725</v>
      </c>
      <c r="I22" s="335">
        <v>2.54</v>
      </c>
      <c r="J22" s="14">
        <f>VLOOKUP(B22,Precificação!$B:$O,14,FALSE)</f>
        <v>2.3650000000000002</v>
      </c>
      <c r="K22" s="73">
        <f t="shared" si="18"/>
        <v>2.3650000000000002</v>
      </c>
      <c r="L22" s="73" t="e" cm="1">
        <f t="array" aca="1" ref="L22" ca="1">_xll.BDP($B22&amp;" Equity","mid")</f>
        <v>#NAME?</v>
      </c>
      <c r="M22" s="74" t="e">
        <f t="shared" ca="1" si="0"/>
        <v>#NAME?</v>
      </c>
      <c r="N22" s="279"/>
      <c r="O22" s="74" t="e">
        <f t="shared" ca="1" si="1"/>
        <v>#NAME?</v>
      </c>
      <c r="P22" s="73" t="e" cm="1">
        <f t="array" aca="1" ref="P22" ca="1">_xll.BDP($B22&amp;" Equity","bid")</f>
        <v>#NAME?</v>
      </c>
      <c r="Q22" s="73" t="e" cm="1">
        <f t="array" aca="1" ref="Q22" ca="1">_xll.BDP($B22&amp;" Equity","ask")</f>
        <v>#NAME?</v>
      </c>
      <c r="R22" s="75" t="e">
        <f t="shared" ca="1" si="2"/>
        <v>#NAME?</v>
      </c>
      <c r="S22" s="35" t="e" cm="1">
        <f t="array" aca="1" ref="S22" ca="1">_xll.BDP(G22&amp;" Curncy","PX_LAST")</f>
        <v>#NAME?</v>
      </c>
      <c r="T22" s="41" t="e" cm="1">
        <f t="array" aca="1" ref="T22" ca="1">_xll.BDP(B22&amp;" Equity","OPT_MULTIPLIER")</f>
        <v>#NAME?</v>
      </c>
      <c r="U22" s="41" t="e">
        <f t="shared" ca="1" si="3"/>
        <v>#NAME?</v>
      </c>
      <c r="V22" s="111" t="e">
        <f ca="1">U22/'Master P&amp;L'!$AD$7*10000</f>
        <v>#NAME?</v>
      </c>
      <c r="W22" s="111" t="e">
        <f ca="1">(Y22*H22*T22/S22)/'Master P&amp;L'!$AD$7*10000</f>
        <v>#NAME?</v>
      </c>
      <c r="X22" s="116" t="e">
        <f t="shared" ca="1" si="4"/>
        <v>#NAME?</v>
      </c>
      <c r="Y22" s="201" t="e">
        <f t="shared" ca="1" si="5"/>
        <v>#NAME?</v>
      </c>
      <c r="Z22" s="76" t="e">
        <f ca="1">_xll.BDP(D22&amp;" Equity","LAST_PRICE")</f>
        <v>#NAME?</v>
      </c>
      <c r="AA22" s="76" t="e" cm="1">
        <f t="array" aca="1" ref="AA22" ca="1">_xll.BDP(B22&amp;" Equity","OPT_STRIKE_PX")</f>
        <v>#NAME?</v>
      </c>
      <c r="AB22" s="75" t="e">
        <f t="shared" ca="1" si="6"/>
        <v>#NAME?</v>
      </c>
      <c r="AC22" s="251" t="e" cm="1">
        <f t="array" aca="1" ref="AC22" ca="1">_xll.BDP($D22&amp;" Equity","volatility_10d")</f>
        <v>#NAME?</v>
      </c>
      <c r="AD22" s="76" t="e" cm="1">
        <f t="array" aca="1" ref="AD22" ca="1">_xll.BDP(B22&amp;" Equity","ivol_mid")</f>
        <v>#NAME?</v>
      </c>
      <c r="AE22" s="76" t="e">
        <f t="shared" ca="1" si="7"/>
        <v>#NAME?</v>
      </c>
      <c r="AF22" s="77" t="e" cm="1">
        <f t="array" aca="1" ref="AF22" ca="1">_xll.BDP(B22&amp;" Equity","DELTA_MID_RT")</f>
        <v>#NAME?</v>
      </c>
      <c r="AG22" s="74" t="e">
        <f ca="1">AL22/'Master P&amp;L'!$AE$7</f>
        <v>#NAME?</v>
      </c>
      <c r="AH22" s="74" t="e">
        <f ca="1">AM22/'Master P&amp;L'!$AE$7</f>
        <v>#NAME?</v>
      </c>
      <c r="AI22" s="353" t="e">
        <f ca="1">AO22/'Master P&amp;L'!$AD$7*10000</f>
        <v>#NAME?</v>
      </c>
      <c r="AJ22" s="277" t="e">
        <f t="shared" ca="1" si="8"/>
        <v>#NAME?</v>
      </c>
      <c r="AK22" s="77" t="e">
        <f ca="1">AP22/'Master P&amp;L'!$AD$7*10000</f>
        <v>#NAME?</v>
      </c>
      <c r="AL22" s="41" t="e">
        <f t="shared" ca="1" si="9"/>
        <v>#NAME?</v>
      </c>
      <c r="AM22" s="41" t="e">
        <f t="shared" ca="1" si="10"/>
        <v>#NAME?</v>
      </c>
      <c r="AN22" s="77" t="e" cm="1">
        <f t="array" aca="1" ref="AN22" ca="1">_xll.BDP($B22&amp;" Equity","theta_mid_rt")</f>
        <v>#NAME?</v>
      </c>
      <c r="AO22" s="41" t="e">
        <f t="shared" ca="1" si="11"/>
        <v>#NAME?</v>
      </c>
      <c r="AP22" s="41" t="e">
        <f t="shared" ca="1" si="12"/>
        <v>#NAME?</v>
      </c>
      <c r="AQ22" s="73" t="e" cm="1">
        <f t="array" aca="1" ref="AQ22" ca="1">_xll.BDP($D22&amp;" Equity","EXPECTED_REPORT_DT")</f>
        <v>#NAME?</v>
      </c>
      <c r="AR22" s="189" t="e" cm="1">
        <f t="array" aca="1" ref="AR22" ca="1">_xll.BDP($B22&amp;" Equity","GAMMA_LAST")</f>
        <v>#NAME?</v>
      </c>
      <c r="AS22" s="72" t="e">
        <f t="shared" ca="1" si="13"/>
        <v>#NAME?</v>
      </c>
      <c r="AT22" s="72" t="e">
        <f t="shared" ca="1" si="14"/>
        <v>#NAME?</v>
      </c>
      <c r="AU22" s="72" t="s">
        <v>95</v>
      </c>
      <c r="AV22" s="250" t="e" cm="1">
        <f t="array" aca="1" ref="AV22" ca="1">_xll.BDP($D22&amp;" Equity","EST_PE_NXT_YR")*(AA22/Z22)</f>
        <v>#NAME?</v>
      </c>
      <c r="AW22" s="72"/>
      <c r="AX22" s="41"/>
      <c r="AY22" s="250">
        <v>2.0499999999999998</v>
      </c>
      <c r="AZ22" s="281"/>
      <c r="BA22" s="41">
        <f t="shared" si="15"/>
        <v>2.0499999999999998</v>
      </c>
      <c r="BB22" s="273">
        <f t="shared" si="16"/>
        <v>2.3650000000000002</v>
      </c>
      <c r="BC22" s="273">
        <f t="shared" si="17"/>
        <v>-22837.500000000029</v>
      </c>
      <c r="BD22" s="273">
        <f>BC22/'Master P&amp;L'!$AD$7*10000</f>
        <v>-9.0468458799820406E-2</v>
      </c>
    </row>
    <row r="23" spans="1:56" s="397" customFormat="1" ht="15.75" customHeight="1">
      <c r="A23" s="528" t="s">
        <v>442</v>
      </c>
      <c r="B23" s="397" t="s">
        <v>1254</v>
      </c>
      <c r="C23" s="397" t="e" cm="1">
        <f t="array" aca="1" ref="C23" ca="1">_xll.BDP($B23&amp;" Equity","opt_put_call")</f>
        <v>#NAME?</v>
      </c>
      <c r="D23" s="397" t="e" cm="1">
        <f t="array" aca="1" ref="D23" ca="1">_xll.BDP(B23&amp;" Equity","OPT_UNDL_TICKER")</f>
        <v>#NAME?</v>
      </c>
      <c r="E23" s="397" t="e" cm="1">
        <f t="array" aca="1" ref="E23" ca="1">_xll.BDP($B23&amp;" Equity","mifid_Maturity_date")</f>
        <v>#NAME?</v>
      </c>
      <c r="F23" s="397" t="e" cm="1">
        <f t="array" aca="1" ref="F23" ca="1">_xll.BDP($B23&amp;" Equity","opt_days_expire")</f>
        <v>#NAME?</v>
      </c>
      <c r="G23" s="397" t="e" cm="1">
        <f t="array" aca="1" ref="G23" ca="1">_xll.BDP(B23&amp;" Equity","QUOTED_CURRENCY_REALTIME")</f>
        <v>#NAME?</v>
      </c>
      <c r="H23" s="527">
        <v>900</v>
      </c>
      <c r="I23" s="526">
        <v>7.44</v>
      </c>
      <c r="J23" s="525" t="e">
        <f>VLOOKUP(B23,Precificação!$B:$O,14,FALSE)</f>
        <v>#N/A</v>
      </c>
      <c r="K23" s="525" t="e">
        <f t="shared" si="18"/>
        <v>#N/A</v>
      </c>
      <c r="L23" s="525" t="e" cm="1">
        <f t="array" aca="1" ref="L23" ca="1">_xll.BDP($B23&amp;" Equity","mid")</f>
        <v>#NAME?</v>
      </c>
      <c r="M23" s="516" t="e">
        <f t="shared" ca="1" si="0"/>
        <v>#NAME?</v>
      </c>
      <c r="N23" s="524"/>
      <c r="O23" s="516" t="e">
        <f t="shared" ca="1" si="1"/>
        <v>#NAME?</v>
      </c>
      <c r="P23" s="525" t="e" cm="1">
        <f t="array" aca="1" ref="P23" ca="1">_xll.BDP($B23&amp;" Equity","bid")</f>
        <v>#NAME?</v>
      </c>
      <c r="Q23" s="525" t="e" cm="1">
        <f t="array" aca="1" ref="Q23" ca="1">_xll.BDP($B23&amp;" Equity","ask")</f>
        <v>#NAME?</v>
      </c>
      <c r="R23" s="523" t="e">
        <f t="shared" ca="1" si="2"/>
        <v>#NAME?</v>
      </c>
      <c r="S23" s="525" t="e" cm="1">
        <f t="array" aca="1" ref="S23" ca="1">_xll.BDP(G23&amp;" Curncy","PX_LAST")</f>
        <v>#NAME?</v>
      </c>
      <c r="T23" s="527" t="e" cm="1">
        <f t="array" aca="1" ref="T23" ca="1">_xll.BDP(B23&amp;" Equity","OPT_MULTIPLIER")</f>
        <v>#NAME?</v>
      </c>
      <c r="U23" s="527" t="e">
        <f t="shared" ca="1" si="3"/>
        <v>#NAME?</v>
      </c>
      <c r="V23" s="522" t="e">
        <f ca="1">U23/'Master P&amp;L'!$AD$7*10000</f>
        <v>#NAME?</v>
      </c>
      <c r="W23" s="522" t="e">
        <f ca="1">(Y23*H23*T23/S23)/'Master P&amp;L'!$AD$7*10000</f>
        <v>#NAME?</v>
      </c>
      <c r="X23" s="515" t="e">
        <f t="shared" ca="1" si="4"/>
        <v>#NAME?</v>
      </c>
      <c r="Y23" s="521" t="e">
        <f t="shared" ca="1" si="5"/>
        <v>#NAME?</v>
      </c>
      <c r="Z23" s="520" t="e">
        <f ca="1">_xll.BDP(D23&amp;" Equity","LAST_PRICE")</f>
        <v>#NAME?</v>
      </c>
      <c r="AA23" s="520" t="e" cm="1">
        <f t="array" aca="1" ref="AA23" ca="1">_xll.BDP(B23&amp;" Equity","OPT_STRIKE_PX")</f>
        <v>#NAME?</v>
      </c>
      <c r="AB23" s="523" t="e">
        <f t="shared" ca="1" si="6"/>
        <v>#NAME?</v>
      </c>
      <c r="AC23" s="519" t="e" cm="1">
        <f t="array" aca="1" ref="AC23" ca="1">_xll.BDP($D23&amp;" Equity","volatility_10d")</f>
        <v>#NAME?</v>
      </c>
      <c r="AD23" s="520" t="e" cm="1">
        <f t="array" aca="1" ref="AD23" ca="1">_xll.BDP(B23&amp;" Equity","ivol_mid")</f>
        <v>#NAME?</v>
      </c>
      <c r="AE23" s="520" t="e">
        <f t="shared" ca="1" si="7"/>
        <v>#NAME?</v>
      </c>
      <c r="AF23" s="290" t="e" cm="1">
        <f t="array" aca="1" ref="AF23" ca="1">_xll.BDP(B23&amp;" Equity","DELTA_MID_RT")</f>
        <v>#NAME?</v>
      </c>
      <c r="AG23" s="516" t="e">
        <f ca="1">AL23/'Master P&amp;L'!$AE$7</f>
        <v>#NAME?</v>
      </c>
      <c r="AH23" s="516" t="e">
        <f ca="1">AM23/'Master P&amp;L'!$AE$7</f>
        <v>#NAME?</v>
      </c>
      <c r="AI23" s="514" t="e">
        <f ca="1">AO23/'Master P&amp;L'!$AD$7*10000</f>
        <v>#NAME?</v>
      </c>
      <c r="AJ23" s="524" t="e">
        <f t="shared" ca="1" si="8"/>
        <v>#NAME?</v>
      </c>
      <c r="AK23" s="290" t="e">
        <f ca="1">AP23/'Master P&amp;L'!$AD$7*10000</f>
        <v>#NAME?</v>
      </c>
      <c r="AL23" s="527" t="e">
        <f t="shared" ca="1" si="9"/>
        <v>#NAME?</v>
      </c>
      <c r="AM23" s="527" t="e">
        <f t="shared" ca="1" si="10"/>
        <v>#NAME?</v>
      </c>
      <c r="AN23" s="290" t="e" cm="1">
        <f t="array" aca="1" ref="AN23" ca="1">_xll.BDP($B23&amp;" Equity","theta_mid_rt")</f>
        <v>#NAME?</v>
      </c>
      <c r="AO23" s="527" t="e">
        <f t="shared" ca="1" si="11"/>
        <v>#NAME?</v>
      </c>
      <c r="AP23" s="527" t="e">
        <f t="shared" ca="1" si="12"/>
        <v>#NAME?</v>
      </c>
      <c r="AQ23" s="525" t="e" cm="1">
        <f t="array" aca="1" ref="AQ23" ca="1">_xll.BDP($D23&amp;" Equity","EXPECTED_REPORT_DT")</f>
        <v>#NAME?</v>
      </c>
      <c r="AR23" s="286" t="e" cm="1">
        <f t="array" aca="1" ref="AR23" ca="1">_xll.BDP($B23&amp;" Equity","GAMMA_LAST")</f>
        <v>#NAME?</v>
      </c>
      <c r="AS23" s="397" t="e">
        <f t="shared" ca="1" si="13"/>
        <v>#NAME?</v>
      </c>
      <c r="AT23" s="397" t="e">
        <f t="shared" ca="1" si="14"/>
        <v>#NAME?</v>
      </c>
      <c r="AU23" s="397" t="s">
        <v>95</v>
      </c>
      <c r="AV23" s="518" t="e" cm="1">
        <f t="array" aca="1" ref="AV23" ca="1">_xll.BDP($D23&amp;" Equity","EST_PE_NXT_YR")*(AA23/Z23)</f>
        <v>#NAME?</v>
      </c>
      <c r="AX23" s="527"/>
      <c r="AY23" s="518">
        <v>7.89</v>
      </c>
      <c r="AZ23" s="513"/>
      <c r="BA23" s="527">
        <f t="shared" si="15"/>
        <v>7.89</v>
      </c>
      <c r="BB23" s="517" t="e">
        <f t="shared" si="16"/>
        <v>#N/A</v>
      </c>
      <c r="BC23" s="517" t="e">
        <f t="shared" si="17"/>
        <v>#N/A</v>
      </c>
      <c r="BD23" s="517" t="e">
        <f>BC23/'Master P&amp;L'!$AD$7*10000</f>
        <v>#N/A</v>
      </c>
    </row>
    <row r="24" spans="1:56" s="397" customFormat="1" ht="15.75" customHeight="1">
      <c r="A24" s="528"/>
      <c r="B24" s="397" t="s">
        <v>1217</v>
      </c>
      <c r="C24" s="397" t="e" cm="1">
        <f t="array" aca="1" ref="C24" ca="1">_xll.BDP($B24&amp;" Equity","opt_put_call")</f>
        <v>#NAME?</v>
      </c>
      <c r="D24" s="397" t="e" cm="1">
        <f t="array" aca="1" ref="D24" ca="1">_xll.BDP(B24&amp;" Equity","OPT_UNDL_TICKER")</f>
        <v>#NAME?</v>
      </c>
      <c r="E24" s="397" t="e" cm="1">
        <f t="array" aca="1" ref="E24" ca="1">_xll.BDP($B24&amp;" Equity","mifid_Maturity_date")</f>
        <v>#NAME?</v>
      </c>
      <c r="F24" s="397" t="e" cm="1">
        <f t="array" aca="1" ref="F24" ca="1">_xll.BDP($B24&amp;" Equity","opt_days_expire")</f>
        <v>#NAME?</v>
      </c>
      <c r="G24" s="397" t="e" cm="1">
        <f t="array" aca="1" ref="G24" ca="1">_xll.BDP(B24&amp;" Equity","QUOTED_CURRENCY_REALTIME")</f>
        <v>#NAME?</v>
      </c>
      <c r="H24" s="527">
        <v>-900</v>
      </c>
      <c r="I24" s="526">
        <v>3.93</v>
      </c>
      <c r="J24" s="525">
        <f>VLOOKUP(B24,Precificação!$B:$O,14,FALSE)</f>
        <v>1.9550000000000001</v>
      </c>
      <c r="K24" s="525">
        <f t="shared" si="18"/>
        <v>1.9550000000000001</v>
      </c>
      <c r="L24" s="525" t="e" cm="1">
        <f t="array" aca="1" ref="L24" ca="1">_xll.BDP($B24&amp;" Equity","mid")</f>
        <v>#NAME?</v>
      </c>
      <c r="M24" s="516" t="e">
        <f t="shared" ca="1" si="0"/>
        <v>#NAME?</v>
      </c>
      <c r="N24" s="524"/>
      <c r="O24" s="516" t="e">
        <f t="shared" ca="1" si="1"/>
        <v>#NAME?</v>
      </c>
      <c r="P24" s="525" t="e" cm="1">
        <f t="array" aca="1" ref="P24" ca="1">_xll.BDP($B24&amp;" Equity","bid")</f>
        <v>#NAME?</v>
      </c>
      <c r="Q24" s="525" t="e" cm="1">
        <f t="array" aca="1" ref="Q24" ca="1">_xll.BDP($B24&amp;" Equity","ask")</f>
        <v>#NAME?</v>
      </c>
      <c r="R24" s="523" t="e">
        <f t="shared" ca="1" si="2"/>
        <v>#NAME?</v>
      </c>
      <c r="S24" s="525" t="e" cm="1">
        <f t="array" aca="1" ref="S24" ca="1">_xll.BDP(G24&amp;" Curncy","PX_LAST")</f>
        <v>#NAME?</v>
      </c>
      <c r="T24" s="527" t="e" cm="1">
        <f t="array" aca="1" ref="T24" ca="1">_xll.BDP(B24&amp;" Equity","OPT_MULTIPLIER")</f>
        <v>#NAME?</v>
      </c>
      <c r="U24" s="527" t="e">
        <f t="shared" ca="1" si="3"/>
        <v>#NAME?</v>
      </c>
      <c r="V24" s="522" t="e">
        <f ca="1">U24/'Master P&amp;L'!$AD$7*10000</f>
        <v>#NAME?</v>
      </c>
      <c r="W24" s="522" t="e">
        <f ca="1">(Y24*H24*T24/S24)/'Master P&amp;L'!$AD$7*10000</f>
        <v>#NAME?</v>
      </c>
      <c r="X24" s="515" t="e">
        <f t="shared" ca="1" si="4"/>
        <v>#NAME?</v>
      </c>
      <c r="Y24" s="521" t="e">
        <f t="shared" ca="1" si="5"/>
        <v>#NAME?</v>
      </c>
      <c r="Z24" s="520" t="e">
        <f ca="1">_xll.BDP(D24&amp;" Equity","LAST_PRICE")</f>
        <v>#NAME?</v>
      </c>
      <c r="AA24" s="520" t="e" cm="1">
        <f t="array" aca="1" ref="AA24" ca="1">_xll.BDP(B24&amp;" Equity","OPT_STRIKE_PX")</f>
        <v>#NAME?</v>
      </c>
      <c r="AB24" s="523" t="e">
        <f t="shared" ca="1" si="6"/>
        <v>#NAME?</v>
      </c>
      <c r="AC24" s="519" t="e" cm="1">
        <f t="array" aca="1" ref="AC24" ca="1">_xll.BDP($D24&amp;" Equity","volatility_10d")</f>
        <v>#NAME?</v>
      </c>
      <c r="AD24" s="520" t="e" cm="1">
        <f t="array" aca="1" ref="AD24" ca="1">_xll.BDP(B24&amp;" Equity","ivol_mid")</f>
        <v>#NAME?</v>
      </c>
      <c r="AE24" s="520" t="e">
        <f t="shared" ca="1" si="7"/>
        <v>#NAME?</v>
      </c>
      <c r="AF24" s="290" t="e" cm="1">
        <f t="array" aca="1" ref="AF24" ca="1">_xll.BDP(B24&amp;" Equity","DELTA_MID_RT")</f>
        <v>#NAME?</v>
      </c>
      <c r="AG24" s="516" t="e">
        <f ca="1">AL24/'Master P&amp;L'!$AE$7</f>
        <v>#NAME?</v>
      </c>
      <c r="AH24" s="516" t="e">
        <f ca="1">AM24/'Master P&amp;L'!$AE$7</f>
        <v>#NAME?</v>
      </c>
      <c r="AI24" s="514" t="e">
        <f ca="1">AO24/'Master P&amp;L'!$AD$7*10000</f>
        <v>#NAME?</v>
      </c>
      <c r="AJ24" s="524" t="e">
        <f t="shared" ca="1" si="8"/>
        <v>#NAME?</v>
      </c>
      <c r="AK24" s="290" t="e">
        <f ca="1">AP24/'Master P&amp;L'!$AD$7*10000</f>
        <v>#NAME?</v>
      </c>
      <c r="AL24" s="527" t="e">
        <f t="shared" ca="1" si="9"/>
        <v>#NAME?</v>
      </c>
      <c r="AM24" s="527" t="e">
        <f t="shared" ca="1" si="10"/>
        <v>#NAME?</v>
      </c>
      <c r="AN24" s="290" t="e" cm="1">
        <f t="array" aca="1" ref="AN24" ca="1">_xll.BDP($B24&amp;" Equity","theta_mid_rt")</f>
        <v>#NAME?</v>
      </c>
      <c r="AO24" s="527" t="e">
        <f t="shared" ca="1" si="11"/>
        <v>#NAME?</v>
      </c>
      <c r="AP24" s="527" t="e">
        <f t="shared" ca="1" si="12"/>
        <v>#NAME?</v>
      </c>
      <c r="AQ24" s="525" t="e" cm="1">
        <f t="array" aca="1" ref="AQ24" ca="1">_xll.BDP($D24&amp;" Equity","EXPECTED_REPORT_DT")</f>
        <v>#NAME?</v>
      </c>
      <c r="AR24" s="286" t="e" cm="1">
        <f t="array" aca="1" ref="AR24" ca="1">_xll.BDP($B24&amp;" Equity","GAMMA_LAST")</f>
        <v>#NAME?</v>
      </c>
      <c r="AS24" s="397" t="e">
        <f t="shared" ca="1" si="13"/>
        <v>#NAME?</v>
      </c>
      <c r="AT24" s="397" t="e">
        <f t="shared" ca="1" si="14"/>
        <v>#NAME?</v>
      </c>
      <c r="AU24" s="397" t="s">
        <v>95</v>
      </c>
      <c r="AV24" s="518" t="e" cm="1">
        <f t="array" aca="1" ref="AV24" ca="1">_xll.BDP($D24&amp;" Equity","EST_PE_NXT_YR")*(AA24/Z24)</f>
        <v>#NAME?</v>
      </c>
      <c r="AX24" s="527"/>
      <c r="AY24" s="518">
        <v>4.88</v>
      </c>
      <c r="AZ24" s="513"/>
      <c r="BA24" s="527">
        <f t="shared" si="15"/>
        <v>4.88</v>
      </c>
      <c r="BB24" s="517">
        <f t="shared" si="16"/>
        <v>1.9550000000000001</v>
      </c>
      <c r="BC24" s="517">
        <f t="shared" si="17"/>
        <v>263250</v>
      </c>
      <c r="BD24" s="517">
        <f>BC24/'Master P&amp;L'!$AD$7*10000</f>
        <v>1.0428383920767461</v>
      </c>
    </row>
    <row r="25" spans="1:56" s="397" customFormat="1" ht="15.75" customHeight="1">
      <c r="A25" s="528" t="s">
        <v>442</v>
      </c>
      <c r="B25" s="397" t="s">
        <v>1253</v>
      </c>
      <c r="C25" s="397" t="e" cm="1">
        <f t="array" aca="1" ref="C25" ca="1">_xll.BDP($B25&amp;" Equity","opt_put_call")</f>
        <v>#NAME?</v>
      </c>
      <c r="D25" s="397" t="e" cm="1">
        <f t="array" aca="1" ref="D25" ca="1">_xll.BDP(B25&amp;" Equity","OPT_UNDL_TICKER")</f>
        <v>#NAME?</v>
      </c>
      <c r="E25" s="397" t="e" cm="1">
        <f t="array" aca="1" ref="E25" ca="1">_xll.BDP($B25&amp;" Equity","mifid_Maturity_date")</f>
        <v>#NAME?</v>
      </c>
      <c r="F25" s="397" t="e" cm="1">
        <f t="array" aca="1" ref="F25" ca="1">_xll.BDP($B25&amp;" Equity","opt_days_expire")</f>
        <v>#NAME?</v>
      </c>
      <c r="G25" s="397" t="e" cm="1">
        <f t="array" aca="1" ref="G25" ca="1">_xll.BDP(B25&amp;" Equity","QUOTED_CURRENCY_REALTIME")</f>
        <v>#NAME?</v>
      </c>
      <c r="H25" s="527">
        <v>200</v>
      </c>
      <c r="I25" s="526">
        <v>6.92</v>
      </c>
      <c r="J25" s="525" t="e">
        <f>VLOOKUP(B25,Precificação!$B:$O,14,FALSE)</f>
        <v>#N/A</v>
      </c>
      <c r="K25" s="525" t="e">
        <f t="shared" si="18"/>
        <v>#N/A</v>
      </c>
      <c r="L25" s="525" t="e" cm="1">
        <f t="array" aca="1" ref="L25" ca="1">_xll.BDP($B25&amp;" Equity","mid")</f>
        <v>#NAME?</v>
      </c>
      <c r="M25" s="516" t="e">
        <f t="shared" ca="1" si="0"/>
        <v>#NAME?</v>
      </c>
      <c r="N25" s="524"/>
      <c r="O25" s="516" t="e">
        <f t="shared" ca="1" si="1"/>
        <v>#NAME?</v>
      </c>
      <c r="P25" s="525" t="e" cm="1">
        <f t="array" aca="1" ref="P25" ca="1">_xll.BDP($B25&amp;" Equity","bid")</f>
        <v>#NAME?</v>
      </c>
      <c r="Q25" s="525" t="e" cm="1">
        <f t="array" aca="1" ref="Q25" ca="1">_xll.BDP($B25&amp;" Equity","ask")</f>
        <v>#NAME?</v>
      </c>
      <c r="R25" s="523" t="e">
        <f t="shared" ca="1" si="2"/>
        <v>#NAME?</v>
      </c>
      <c r="S25" s="525" t="e" cm="1">
        <f t="array" aca="1" ref="S25" ca="1">_xll.BDP(G25&amp;" Curncy","PX_LAST")</f>
        <v>#NAME?</v>
      </c>
      <c r="T25" s="527" t="e" cm="1">
        <f t="array" aca="1" ref="T25" ca="1">_xll.BDP(B25&amp;" Equity","OPT_MULTIPLIER")</f>
        <v>#NAME?</v>
      </c>
      <c r="U25" s="527" t="e">
        <f t="shared" ca="1" si="3"/>
        <v>#NAME?</v>
      </c>
      <c r="V25" s="522" t="e">
        <f ca="1">U25/'Master P&amp;L'!$AD$7*10000</f>
        <v>#NAME?</v>
      </c>
      <c r="W25" s="522" t="e">
        <f ca="1">(Y25*H25*T25/S25)/'Master P&amp;L'!$AD$7*10000</f>
        <v>#NAME?</v>
      </c>
      <c r="X25" s="515" t="e">
        <f t="shared" ca="1" si="4"/>
        <v>#NAME?</v>
      </c>
      <c r="Y25" s="521" t="e">
        <f t="shared" ca="1" si="5"/>
        <v>#NAME?</v>
      </c>
      <c r="Z25" s="520" t="e">
        <f ca="1">_xll.BDP(D25&amp;" Equity","LAST_PRICE")</f>
        <v>#NAME?</v>
      </c>
      <c r="AA25" s="520" t="e" cm="1">
        <f t="array" aca="1" ref="AA25" ca="1">_xll.BDP(B25&amp;" Equity","OPT_STRIKE_PX")</f>
        <v>#NAME?</v>
      </c>
      <c r="AB25" s="523" t="e">
        <f t="shared" ca="1" si="6"/>
        <v>#NAME?</v>
      </c>
      <c r="AC25" s="519" t="e" cm="1">
        <f t="array" aca="1" ref="AC25" ca="1">_xll.BDP($D25&amp;" Equity","volatility_10d")</f>
        <v>#NAME?</v>
      </c>
      <c r="AD25" s="520" t="e" cm="1">
        <f t="array" aca="1" ref="AD25" ca="1">_xll.BDP(B25&amp;" Equity","ivol_mid")</f>
        <v>#NAME?</v>
      </c>
      <c r="AE25" s="520" t="e">
        <f t="shared" ca="1" si="7"/>
        <v>#NAME?</v>
      </c>
      <c r="AF25" s="290" t="e" cm="1">
        <f t="array" aca="1" ref="AF25" ca="1">_xll.BDP(B25&amp;" Equity","DELTA_MID_RT")</f>
        <v>#NAME?</v>
      </c>
      <c r="AG25" s="516" t="e">
        <f ca="1">AL25/'Master P&amp;L'!$AE$7</f>
        <v>#NAME?</v>
      </c>
      <c r="AH25" s="516" t="e">
        <f ca="1">AM25/'Master P&amp;L'!$AE$7</f>
        <v>#NAME?</v>
      </c>
      <c r="AI25" s="514" t="e">
        <f ca="1">AO25/'Master P&amp;L'!$AD$7*10000</f>
        <v>#NAME?</v>
      </c>
      <c r="AJ25" s="524" t="e">
        <f t="shared" ca="1" si="8"/>
        <v>#NAME?</v>
      </c>
      <c r="AK25" s="290" t="e">
        <f ca="1">AP25/'Master P&amp;L'!$AD$7*10000</f>
        <v>#NAME?</v>
      </c>
      <c r="AL25" s="527" t="e">
        <f t="shared" ca="1" si="9"/>
        <v>#NAME?</v>
      </c>
      <c r="AM25" s="527" t="e">
        <f t="shared" ca="1" si="10"/>
        <v>#NAME?</v>
      </c>
      <c r="AN25" s="290" t="e" cm="1">
        <f t="array" aca="1" ref="AN25" ca="1">_xll.BDP($B25&amp;" Equity","theta_mid_rt")</f>
        <v>#NAME?</v>
      </c>
      <c r="AO25" s="527" t="e">
        <f t="shared" ca="1" si="11"/>
        <v>#NAME?</v>
      </c>
      <c r="AP25" s="527" t="e">
        <f t="shared" ca="1" si="12"/>
        <v>#NAME?</v>
      </c>
      <c r="AQ25" s="525" t="e" cm="1">
        <f t="array" aca="1" ref="AQ25" ca="1">_xll.BDP($D25&amp;" Equity","EXPECTED_REPORT_DT")</f>
        <v>#NAME?</v>
      </c>
      <c r="AR25" s="286" t="e" cm="1">
        <f t="array" aca="1" ref="AR25" ca="1">_xll.BDP($B25&amp;" Equity","GAMMA_LAST")</f>
        <v>#NAME?</v>
      </c>
      <c r="AS25" s="397" t="e">
        <f t="shared" ca="1" si="13"/>
        <v>#NAME?</v>
      </c>
      <c r="AT25" s="397" t="e">
        <f t="shared" ca="1" si="14"/>
        <v>#NAME?</v>
      </c>
      <c r="AU25" s="397" t="s">
        <v>95</v>
      </c>
      <c r="AV25" s="518" t="e" cm="1">
        <f t="array" aca="1" ref="AV25" ca="1">_xll.BDP($D25&amp;" Equity","EST_PE_NXT_YR")*(AA25/Z25)</f>
        <v>#NAME?</v>
      </c>
      <c r="AX25" s="527"/>
      <c r="AY25" s="518">
        <v>8.14</v>
      </c>
      <c r="AZ25" s="513"/>
      <c r="BA25" s="527">
        <f t="shared" si="15"/>
        <v>8.14</v>
      </c>
      <c r="BB25" s="517" t="e">
        <f t="shared" si="16"/>
        <v>#N/A</v>
      </c>
      <c r="BC25" s="517" t="e">
        <f t="shared" si="17"/>
        <v>#N/A</v>
      </c>
      <c r="BD25" s="517" t="e">
        <f>BC25/'Master P&amp;L'!$AD$7*10000</f>
        <v>#N/A</v>
      </c>
    </row>
    <row r="26" spans="1:56" s="397" customFormat="1" ht="15.75" customHeight="1">
      <c r="A26" s="528" t="s">
        <v>442</v>
      </c>
      <c r="B26" s="397" t="s">
        <v>1255</v>
      </c>
      <c r="C26" s="397" t="e" cm="1">
        <f t="array" aca="1" ref="C26" ca="1">_xll.BDP($B26&amp;" Equity","opt_put_call")</f>
        <v>#NAME?</v>
      </c>
      <c r="D26" s="397" t="e" cm="1">
        <f t="array" aca="1" ref="D26" ca="1">_xll.BDP(B26&amp;" Equity","OPT_UNDL_TICKER")</f>
        <v>#NAME?</v>
      </c>
      <c r="E26" s="397" t="e" cm="1">
        <f t="array" aca="1" ref="E26" ca="1">_xll.BDP($B26&amp;" Equity","mifid_Maturity_date")</f>
        <v>#NAME?</v>
      </c>
      <c r="F26" s="397" t="e" cm="1">
        <f t="array" aca="1" ref="F26" ca="1">_xll.BDP($B26&amp;" Equity","opt_days_expire")</f>
        <v>#NAME?</v>
      </c>
      <c r="G26" s="397" t="e" cm="1">
        <f t="array" aca="1" ref="G26" ca="1">_xll.BDP(B26&amp;" Equity","QUOTED_CURRENCY_REALTIME")</f>
        <v>#NAME?</v>
      </c>
      <c r="H26" s="527">
        <v>-200</v>
      </c>
      <c r="I26" s="526">
        <v>4.8600000000000003</v>
      </c>
      <c r="J26" s="525" t="e">
        <f>VLOOKUP(B26,Precificação!$B:$O,14,FALSE)</f>
        <v>#N/A</v>
      </c>
      <c r="K26" s="525" t="e">
        <f t="shared" si="18"/>
        <v>#N/A</v>
      </c>
      <c r="L26" s="525" t="e" cm="1">
        <f t="array" aca="1" ref="L26" ca="1">_xll.BDP($B26&amp;" Equity","mid")</f>
        <v>#NAME?</v>
      </c>
      <c r="M26" s="516" t="e">
        <f t="shared" ca="1" si="0"/>
        <v>#NAME?</v>
      </c>
      <c r="N26" s="524"/>
      <c r="O26" s="516" t="e">
        <f t="shared" ca="1" si="1"/>
        <v>#NAME?</v>
      </c>
      <c r="P26" s="525" t="e" cm="1">
        <f t="array" aca="1" ref="P26" ca="1">_xll.BDP($B26&amp;" Equity","bid")</f>
        <v>#NAME?</v>
      </c>
      <c r="Q26" s="525" t="e" cm="1">
        <f t="array" aca="1" ref="Q26" ca="1">_xll.BDP($B26&amp;" Equity","ask")</f>
        <v>#NAME?</v>
      </c>
      <c r="R26" s="523" t="e">
        <f t="shared" ca="1" si="2"/>
        <v>#NAME?</v>
      </c>
      <c r="S26" s="525" t="e" cm="1">
        <f t="array" aca="1" ref="S26" ca="1">_xll.BDP(G26&amp;" Curncy","PX_LAST")</f>
        <v>#NAME?</v>
      </c>
      <c r="T26" s="527" t="e" cm="1">
        <f t="array" aca="1" ref="T26" ca="1">_xll.BDP(B26&amp;" Equity","OPT_MULTIPLIER")</f>
        <v>#NAME?</v>
      </c>
      <c r="U26" s="527" t="e">
        <f t="shared" ca="1" si="3"/>
        <v>#NAME?</v>
      </c>
      <c r="V26" s="522" t="e">
        <f ca="1">U26/'Master P&amp;L'!$AD$7*10000</f>
        <v>#NAME?</v>
      </c>
      <c r="W26" s="522" t="e">
        <f ca="1">(Y26*H26*T26/S26)/'Master P&amp;L'!$AD$7*10000</f>
        <v>#NAME?</v>
      </c>
      <c r="X26" s="515" t="e">
        <f t="shared" ca="1" si="4"/>
        <v>#NAME?</v>
      </c>
      <c r="Y26" s="521" t="e">
        <f t="shared" ca="1" si="5"/>
        <v>#NAME?</v>
      </c>
      <c r="Z26" s="520" t="e">
        <f ca="1">_xll.BDP(D26&amp;" Equity","LAST_PRICE")</f>
        <v>#NAME?</v>
      </c>
      <c r="AA26" s="520" t="e" cm="1">
        <f t="array" aca="1" ref="AA26" ca="1">_xll.BDP(B26&amp;" Equity","OPT_STRIKE_PX")</f>
        <v>#NAME?</v>
      </c>
      <c r="AB26" s="523" t="e">
        <f t="shared" ca="1" si="6"/>
        <v>#NAME?</v>
      </c>
      <c r="AC26" s="519" t="e" cm="1">
        <f t="array" aca="1" ref="AC26" ca="1">_xll.BDP($D26&amp;" Equity","volatility_10d")</f>
        <v>#NAME?</v>
      </c>
      <c r="AD26" s="520" t="e" cm="1">
        <f t="array" aca="1" ref="AD26" ca="1">_xll.BDP(B26&amp;" Equity","ivol_mid")</f>
        <v>#NAME?</v>
      </c>
      <c r="AE26" s="520" t="e">
        <f t="shared" ca="1" si="7"/>
        <v>#NAME?</v>
      </c>
      <c r="AF26" s="290" t="e" cm="1">
        <f t="array" aca="1" ref="AF26" ca="1">_xll.BDP(B26&amp;" Equity","DELTA_MID_RT")</f>
        <v>#NAME?</v>
      </c>
      <c r="AG26" s="516" t="e">
        <f ca="1">AL26/'Master P&amp;L'!$AE$7</f>
        <v>#NAME?</v>
      </c>
      <c r="AH26" s="516" t="e">
        <f ca="1">AM26/'Master P&amp;L'!$AE$7</f>
        <v>#NAME?</v>
      </c>
      <c r="AI26" s="514" t="e">
        <f ca="1">AO26/'Master P&amp;L'!$AD$7*10000</f>
        <v>#NAME?</v>
      </c>
      <c r="AJ26" s="524" t="e">
        <f t="shared" ca="1" si="8"/>
        <v>#NAME?</v>
      </c>
      <c r="AK26" s="290" t="e">
        <f ca="1">AP26/'Master P&amp;L'!$AD$7*10000</f>
        <v>#NAME?</v>
      </c>
      <c r="AL26" s="527" t="e">
        <f t="shared" ca="1" si="9"/>
        <v>#NAME?</v>
      </c>
      <c r="AM26" s="527" t="e">
        <f t="shared" ca="1" si="10"/>
        <v>#NAME?</v>
      </c>
      <c r="AN26" s="290" t="e" cm="1">
        <f t="array" aca="1" ref="AN26" ca="1">_xll.BDP($B26&amp;" Equity","theta_mid_rt")</f>
        <v>#NAME?</v>
      </c>
      <c r="AO26" s="527" t="e">
        <f t="shared" ca="1" si="11"/>
        <v>#NAME?</v>
      </c>
      <c r="AP26" s="527" t="e">
        <f t="shared" ca="1" si="12"/>
        <v>#NAME?</v>
      </c>
      <c r="AQ26" s="525" t="e" cm="1">
        <f t="array" aca="1" ref="AQ26" ca="1">_xll.BDP($D26&amp;" Equity","EXPECTED_REPORT_DT")</f>
        <v>#NAME?</v>
      </c>
      <c r="AR26" s="286" t="e" cm="1">
        <f t="array" aca="1" ref="AR26" ca="1">_xll.BDP($B26&amp;" Equity","GAMMA_LAST")</f>
        <v>#NAME?</v>
      </c>
      <c r="AS26" s="397" t="e">
        <f t="shared" ca="1" si="13"/>
        <v>#NAME?</v>
      </c>
      <c r="AT26" s="397" t="e">
        <f t="shared" ca="1" si="14"/>
        <v>#NAME?</v>
      </c>
      <c r="AU26" s="397" t="s">
        <v>95</v>
      </c>
      <c r="AV26" s="518" t="e" cm="1">
        <f t="array" aca="1" ref="AV26" ca="1">_xll.BDP($D26&amp;" Equity","EST_PE_NXT_YR")*(AA26/Z26)</f>
        <v>#NAME?</v>
      </c>
      <c r="AX26" s="527"/>
      <c r="AY26" s="518">
        <v>5.8</v>
      </c>
      <c r="AZ26" s="513"/>
      <c r="BA26" s="527">
        <f t="shared" si="15"/>
        <v>5.8</v>
      </c>
      <c r="BB26" s="517" t="e">
        <f t="shared" si="16"/>
        <v>#N/A</v>
      </c>
      <c r="BC26" s="517" t="e">
        <f t="shared" si="17"/>
        <v>#N/A</v>
      </c>
      <c r="BD26" s="517" t="e">
        <f>BC26/'Master P&amp;L'!$AD$7*10000</f>
        <v>#N/A</v>
      </c>
    </row>
    <row r="27" spans="1:56" ht="15.75" customHeight="1">
      <c r="A27" s="263"/>
      <c r="B27" s="72" t="s">
        <v>887</v>
      </c>
      <c r="C27" s="72" t="e" cm="1">
        <f t="array" aca="1" ref="C27" ca="1">_xll.BDP($B27&amp;" Equity","opt_put_call")</f>
        <v>#NAME?</v>
      </c>
      <c r="D27" s="72" t="e" cm="1">
        <f t="array" aca="1" ref="D27" ca="1">_xll.BDP(B27&amp;" Equity","OPT_UNDL_TICKER")</f>
        <v>#NAME?</v>
      </c>
      <c r="E27" s="72" t="e" cm="1">
        <f t="array" aca="1" ref="E27" ca="1">_xll.BDP($B27&amp;" Equity","mifid_Maturity_date")</f>
        <v>#NAME?</v>
      </c>
      <c r="F27" s="72" t="e" cm="1">
        <f t="array" aca="1" ref="F27" ca="1">_xll.BDP($B27&amp;" Equity","opt_days_expire")</f>
        <v>#NAME?</v>
      </c>
      <c r="G27" s="72" t="e" cm="1">
        <f t="array" aca="1" ref="G27" ca="1">_xll.BDP(B27&amp;" Equity","QUOTED_CURRENCY_REALTIME")</f>
        <v>#NAME?</v>
      </c>
      <c r="H27" s="41">
        <v>1550</v>
      </c>
      <c r="I27" s="335">
        <v>34.200000000000003</v>
      </c>
      <c r="J27" s="14">
        <f>VLOOKUP(B27,Precificação!$B:$O,14,FALSE)</f>
        <v>59.274999999999999</v>
      </c>
      <c r="K27" s="73">
        <f t="shared" si="18"/>
        <v>59.274999999999999</v>
      </c>
      <c r="L27" s="73" t="e" cm="1">
        <f t="array" aca="1" ref="L27" ca="1">_xll.BDP($B27&amp;" Equity","mid")</f>
        <v>#NAME?</v>
      </c>
      <c r="M27" s="74" t="e">
        <f t="shared" ca="1" si="0"/>
        <v>#NAME?</v>
      </c>
      <c r="N27" s="279"/>
      <c r="O27" s="74" t="e">
        <f t="shared" ca="1" si="1"/>
        <v>#NAME?</v>
      </c>
      <c r="P27" s="73" t="e" cm="1">
        <f t="array" aca="1" ref="P27" ca="1">_xll.BDP($B27&amp;" Equity","bid")</f>
        <v>#NAME?</v>
      </c>
      <c r="Q27" s="73" t="e" cm="1">
        <f t="array" aca="1" ref="Q27" ca="1">_xll.BDP($B27&amp;" Equity","ask")</f>
        <v>#NAME?</v>
      </c>
      <c r="R27" s="75" t="e">
        <f t="shared" ca="1" si="2"/>
        <v>#NAME?</v>
      </c>
      <c r="S27" s="35" t="e" cm="1">
        <f t="array" aca="1" ref="S27" ca="1">_xll.BDP(G27&amp;" Curncy","PX_LAST")</f>
        <v>#NAME?</v>
      </c>
      <c r="T27" s="41" t="e" cm="1">
        <f t="array" aca="1" ref="T27" ca="1">_xll.BDP(B27&amp;" Equity","OPT_MULTIPLIER")</f>
        <v>#NAME?</v>
      </c>
      <c r="U27" s="41" t="e">
        <f t="shared" ca="1" si="3"/>
        <v>#NAME?</v>
      </c>
      <c r="V27" s="111" t="e">
        <f ca="1">U27/'Master P&amp;L'!$AD$7*10000</f>
        <v>#NAME?</v>
      </c>
      <c r="W27" s="111" t="e">
        <f ca="1">(Y27*H27*T27/S27)/'Master P&amp;L'!$AD$7*10000</f>
        <v>#NAME?</v>
      </c>
      <c r="X27" s="116" t="e">
        <f t="shared" ca="1" si="4"/>
        <v>#NAME?</v>
      </c>
      <c r="Y27" s="201" t="e">
        <f t="shared" ca="1" si="5"/>
        <v>#NAME?</v>
      </c>
      <c r="Z27" s="76" t="e">
        <f ca="1">_xll.BDP(D27&amp;" Equity","LAST_PRICE")</f>
        <v>#NAME?</v>
      </c>
      <c r="AA27" s="76" t="e" cm="1">
        <f t="array" aca="1" ref="AA27" ca="1">_xll.BDP(B27&amp;" Equity","OPT_STRIKE_PX")</f>
        <v>#NAME?</v>
      </c>
      <c r="AB27" s="75" t="e">
        <f t="shared" ca="1" si="6"/>
        <v>#NAME?</v>
      </c>
      <c r="AC27" s="251" t="e" cm="1">
        <f t="array" aca="1" ref="AC27" ca="1">_xll.BDP($D27&amp;" Equity","volatility_10d")</f>
        <v>#NAME?</v>
      </c>
      <c r="AD27" s="76" t="e" cm="1">
        <f t="array" aca="1" ref="AD27" ca="1">_xll.BDP(B27&amp;" Equity","ivol_mid")</f>
        <v>#NAME?</v>
      </c>
      <c r="AE27" s="76" t="e">
        <f t="shared" ca="1" si="7"/>
        <v>#NAME?</v>
      </c>
      <c r="AF27" s="77" t="e" cm="1">
        <f t="array" aca="1" ref="AF27" ca="1">_xll.BDP(B27&amp;" Equity","DELTA_MID_RT")</f>
        <v>#NAME?</v>
      </c>
      <c r="AG27" s="74" t="e">
        <f ca="1">AL27/'Master P&amp;L'!$AE$7</f>
        <v>#NAME?</v>
      </c>
      <c r="AH27" s="74" t="e">
        <f ca="1">AM27/'Master P&amp;L'!$AE$7</f>
        <v>#NAME?</v>
      </c>
      <c r="AI27" s="353" t="e">
        <f ca="1">AO27/'Master P&amp;L'!$AD$7*10000</f>
        <v>#NAME?</v>
      </c>
      <c r="AJ27" s="277" t="e">
        <f t="shared" ca="1" si="8"/>
        <v>#NAME?</v>
      </c>
      <c r="AK27" s="77" t="e">
        <f ca="1">AP27/'Master P&amp;L'!$AD$7*10000</f>
        <v>#NAME?</v>
      </c>
      <c r="AL27" s="41" t="e">
        <f t="shared" ca="1" si="9"/>
        <v>#NAME?</v>
      </c>
      <c r="AM27" s="41" t="e">
        <f t="shared" ca="1" si="10"/>
        <v>#NAME?</v>
      </c>
      <c r="AN27" s="77" t="e" cm="1">
        <f t="array" aca="1" ref="AN27" ca="1">_xll.BDP($B27&amp;" Equity","theta_mid_rt")</f>
        <v>#NAME?</v>
      </c>
      <c r="AO27" s="41" t="e">
        <f t="shared" ca="1" si="11"/>
        <v>#NAME?</v>
      </c>
      <c r="AP27" s="41" t="e">
        <f t="shared" ca="1" si="12"/>
        <v>#NAME?</v>
      </c>
      <c r="AQ27" s="73" t="e" cm="1">
        <f t="array" aca="1" ref="AQ27" ca="1">_xll.BDP($D27&amp;" Equity","EXPECTED_REPORT_DT")</f>
        <v>#NAME?</v>
      </c>
      <c r="AR27" s="189" t="e" cm="1">
        <f t="array" aca="1" ref="AR27" ca="1">_xll.BDP($B27&amp;" Equity","GAMMA_LAST")</f>
        <v>#NAME?</v>
      </c>
      <c r="AS27" s="72" t="e">
        <f t="shared" ca="1" si="13"/>
        <v>#NAME?</v>
      </c>
      <c r="AT27" s="72" t="e">
        <f t="shared" ca="1" si="14"/>
        <v>#NAME?</v>
      </c>
      <c r="AU27" s="72" t="s">
        <v>95</v>
      </c>
      <c r="AV27" s="250" t="e" cm="1">
        <f t="array" aca="1" ref="AV27" ca="1">_xll.BDP($D27&amp;" Equity","EST_PE_NXT_YR")*(AA27/Z27)</f>
        <v>#NAME?</v>
      </c>
      <c r="AW27" s="72"/>
      <c r="AX27" s="41"/>
      <c r="AY27" s="250">
        <v>56.13</v>
      </c>
      <c r="AZ27" s="281"/>
      <c r="BA27" s="41">
        <f t="shared" si="15"/>
        <v>56.13</v>
      </c>
      <c r="BB27" s="273">
        <f t="shared" si="16"/>
        <v>59.274999999999999</v>
      </c>
      <c r="BC27" s="273">
        <f t="shared" si="17"/>
        <v>487474.99999999936</v>
      </c>
      <c r="BD27" s="273">
        <f>BC27/'Master P&amp;L'!$AD$7*10000</f>
        <v>1.9310831725645248</v>
      </c>
    </row>
    <row r="28" spans="1:56" ht="15.75" customHeight="1">
      <c r="A28" s="283"/>
      <c r="B28" t="s">
        <v>888</v>
      </c>
      <c r="C28" t="e" cm="1">
        <f t="array" aca="1" ref="C28" ca="1">_xll.BDP($B28&amp;" Equity","opt_put_call")</f>
        <v>#NAME?</v>
      </c>
      <c r="D28" t="e" cm="1">
        <f t="array" aca="1" ref="D28" ca="1">_xll.BDP(B28&amp;" Equity","OPT_UNDL_TICKER")</f>
        <v>#NAME?</v>
      </c>
      <c r="E28" t="e" cm="1">
        <f t="array" aca="1" ref="E28" ca="1">_xll.BDP($B28&amp;" Equity","mifid_Maturity_date")</f>
        <v>#NAME?</v>
      </c>
      <c r="F28" t="e" cm="1">
        <f t="array" aca="1" ref="F28" ca="1">_xll.BDP($B28&amp;" Equity","opt_days_expire")</f>
        <v>#NAME?</v>
      </c>
      <c r="G28" t="e" cm="1">
        <f t="array" aca="1" ref="G28" ca="1">_xll.BDP(B28&amp;" Equity","QUOTED_CURRENCY_REALTIME")</f>
        <v>#NAME?</v>
      </c>
      <c r="H28" s="15">
        <v>-1275</v>
      </c>
      <c r="I28" s="336">
        <v>19.54</v>
      </c>
      <c r="J28" s="14">
        <f>VLOOKUP(B28,Precificação!$B:$O,14,FALSE)</f>
        <v>37.9</v>
      </c>
      <c r="K28" s="73">
        <f t="shared" si="18"/>
        <v>37.9</v>
      </c>
      <c r="L28" s="35" t="e" cm="1">
        <f t="array" aca="1" ref="L28" ca="1">_xll.BDP($B28&amp;" Equity","mid")</f>
        <v>#NAME?</v>
      </c>
      <c r="M28" s="18" t="e">
        <f t="shared" ca="1" si="0"/>
        <v>#NAME?</v>
      </c>
      <c r="N28" s="277"/>
      <c r="O28" s="18" t="e">
        <f t="shared" ca="1" si="1"/>
        <v>#NAME?</v>
      </c>
      <c r="P28" s="35" t="e" cm="1">
        <f t="array" aca="1" ref="P28" ca="1">_xll.BDP($B28&amp;" Equity","bid")</f>
        <v>#NAME?</v>
      </c>
      <c r="Q28" s="35" t="e" cm="1">
        <f t="array" aca="1" ref="Q28" ca="1">_xll.BDP($B28&amp;" Equity","ask")</f>
        <v>#NAME?</v>
      </c>
      <c r="R28" s="39" t="e">
        <f t="shared" ca="1" si="2"/>
        <v>#NAME?</v>
      </c>
      <c r="S28" s="35" t="e" cm="1">
        <f t="array" aca="1" ref="S28" ca="1">_xll.BDP(G28&amp;" Curncy","PX_LAST")</f>
        <v>#NAME?</v>
      </c>
      <c r="T28" s="15" t="e" cm="1">
        <f t="array" aca="1" ref="T28" ca="1">_xll.BDP(B28&amp;" Equity","OPT_MULTIPLIER")</f>
        <v>#NAME?</v>
      </c>
      <c r="U28" s="15" t="e">
        <f t="shared" ca="1" si="3"/>
        <v>#NAME?</v>
      </c>
      <c r="V28" s="122" t="e">
        <f ca="1">U28/'Master P&amp;L'!$AD$7*10000</f>
        <v>#NAME?</v>
      </c>
      <c r="W28" s="122" t="e">
        <f ca="1">(Y28*H28*T28/S28)/'Master P&amp;L'!$AD$7*10000</f>
        <v>#NAME?</v>
      </c>
      <c r="X28" s="339" t="e">
        <f t="shared" ca="1" si="4"/>
        <v>#NAME?</v>
      </c>
      <c r="Y28" s="202" t="e">
        <f t="shared" ca="1" si="5"/>
        <v>#NAME?</v>
      </c>
      <c r="Z28" s="36" t="e">
        <f ca="1">_xll.BDP(D28&amp;" Equity","LAST_PRICE")</f>
        <v>#NAME?</v>
      </c>
      <c r="AA28" s="36" t="e" cm="1">
        <f t="array" aca="1" ref="AA28" ca="1">_xll.BDP(B28&amp;" Equity","OPT_STRIKE_PX")</f>
        <v>#NAME?</v>
      </c>
      <c r="AB28" s="39" t="e">
        <f t="shared" ca="1" si="6"/>
        <v>#NAME?</v>
      </c>
      <c r="AC28" s="252" t="e" cm="1">
        <f t="array" aca="1" ref="AC28" ca="1">_xll.BDP($D28&amp;" Equity","volatility_10d")</f>
        <v>#NAME?</v>
      </c>
      <c r="AD28" s="36" t="e" cm="1">
        <f t="array" aca="1" ref="AD28" ca="1">_xll.BDP(B28&amp;" Equity","ivol_mid")</f>
        <v>#NAME?</v>
      </c>
      <c r="AE28" s="36" t="e">
        <f t="shared" ca="1" si="7"/>
        <v>#NAME?</v>
      </c>
      <c r="AF28" s="37" t="e" cm="1">
        <f t="array" aca="1" ref="AF28" ca="1">_xll.BDP(B28&amp;" Equity","DELTA_MID_RT")</f>
        <v>#NAME?</v>
      </c>
      <c r="AG28" s="18" t="e">
        <f ca="1">AL28/'Master P&amp;L'!$AE$7</f>
        <v>#NAME?</v>
      </c>
      <c r="AH28" s="18" t="e">
        <f ca="1">AM28/'Master P&amp;L'!$AE$7</f>
        <v>#NAME?</v>
      </c>
      <c r="AI28" s="352" t="e">
        <f ca="1">AO28/'Master P&amp;L'!$AD$7*10000</f>
        <v>#NAME?</v>
      </c>
      <c r="AJ28" s="277" t="e">
        <f t="shared" ca="1" si="8"/>
        <v>#NAME?</v>
      </c>
      <c r="AK28" s="37" t="e">
        <f ca="1">AP28/'Master P&amp;L'!$AD$7*10000</f>
        <v>#NAME?</v>
      </c>
      <c r="AL28" s="15" t="e">
        <f t="shared" ca="1" si="9"/>
        <v>#NAME?</v>
      </c>
      <c r="AM28" s="15" t="e">
        <f t="shared" ca="1" si="10"/>
        <v>#NAME?</v>
      </c>
      <c r="AN28" s="37" t="e" cm="1">
        <f t="array" aca="1" ref="AN28" ca="1">_xll.BDP($B28&amp;" Equity","theta_mid_rt")</f>
        <v>#NAME?</v>
      </c>
      <c r="AO28" s="15" t="e">
        <f t="shared" ca="1" si="11"/>
        <v>#NAME?</v>
      </c>
      <c r="AP28" s="15" t="e">
        <f t="shared" ca="1" si="12"/>
        <v>#NAME?</v>
      </c>
      <c r="AQ28" s="35" t="e" cm="1">
        <f t="array" aca="1" ref="AQ28" ca="1">_xll.BDP($D28&amp;" Equity","EXPECTED_REPORT_DT")</f>
        <v>#NAME?</v>
      </c>
      <c r="AR28" s="65" t="e" cm="1">
        <f t="array" aca="1" ref="AR28" ca="1">_xll.BDP($B28&amp;" Equity","GAMMA_LAST")</f>
        <v>#NAME?</v>
      </c>
      <c r="AS28" t="e">
        <f t="shared" ca="1" si="13"/>
        <v>#NAME?</v>
      </c>
      <c r="AT28" t="e">
        <f t="shared" ca="1" si="14"/>
        <v>#NAME?</v>
      </c>
      <c r="AU28" t="s">
        <v>95</v>
      </c>
      <c r="AV28" s="206" t="e" cm="1">
        <f t="array" aca="1" ref="AV28" ca="1">_xll.BDP($D28&amp;" Equity","EST_PE_NXT_YR")*(AA28/Z28)</f>
        <v>#NAME?</v>
      </c>
      <c r="AX28" s="15"/>
      <c r="AY28" s="206">
        <v>35.799999999999997</v>
      </c>
      <c r="AZ28" s="282"/>
      <c r="BA28" s="15">
        <f t="shared" si="15"/>
        <v>35.799999999999997</v>
      </c>
      <c r="BB28" s="340">
        <f t="shared" si="16"/>
        <v>37.9</v>
      </c>
      <c r="BC28" s="340">
        <f t="shared" si="17"/>
        <v>-267750.00000000017</v>
      </c>
      <c r="BD28" s="340">
        <f>BC28/'Master P&amp;L'!$AD$7*10000</f>
        <v>-1.060664689377204</v>
      </c>
    </row>
    <row r="29" spans="1:56">
      <c r="H29" s="264"/>
      <c r="I29" s="174"/>
      <c r="J29" s="174"/>
      <c r="K29" s="174"/>
      <c r="L29" s="174"/>
    </row>
    <row r="30" spans="1:56">
      <c r="I30" s="174"/>
      <c r="J30" s="174"/>
      <c r="K30" s="174"/>
      <c r="L30" s="174"/>
      <c r="AY30">
        <v>3.0199999999999996</v>
      </c>
    </row>
    <row r="31" spans="1:56">
      <c r="I31" s="174"/>
      <c r="J31" s="174"/>
      <c r="K31" s="174"/>
      <c r="L31" s="174"/>
      <c r="AY31">
        <v>4.1000000000000005</v>
      </c>
    </row>
    <row r="33" spans="8:10">
      <c r="H33" s="527">
        <v>-300</v>
      </c>
      <c r="I33" s="526">
        <v>2.57</v>
      </c>
      <c r="J33" s="333">
        <f>H33*I33</f>
        <v>-771</v>
      </c>
    </row>
    <row r="34" spans="8:10">
      <c r="H34" s="41"/>
      <c r="I34" s="335"/>
      <c r="J34" s="333">
        <f t="shared" ref="J34:J40" si="19">H34*I34</f>
        <v>0</v>
      </c>
    </row>
    <row r="35" spans="8:10">
      <c r="H35" s="41"/>
      <c r="I35" s="335"/>
      <c r="J35" s="333">
        <f t="shared" si="19"/>
        <v>0</v>
      </c>
    </row>
    <row r="36" spans="8:10">
      <c r="H36" s="330"/>
      <c r="I36" s="331"/>
      <c r="J36" s="333">
        <f t="shared" si="19"/>
        <v>0</v>
      </c>
    </row>
    <row r="37" spans="8:10">
      <c r="H37" s="527">
        <v>-600</v>
      </c>
      <c r="I37" s="526">
        <v>4.6100000000000003</v>
      </c>
      <c r="J37" s="333">
        <f t="shared" si="19"/>
        <v>-2766</v>
      </c>
    </row>
    <row r="38" spans="8:10">
      <c r="H38" s="330"/>
      <c r="I38" s="337"/>
      <c r="J38" s="333">
        <f t="shared" si="19"/>
        <v>0</v>
      </c>
    </row>
    <row r="39" spans="8:10">
      <c r="H39" s="330"/>
      <c r="I39" s="337"/>
      <c r="J39" s="333">
        <f t="shared" si="19"/>
        <v>0</v>
      </c>
    </row>
    <row r="40" spans="8:10">
      <c r="H40" s="275"/>
      <c r="I40" s="332"/>
      <c r="J40" s="333">
        <f t="shared" si="19"/>
        <v>0</v>
      </c>
    </row>
    <row r="42" spans="8:10">
      <c r="H42" s="275">
        <f>H33+H37</f>
        <v>-900</v>
      </c>
      <c r="I42" s="332">
        <f>J42/H42</f>
        <v>3.93</v>
      </c>
      <c r="J42" s="334">
        <f>J33+J37</f>
        <v>-3537</v>
      </c>
    </row>
    <row r="43" spans="8:10">
      <c r="H43" s="275">
        <f>H34+H38</f>
        <v>0</v>
      </c>
      <c r="I43" s="332" t="e">
        <f>J43/H43</f>
        <v>#DIV/0!</v>
      </c>
      <c r="J43" s="334">
        <f>J34+J38</f>
        <v>0</v>
      </c>
    </row>
    <row r="44" spans="8:10">
      <c r="H44" s="275">
        <f>H35+H39</f>
        <v>0</v>
      </c>
      <c r="I44" s="332" t="e">
        <f>J44/H44</f>
        <v>#DIV/0!</v>
      </c>
      <c r="J44" s="334">
        <f>J35+J39</f>
        <v>0</v>
      </c>
    </row>
    <row r="45" spans="8:10">
      <c r="H45" s="275">
        <f>H36+H40</f>
        <v>0</v>
      </c>
      <c r="I45" s="332" t="e">
        <f>J45/H45</f>
        <v>#DIV/0!</v>
      </c>
      <c r="J45" s="334">
        <f>J36+J40</f>
        <v>0</v>
      </c>
    </row>
  </sheetData>
  <autoFilter ref="A3:BD29" xr:uid="{0428720F-9028-4D6D-9843-ED7DFFC9E1CA}">
    <sortState xmlns:xlrd2="http://schemas.microsoft.com/office/spreadsheetml/2017/richdata2" ref="A4:BD31">
      <sortCondition ref="D3:D29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30" sqref="B30:B31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1180</v>
      </c>
      <c r="B5" s="98"/>
      <c r="I5" s="63"/>
      <c r="K5" s="63" t="e">
        <f ca="1">K10-K16</f>
        <v>#NAME?</v>
      </c>
      <c r="P5" s="196"/>
      <c r="Q5" t="e">
        <f ca="1">Q9/Q15-1</f>
        <v>#NAME?</v>
      </c>
      <c r="T5" s="63"/>
      <c r="X5" s="120"/>
      <c r="Y5" s="13"/>
      <c r="Z5" s="3"/>
    </row>
    <row r="6" spans="1:41">
      <c r="H6">
        <v>1</v>
      </c>
      <c r="K6" s="63"/>
      <c r="P6" s="21"/>
      <c r="Y6" s="63" t="e">
        <f ca="1">Y7/S7</f>
        <v>#NAME?</v>
      </c>
    </row>
    <row r="7" spans="1:41" outlineLevel="1">
      <c r="A7" s="405" t="e">
        <f ca="1">P7/Y7</f>
        <v>#NAME?</v>
      </c>
      <c r="B7" t="s">
        <v>1257</v>
      </c>
      <c r="C7" s="58" t="e" cm="1">
        <f t="array" aca="1" ref="C7" ca="1">_xll.BDP(B7&amp;" Equity","OPT_UNDL_TICKER")</f>
        <v>#NAME?</v>
      </c>
      <c r="D7" s="58" t="e">
        <f ca="1">_xll.BDP($B7&amp;" Index","mifid_Maturity_date")</f>
        <v>#NAME?</v>
      </c>
      <c r="E7" s="58" t="e">
        <f ca="1">_xll.BDP($B7&amp;" Index","opt_days_expire")</f>
        <v>#NAME?</v>
      </c>
      <c r="F7" s="58" t="e" cm="1">
        <f t="array" aca="1" ref="F7" ca="1">_xll.BDP(B7&amp;" Equity","QUOTED_CURRENCY_REALTIME")</f>
        <v>#NAME?</v>
      </c>
      <c r="G7" s="103" t="s">
        <v>190</v>
      </c>
      <c r="H7" s="95">
        <v>50</v>
      </c>
      <c r="I7" s="96" t="e">
        <f ca="1">IF(G7="Buy",L7,K7)</f>
        <v>#NAME?</v>
      </c>
      <c r="J7" s="18" t="e">
        <f ca="1">I7/S7</f>
        <v>#NAME?</v>
      </c>
      <c r="K7" s="35" t="e" cm="1">
        <f t="array" aca="1" ref="K7" ca="1">_xll.BDP($B7&amp;" Equity","bid")</f>
        <v>#NAME?</v>
      </c>
      <c r="L7" s="35" t="e" cm="1">
        <f t="array" aca="1" ref="L7" ca="1">_xll.BDP($B7&amp;" Equity","ask")</f>
        <v>#NAME?</v>
      </c>
      <c r="M7" s="39" t="e">
        <f ca="1">(L7/K7-1)</f>
        <v>#NAME?</v>
      </c>
      <c r="N7" s="35" t="e" cm="1">
        <f t="array" aca="1" ref="N7" ca="1">_xll.BDP(F7&amp;" Curncy","PX_LAST")</f>
        <v>#NAME?</v>
      </c>
      <c r="O7" s="132" t="e" cm="1">
        <f t="array" aca="1" ref="O7" ca="1">_xll.BDP(B7&amp;" Equity","OPT_MULTIPLIER")</f>
        <v>#NAME?</v>
      </c>
      <c r="P7" s="15" t="e">
        <f ca="1">IF(G7="Buy",((I7/N7)*H7*O7),((I7/N7)*-H7*O7))</f>
        <v>#NAME?</v>
      </c>
      <c r="Q7" s="57" t="e">
        <f ca="1">P7/'Master P&amp;L'!$AD$5*10000</f>
        <v>#NAME?</v>
      </c>
      <c r="R7" s="36" t="e" cm="1">
        <f t="array" aca="1" ref="R7" ca="1">_xll.BDP($C7&amp;" Equity","EST_PE_NXT_YR")*(T7/S7)</f>
        <v>#NAME?</v>
      </c>
      <c r="S7" s="35" t="e" cm="1">
        <f t="array" aca="1" ref="S7" ca="1">_xll.BDP(C7&amp;" Equity","LAST_PRICE")</f>
        <v>#NAME?</v>
      </c>
      <c r="T7" s="52" t="e" cm="1">
        <f t="array" aca="1" ref="T7" ca="1">_xll.BDP(B7&amp;" Equity","OPT_STRIKE_PX")</f>
        <v>#NAME?</v>
      </c>
      <c r="U7" s="39" t="e">
        <f ca="1">T7/S7-1</f>
        <v>#NAME?</v>
      </c>
      <c r="V7" s="36" t="e" cm="1">
        <f t="array" aca="1" ref="V7" ca="1">_xll.BDP($B7&amp;" Equity","ivol_mid")</f>
        <v>#NAME?</v>
      </c>
      <c r="W7" s="37" t="e" cm="1">
        <f t="array" aca="1" ref="W7" ca="1">_xll.BDP(B7&amp;" Equity","DELTA_MID_RT")</f>
        <v>#NAME?</v>
      </c>
      <c r="X7" s="47" t="e">
        <f ca="1">Y7/'Master P&amp;L'!$AE$5</f>
        <v>#NAME?</v>
      </c>
      <c r="Y7" s="15" t="e">
        <f ca="1">IF(G7="Sell", S7*W7*-H7*O7/N7, S7*W7*H7*O7/N7)</f>
        <v>#NAME?</v>
      </c>
      <c r="Z7" s="15" t="e">
        <f ca="1">_xll.BDP($B7&amp;" Equity","opt_theta")*H7*O7/N7</f>
        <v>#NAME?</v>
      </c>
      <c r="AA7" s="18" t="e">
        <f ca="1">_xll.BDP($B7&amp;" Equity","opt_theta")/I7</f>
        <v>#NAME?</v>
      </c>
      <c r="AB7" s="35" t="e" cm="1">
        <f t="array" aca="1" ref="AB7" ca="1">_xll.BDP($C7&amp;" Equity","EXPECTED_REPORT_DT")</f>
        <v>#NAME?</v>
      </c>
      <c r="AC7" s="15" t="e">
        <f ca="1">S7*H7*O7/N7</f>
        <v>#NAME?</v>
      </c>
      <c r="AD7" s="18" t="e">
        <f ca="1">AC7/'Master P&amp;L'!$AE$5</f>
        <v>#NAME?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508</v>
      </c>
      <c r="AO7" t="s">
        <v>95</v>
      </c>
    </row>
    <row r="8" spans="1:41" outlineLevel="1">
      <c r="A8" s="97" t="s">
        <v>189</v>
      </c>
      <c r="B8" t="s">
        <v>1256</v>
      </c>
      <c r="C8" s="58" t="e" cm="1">
        <f t="array" aca="1" ref="C8" ca="1">_xll.BDP(B8&amp;" Equity","OPT_UNDL_TICKER")</f>
        <v>#NAME?</v>
      </c>
      <c r="D8" s="58" t="e" cm="1">
        <f t="array" aca="1" ref="D8" ca="1">_xll.BDP($B8&amp;" Index","mifid_Maturity_date")</f>
        <v>#NAME?</v>
      </c>
      <c r="E8" s="58" t="e" cm="1">
        <f t="array" aca="1" ref="E8" ca="1">_xll.BDP($B8&amp;" Index","opt_days_expire")</f>
        <v>#NAME?</v>
      </c>
      <c r="F8" s="58" t="e" cm="1">
        <f t="array" aca="1" ref="F8" ca="1">_xll.BDP(B8&amp;" Equity","QUOTED_CURRENCY_REALTIME")</f>
        <v>#NAME?</v>
      </c>
      <c r="G8" s="103" t="s">
        <v>191</v>
      </c>
      <c r="H8" s="95">
        <v>15</v>
      </c>
      <c r="I8" s="96" t="e">
        <f ca="1">IF(G8="Buy",L8,K8)</f>
        <v>#NAME?</v>
      </c>
      <c r="J8" s="18" t="e">
        <f ca="1">I8/S8</f>
        <v>#NAME?</v>
      </c>
      <c r="K8" s="35" t="e" cm="1">
        <f t="array" aca="1" ref="K8" ca="1">_xll.BDP($B8&amp;" Equity","bid")</f>
        <v>#NAME?</v>
      </c>
      <c r="L8" s="35" t="e" cm="1">
        <f t="array" aca="1" ref="L8" ca="1">_xll.BDP($B8&amp;" Equity","ask")</f>
        <v>#NAME?</v>
      </c>
      <c r="M8" s="39" t="e">
        <f ca="1">(L8/K8-1)</f>
        <v>#NAME?</v>
      </c>
      <c r="N8" s="35" t="e" cm="1">
        <f t="array" aca="1" ref="N8" ca="1">_xll.BDP(F8&amp;" Curncy","PX_LAST")</f>
        <v>#NAME?</v>
      </c>
      <c r="O8" s="132" t="e" cm="1">
        <f t="array" aca="1" ref="O8" ca="1">_xll.BDP(B8&amp;" Equity","OPT_MULTIPLIER")</f>
        <v>#NAME?</v>
      </c>
      <c r="P8" s="15" t="e">
        <f ca="1">IF(G8="Buy",((I8/N8)*H8*O8),((I8/N8)*-H8*O8))</f>
        <v>#NAME?</v>
      </c>
      <c r="Q8" s="57" t="e">
        <f ca="1">P8/'Master P&amp;L'!$AD$5*10000</f>
        <v>#NAME?</v>
      </c>
      <c r="R8" s="36" t="e" cm="1">
        <f t="array" aca="1" ref="R8" ca="1">_xll.BDP($C8&amp;" Equity","EST_PE_NXT_YR")*(T8/S8)</f>
        <v>#NAME?</v>
      </c>
      <c r="S8" s="35" t="e" cm="1">
        <f t="array" aca="1" ref="S8" ca="1">_xll.BDP(C8&amp;" Equity","LAST_PRICE")</f>
        <v>#NAME?</v>
      </c>
      <c r="T8" s="52" t="e" cm="1">
        <f t="array" aca="1" ref="T8" ca="1">_xll.BDP(B8&amp;" Equity","OPT_STRIKE_PX")</f>
        <v>#NAME?</v>
      </c>
      <c r="U8" s="39" t="e">
        <f ca="1">T8/S8-1</f>
        <v>#NAME?</v>
      </c>
      <c r="V8" s="36" t="e" cm="1">
        <f t="array" aca="1" ref="V8" ca="1">_xll.BDP($B8&amp;" Equity","ivol_mid")</f>
        <v>#NAME?</v>
      </c>
      <c r="W8" s="37" t="e" cm="1">
        <f t="array" aca="1" ref="W8" ca="1">_xll.BDP(B8&amp;" Equity","DELTA_MID_RT")</f>
        <v>#NAME?</v>
      </c>
      <c r="X8" s="47" t="e">
        <f ca="1">Y8/'Master P&amp;L'!$AE$5</f>
        <v>#NAME?</v>
      </c>
      <c r="Y8" s="15" t="e">
        <f ca="1">IF(G8="Sell", S8*W8*-H8*O8/N8, S8*W8*H8*O8/N8)</f>
        <v>#NAME?</v>
      </c>
      <c r="Z8" s="15" t="e" cm="1">
        <f t="array" aca="1" ref="Z8" ca="1">_xll.BDP($B8&amp;" Equity","opt_theta")*H8*O8/N8</f>
        <v>#NAME?</v>
      </c>
      <c r="AA8" s="18" t="e" cm="1">
        <f t="array" aca="1" ref="AA8" ca="1">_xll.BDP($B8&amp;" Equity","opt_theta")/I8</f>
        <v>#NAME?</v>
      </c>
      <c r="AB8" s="35" t="e" cm="1">
        <f t="array" aca="1" ref="AB8" ca="1">_xll.BDP($C8&amp;" Equity","EXPECTED_REPORT_DT")</f>
        <v>#NAME?</v>
      </c>
      <c r="AC8" s="15" t="e">
        <f ca="1">S8*H8*O8/N8</f>
        <v>#NAME?</v>
      </c>
      <c r="AD8" s="18" t="e">
        <f ca="1">AC8/'Master P&amp;L'!$AE$5</f>
        <v>#NAME?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511</v>
      </c>
      <c r="AO8" t="s">
        <v>95</v>
      </c>
    </row>
    <row r="9" spans="1:41" outlineLevel="1">
      <c r="H9" s="99" t="s">
        <v>64</v>
      </c>
      <c r="I9" s="101" t="e">
        <f ca="1">I7-I8</f>
        <v>#NAME?</v>
      </c>
      <c r="J9" s="99" t="s">
        <v>192</v>
      </c>
      <c r="K9" s="100" t="e">
        <f ca="1">K8/L7</f>
        <v>#NAME?</v>
      </c>
      <c r="P9" s="99" t="s">
        <v>193</v>
      </c>
      <c r="Q9" s="106" t="e">
        <f ca="1">Q7+Q8</f>
        <v>#NAME?</v>
      </c>
      <c r="S9" s="99" t="s">
        <v>194</v>
      </c>
      <c r="T9" s="101" t="e">
        <f ca="1">T8-T7</f>
        <v>#NAME?</v>
      </c>
      <c r="W9" s="99" t="s">
        <v>195</v>
      </c>
      <c r="X9" s="120" t="e">
        <f ca="1">X7+X8</f>
        <v>#NAME?</v>
      </c>
      <c r="Y9" s="13" t="e">
        <f ca="1">Y7+Y8</f>
        <v>#NAME?</v>
      </c>
      <c r="AC9" s="99" t="s">
        <v>172</v>
      </c>
      <c r="AD9" s="120" t="e">
        <f ca="1">AD7</f>
        <v>#NAME?</v>
      </c>
      <c r="AO9" t="s">
        <v>95</v>
      </c>
    </row>
    <row r="10" spans="1:41" outlineLevel="1">
      <c r="H10" s="99" t="s">
        <v>196</v>
      </c>
      <c r="I10" s="101" t="e">
        <f ca="1">(T9-I9)/I9</f>
        <v>#NAME?</v>
      </c>
      <c r="J10" s="99" t="s">
        <v>90</v>
      </c>
      <c r="K10" s="178" t="e">
        <f ca="1">AVERAGE(K7:L7)-AVERAGE(K8:L8)</f>
        <v>#NAME?</v>
      </c>
      <c r="L10" s="17"/>
      <c r="P10" s="127" t="e">
        <f ca="1">P7+P8</f>
        <v>#NAME?</v>
      </c>
      <c r="Q10" s="106"/>
      <c r="S10" s="99"/>
      <c r="T10" s="101"/>
      <c r="W10" s="99"/>
      <c r="X10" s="120"/>
      <c r="Y10" s="13" t="e">
        <f ca="1">Y9/S7</f>
        <v>#NAME?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 t="e">
        <f ca="1">J7-J8</f>
        <v>#NAME?</v>
      </c>
      <c r="K11" s="135" t="e">
        <f ca="1">K7-K8</f>
        <v>#NAME?</v>
      </c>
      <c r="L11" s="135" t="e">
        <f ca="1">L7-L8</f>
        <v>#NAME?</v>
      </c>
      <c r="P11" s="39" t="e">
        <f ca="1">P10/Y9</f>
        <v>#NAME?</v>
      </c>
      <c r="Q11" s="63" t="e">
        <f ca="1">Q9*I10</f>
        <v>#NAME?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 t="e">
        <f ca="1">X80</f>
        <v>#NAME?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1218</v>
      </c>
      <c r="C13" s="58" t="e" cm="1">
        <f t="array" aca="1" ref="C13" ca="1">_xll.BDP(B13&amp;" Equity","OPT_UNDL_TICKER")</f>
        <v>#NAME?</v>
      </c>
      <c r="D13" s="58" t="e" cm="1">
        <f t="array" aca="1" ref="D13" ca="1">_xll.BDP($B13&amp;" Index","mifid_Maturity_date")</f>
        <v>#NAME?</v>
      </c>
      <c r="E13" s="58" t="e" cm="1">
        <f t="array" aca="1" ref="E13" ca="1">_xll.BDP($B13&amp;" Index","opt_days_expire")</f>
        <v>#NAME?</v>
      </c>
      <c r="F13" s="58" t="e" cm="1">
        <f t="array" aca="1" ref="F13" ca="1">_xll.BDP(B13&amp;" Equity","QUOTED_CURRENCY_REALTIME")</f>
        <v>#NAME?</v>
      </c>
      <c r="G13" s="103" t="s">
        <v>190</v>
      </c>
      <c r="H13" s="95">
        <v>500</v>
      </c>
      <c r="I13" s="96" t="e">
        <f ca="1">IF(G13="Buy",L13,K13)</f>
        <v>#NAME?</v>
      </c>
      <c r="J13" s="18" t="e">
        <f ca="1">I13/S13</f>
        <v>#NAME?</v>
      </c>
      <c r="K13" s="35" t="e" cm="1">
        <f t="array" aca="1" ref="K13" ca="1">_xll.BDP($B13&amp;" Equity","bid")</f>
        <v>#NAME?</v>
      </c>
      <c r="L13" s="35" t="e" cm="1">
        <f t="array" aca="1" ref="L13" ca="1">_xll.BDP($B13&amp;" Equity","ask")</f>
        <v>#NAME?</v>
      </c>
      <c r="M13" s="39" t="e">
        <f ca="1">(L13/K13-1)</f>
        <v>#NAME?</v>
      </c>
      <c r="N13" s="35" t="e" cm="1">
        <f t="array" aca="1" ref="N13" ca="1">_xll.BDP(F13&amp;" Curncy","PX_LAST")</f>
        <v>#NAME?</v>
      </c>
      <c r="O13" s="132" t="e" cm="1">
        <f t="array" aca="1" ref="O13" ca="1">_xll.BDP(B13&amp;" Equity","OPT_MULTIPLIER")</f>
        <v>#NAME?</v>
      </c>
      <c r="P13" s="15" t="e">
        <f ca="1">IF(G13="Buy",((I13/N13)*H13*O13),((I13/N13)*-H13*O13))</f>
        <v>#NAME?</v>
      </c>
      <c r="Q13" s="57" t="e">
        <f ca="1">P13/'Master P&amp;L'!$AD$5*10000</f>
        <v>#NAME?</v>
      </c>
      <c r="R13" s="36" t="e" cm="1">
        <f t="array" aca="1" ref="R13" ca="1">_xll.BDP($C13&amp;" Equity","EST_PE_NXT_YR")*(T13/S13)</f>
        <v>#NAME?</v>
      </c>
      <c r="S13" s="35" t="e" cm="1">
        <f t="array" aca="1" ref="S13" ca="1">_xll.BDP(C13&amp;" Equity","LAST_PRICE")</f>
        <v>#NAME?</v>
      </c>
      <c r="T13" s="52" t="e" cm="1">
        <f t="array" aca="1" ref="T13" ca="1">_xll.BDP(B13&amp;" Equity","OPT_STRIKE_PX")</f>
        <v>#NAME?</v>
      </c>
      <c r="U13" s="39" t="e">
        <f ca="1">T13/S13-1</f>
        <v>#NAME?</v>
      </c>
      <c r="V13" s="36" t="e" cm="1">
        <f t="array" aca="1" ref="V13" ca="1">_xll.BDP($B13&amp;" Equity","ivol_mid")</f>
        <v>#NAME?</v>
      </c>
      <c r="W13" s="37" t="e" cm="1">
        <f t="array" aca="1" ref="W13" ca="1">_xll.BDP(B13&amp;" Equity","DELTA_MID_RT")</f>
        <v>#NAME?</v>
      </c>
      <c r="X13" s="47" t="e">
        <f ca="1">Y13/'Master P&amp;L'!$AE$5</f>
        <v>#NAME?</v>
      </c>
      <c r="Y13" s="15" t="e">
        <f ca="1">IF(G13="Sell", S13*W13*-H13*O13/N13, S13*W13*H13*O13/N13)</f>
        <v>#NAME?</v>
      </c>
      <c r="Z13" s="15" t="e" cm="1">
        <f t="array" aca="1" ref="Z13" ca="1">_xll.BDP($B13&amp;" Equity","opt_theta")*H13*O13/N13</f>
        <v>#NAME?</v>
      </c>
      <c r="AA13" s="18" t="e" cm="1">
        <f t="array" aca="1" ref="AA13" ca="1">_xll.BDP($B13&amp;" Equity","opt_theta")/I13</f>
        <v>#NAME?</v>
      </c>
      <c r="AB13" s="35" t="e" cm="1">
        <f t="array" aca="1" ref="AB13" ca="1">_xll.BDP($C13&amp;" Equity","EXPECTED_REPORT_DT")</f>
        <v>#NAME?</v>
      </c>
      <c r="AC13" s="15" t="e">
        <f ca="1">S13*H13*O13/N13</f>
        <v>#NAME?</v>
      </c>
      <c r="AD13" s="18" t="e">
        <f ca="1">AC13/'Master P&amp;L'!$AE$5</f>
        <v>#NAME?</v>
      </c>
      <c r="AE13" t="str">
        <f>B13  &amp; " - Buy to open " &amp;  "-" &amp; H13 &amp;"x"</f>
        <v>NVDA US 03/20/26 C200 - Buy to open -500x</v>
      </c>
      <c r="AF13">
        <f>H13*$AF$3</f>
        <v>125</v>
      </c>
      <c r="AH13">
        <v>20.9</v>
      </c>
      <c r="AI13">
        <v>20.2</v>
      </c>
      <c r="AJ13" s="63"/>
      <c r="AK13" t="s">
        <v>509</v>
      </c>
    </row>
    <row r="14" spans="1:41" outlineLevel="1">
      <c r="A14" s="97" t="s">
        <v>189</v>
      </c>
      <c r="B14" t="s">
        <v>1258</v>
      </c>
      <c r="C14" s="58" t="e" cm="1">
        <f t="array" aca="1" ref="C14" ca="1">_xll.BDP(B14&amp;" Equity","OPT_UNDL_TICKER")</f>
        <v>#NAME?</v>
      </c>
      <c r="D14" s="58" t="e" cm="1">
        <f t="array" aca="1" ref="D14" ca="1">_xll.BDP($B14&amp;" Index","mifid_Maturity_date")</f>
        <v>#NAME?</v>
      </c>
      <c r="E14" s="58" t="e" cm="1">
        <f t="array" aca="1" ref="E14" ca="1">_xll.BDP($B14&amp;" Index","opt_days_expire")</f>
        <v>#NAME?</v>
      </c>
      <c r="F14" s="58" t="e" cm="1">
        <f t="array" aca="1" ref="F14" ca="1">_xll.BDP(B14&amp;" Equity","QUOTED_CURRENCY_REALTIME")</f>
        <v>#NAME?</v>
      </c>
      <c r="G14" s="103" t="s">
        <v>191</v>
      </c>
      <c r="H14" s="95">
        <f>H13</f>
        <v>500</v>
      </c>
      <c r="I14" s="96" t="e">
        <f ca="1">IF(G14="Buy",L14,K14)</f>
        <v>#NAME?</v>
      </c>
      <c r="J14" s="18" t="e">
        <f ca="1">I14/S14</f>
        <v>#NAME?</v>
      </c>
      <c r="K14" s="35" t="e" cm="1">
        <f t="array" aca="1" ref="K14" ca="1">_xll.BDP($B14&amp;" Equity","bid")</f>
        <v>#NAME?</v>
      </c>
      <c r="L14" s="35" t="e" cm="1">
        <f t="array" aca="1" ref="L14" ca="1">_xll.BDP($B14&amp;" Equity","ask")</f>
        <v>#NAME?</v>
      </c>
      <c r="M14" s="39" t="e">
        <f ca="1">(L14/K14-1)</f>
        <v>#NAME?</v>
      </c>
      <c r="N14" s="35" t="e" cm="1">
        <f t="array" aca="1" ref="N14" ca="1">_xll.BDP(F14&amp;" Curncy","PX_LAST")</f>
        <v>#NAME?</v>
      </c>
      <c r="O14" s="132" t="e" cm="1">
        <f t="array" aca="1" ref="O14" ca="1">_xll.BDP(B14&amp;" Equity","OPT_MULTIPLIER")</f>
        <v>#NAME?</v>
      </c>
      <c r="P14" s="15" t="e">
        <f ca="1">IF(G14="Buy",((I14/N14)*H14*O14),((I14/N14)*-H14*O14))</f>
        <v>#NAME?</v>
      </c>
      <c r="Q14" s="57" t="e">
        <f ca="1">P14/'Master P&amp;L'!$AD$5*10000</f>
        <v>#NAME?</v>
      </c>
      <c r="R14" s="36" t="e" cm="1">
        <f t="array" aca="1" ref="R14" ca="1">_xll.BDP($C14&amp;" Equity","EST_PE_NXT_YR")*(T14/S14)</f>
        <v>#NAME?</v>
      </c>
      <c r="S14" s="35" t="e" cm="1">
        <f t="array" aca="1" ref="S14" ca="1">_xll.BDP(C14&amp;" Equity","LAST_PRICE")</f>
        <v>#NAME?</v>
      </c>
      <c r="T14" s="52" t="e" cm="1">
        <f t="array" aca="1" ref="T14" ca="1">_xll.BDP(B14&amp;" Equity","OPT_STRIKE_PX")</f>
        <v>#NAME?</v>
      </c>
      <c r="U14" s="39" t="e">
        <f ca="1">T14/S14-1</f>
        <v>#NAME?</v>
      </c>
      <c r="V14" s="36" t="e" cm="1">
        <f t="array" aca="1" ref="V14" ca="1">_xll.BDP($B14&amp;" Equity","ivol_mid")</f>
        <v>#NAME?</v>
      </c>
      <c r="W14" s="37" t="e" cm="1">
        <f t="array" aca="1" ref="W14" ca="1">_xll.BDP(B14&amp;" Equity","DELTA_MID_RT")</f>
        <v>#NAME?</v>
      </c>
      <c r="X14" s="47" t="e">
        <f ca="1">Y14/'Master P&amp;L'!$AE$5</f>
        <v>#NAME?</v>
      </c>
      <c r="Y14" s="15" t="e">
        <f ca="1">IF(G14="Sell", S14*W14*-H14*O14/N14, S14*W14*H14*O14/N14)</f>
        <v>#NAME?</v>
      </c>
      <c r="Z14" s="15" t="e" cm="1">
        <f t="array" aca="1" ref="Z14" ca="1">_xll.BDP($B14&amp;" Equity","opt_theta")*H14*O14/N14</f>
        <v>#NAME?</v>
      </c>
      <c r="AA14" s="18" t="e" cm="1">
        <f t="array" aca="1" ref="AA14" ca="1">_xll.BDP($B14&amp;" Equity","opt_theta")/I14</f>
        <v>#NAME?</v>
      </c>
      <c r="AB14" s="35" t="e" cm="1">
        <f t="array" aca="1" ref="AB14" ca="1">_xll.BDP($C14&amp;" Equity","EXPECTED_REPORT_DT")</f>
        <v>#NAME?</v>
      </c>
      <c r="AC14" s="15" t="e">
        <f ca="1">S14*H14*O14/N14</f>
        <v>#NAME?</v>
      </c>
      <c r="AD14" s="18" t="e">
        <f ca="1">AC14/'Master P&amp;L'!$AE$5</f>
        <v>#NAME?</v>
      </c>
      <c r="AE14" t="str">
        <f>B14  &amp; " - Buy to open " &amp;  "-" &amp; H14 &amp;"x"</f>
        <v>NVDA US 03/20/26 C210 - Buy to open -500x</v>
      </c>
      <c r="AF14">
        <f>H14*$AF$3</f>
        <v>125</v>
      </c>
      <c r="AH14">
        <v>13.2</v>
      </c>
      <c r="AI14">
        <v>12.86</v>
      </c>
      <c r="AJ14" s="63"/>
      <c r="AK14" t="s">
        <v>510</v>
      </c>
    </row>
    <row r="15" spans="1:41" outlineLevel="1">
      <c r="H15" s="99" t="s">
        <v>64</v>
      </c>
      <c r="I15" s="101" t="e">
        <f ca="1">I13-I14</f>
        <v>#NAME?</v>
      </c>
      <c r="J15" s="99" t="s">
        <v>192</v>
      </c>
      <c r="K15" s="100" t="e">
        <f ca="1">K14/L13</f>
        <v>#NAME?</v>
      </c>
      <c r="P15" s="99" t="s">
        <v>193</v>
      </c>
      <c r="Q15" s="106" t="e">
        <f ca="1">Q13+Q14</f>
        <v>#NAME?</v>
      </c>
      <c r="S15" s="99" t="s">
        <v>194</v>
      </c>
      <c r="T15" s="101" t="e">
        <f ca="1">T14-T13</f>
        <v>#NAME?</v>
      </c>
      <c r="W15" s="99" t="s">
        <v>195</v>
      </c>
      <c r="X15" s="120" t="e">
        <f ca="1">X13+X14</f>
        <v>#NAME?</v>
      </c>
      <c r="Y15" s="13" t="e">
        <f ca="1">Y13+Y14</f>
        <v>#NAME?</v>
      </c>
      <c r="AC15" s="99" t="s">
        <v>172</v>
      </c>
      <c r="AD15" s="102" t="e">
        <f ca="1">AD13</f>
        <v>#NAME?</v>
      </c>
    </row>
    <row r="16" spans="1:41" outlineLevel="1">
      <c r="H16" s="99" t="s">
        <v>196</v>
      </c>
      <c r="I16" s="101" t="e">
        <f ca="1">(T15-I15)/I15</f>
        <v>#NAME?</v>
      </c>
      <c r="J16" s="99" t="s">
        <v>90</v>
      </c>
      <c r="K16" s="178" t="e">
        <f ca="1">AVERAGE(K13:L13)-AVERAGE(K14:L14)</f>
        <v>#NAME?</v>
      </c>
      <c r="P16" s="127" t="e">
        <f ca="1">P13+P14</f>
        <v>#NAME?</v>
      </c>
      <c r="Q16" s="106"/>
      <c r="S16" s="99"/>
      <c r="T16" s="101"/>
      <c r="W16" s="106" t="e">
        <f ca="1">1/(W13-W14)</f>
        <v>#NAME?</v>
      </c>
      <c r="X16" s="120"/>
      <c r="Y16" s="13" t="e">
        <f ca="1">Y15/S13</f>
        <v>#NAME?</v>
      </c>
      <c r="AC16" s="99"/>
      <c r="AD16" s="102"/>
    </row>
    <row r="17" spans="1:38" outlineLevel="1">
      <c r="I17" s="20"/>
      <c r="J17" s="42" t="e">
        <f ca="1">J13-J14</f>
        <v>#NAME?</v>
      </c>
      <c r="K17" s="135" t="e">
        <f ca="1">K13-K14</f>
        <v>#NAME?</v>
      </c>
      <c r="L17" s="135" t="e">
        <f ca="1">L13-L14</f>
        <v>#NAME?</v>
      </c>
      <c r="P17" s="39" t="e">
        <f ca="1">P16/Y15</f>
        <v>#NAME?</v>
      </c>
      <c r="Q17" s="63" t="e">
        <f ca="1">Q15/5</f>
        <v>#NAME?</v>
      </c>
      <c r="W17" s="49"/>
      <c r="X17" s="47"/>
      <c r="Y17" s="3"/>
      <c r="Z17" s="17"/>
    </row>
    <row r="18" spans="1:38" outlineLevel="1">
      <c r="G18">
        <f>H19/25</f>
        <v>20</v>
      </c>
      <c r="H18" s="13">
        <v>1.5</v>
      </c>
      <c r="K18" s="276" t="e">
        <f ca="1">K10-K16</f>
        <v>#NAME?</v>
      </c>
      <c r="AK18">
        <v>13</v>
      </c>
      <c r="AL18" s="1">
        <v>16</v>
      </c>
    </row>
    <row r="19" spans="1:38" outlineLevel="1">
      <c r="A19" s="97" t="s">
        <v>189</v>
      </c>
      <c r="B19" s="72" t="s">
        <v>1226</v>
      </c>
      <c r="C19" s="58" t="e">
        <f ca="1">_xll.BDP(B19&amp;" Equity","OPT_UNDL_TICKER")</f>
        <v>#NAME?</v>
      </c>
      <c r="D19" s="58" t="e">
        <f ca="1">_xll.BDP($B19&amp;" Index","mifid_Maturity_date")</f>
        <v>#NAME?</v>
      </c>
      <c r="E19" s="58" t="e">
        <f ca="1">_xll.BDP($B19&amp;" Index","opt_days_expire")</f>
        <v>#NAME?</v>
      </c>
      <c r="F19" s="58" t="e">
        <f ca="1">_xll.BDP(B19&amp;" Equity","QUOTED_CURRENCY_REALTIME")</f>
        <v>#NAME?</v>
      </c>
      <c r="G19" s="103" t="s">
        <v>190</v>
      </c>
      <c r="H19" s="95">
        <v>500</v>
      </c>
      <c r="I19" s="96" t="e">
        <f ca="1">IF(G19="Buy",L19,K19)</f>
        <v>#NAME?</v>
      </c>
      <c r="J19" s="18" t="e">
        <f ca="1">I19/S19</f>
        <v>#NAME?</v>
      </c>
      <c r="K19" s="35" t="e">
        <f ca="1">_xll.BDP($B19&amp;" Equity","bid")</f>
        <v>#NAME?</v>
      </c>
      <c r="L19" s="35" t="e">
        <f ca="1">_xll.BDP($B19&amp;" Equity","ask")</f>
        <v>#NAME?</v>
      </c>
      <c r="M19" s="39" t="e">
        <f ca="1">(L19/K19-1)</f>
        <v>#NAME?</v>
      </c>
      <c r="N19" s="35" t="e" cm="1">
        <f t="array" aca="1" ref="N19" ca="1">_xll.BDP(F19&amp;" Curncy","PX_LAST")</f>
        <v>#NAME?</v>
      </c>
      <c r="O19" s="132" t="e">
        <f ca="1">_xll.BDP(B19&amp;" Equity","OPT_MULTIPLIER")</f>
        <v>#NAME?</v>
      </c>
      <c r="P19" s="15" t="e">
        <f ca="1">IF(G19="Buy",((I19/N19)*H19*O19),((I19/N19)*-H19*O19))</f>
        <v>#NAME?</v>
      </c>
      <c r="Q19" s="57" t="e">
        <f ca="1">P19/'Master P&amp;L'!$AD$5*10000</f>
        <v>#NAME?</v>
      </c>
      <c r="R19" s="36" t="e" cm="1">
        <f t="array" aca="1" ref="R19" ca="1">_xll.BDP($C19&amp;" Equity","EST_PE_NXT_YR")*(T19/S19)</f>
        <v>#NAME?</v>
      </c>
      <c r="S19" s="35" t="e" cm="1">
        <f t="array" aca="1" ref="S19" ca="1">_xll.BDP(C19&amp;" Equity","LAST_PRICE")</f>
        <v>#NAME?</v>
      </c>
      <c r="T19" s="52" t="e">
        <f ca="1">_xll.BDP(B19&amp;" Equity","OPT_STRIKE_PX")</f>
        <v>#NAME?</v>
      </c>
      <c r="U19" s="39" t="e">
        <f ca="1">T19/S19-1</f>
        <v>#NAME?</v>
      </c>
      <c r="V19" s="36" t="e">
        <f ca="1">_xll.BDP($B19&amp;" Equity","ivol_mid")</f>
        <v>#NAME?</v>
      </c>
      <c r="W19" s="37" t="e">
        <f ca="1">_xll.BDP(B19&amp;" Equity","DELTA_MID_RT")</f>
        <v>#NAME?</v>
      </c>
      <c r="X19" s="47" t="e">
        <f ca="1">Y19/'Master P&amp;L'!$AE$5</f>
        <v>#NAME?</v>
      </c>
      <c r="Y19" s="15" t="e">
        <f ca="1">IF(G19="Sell", S19*W19*-H19*O19/N19, S19*W19*H19*O19/N19)</f>
        <v>#NAME?</v>
      </c>
      <c r="Z19" s="15" t="e" cm="1">
        <f t="array" aca="1" ref="Z19" ca="1">_xll.BDP($B19&amp;" Equity","opt_theta")*H19*O19/N19</f>
        <v>#NAME?</v>
      </c>
      <c r="AA19" s="18" t="e" cm="1">
        <f t="array" aca="1" ref="AA19" ca="1">_xll.BDP($B19&amp;" Equity","opt_theta")/I19</f>
        <v>#NAME?</v>
      </c>
      <c r="AB19" s="35" t="e" cm="1">
        <f t="array" aca="1" ref="AB19" ca="1">_xll.BDP($C19&amp;" Equity","EXPECTED_REPORT_DT")</f>
        <v>#NAME?</v>
      </c>
      <c r="AC19" s="15" t="e">
        <f ca="1">S19*H19*O19/N19</f>
        <v>#NAME?</v>
      </c>
      <c r="AD19" s="18" t="e">
        <f ca="1">AC19/'Master P&amp;L'!$AE$5</f>
        <v>#NAME?</v>
      </c>
      <c r="AE19" t="str">
        <f>B19  &amp; " - Buy to open " &amp;  "-" &amp; H19 &amp;"x"</f>
        <v>CSCO US 07/17/26 C95 -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1227</v>
      </c>
      <c r="C20" s="58" t="e" cm="1">
        <f t="array" aca="1" ref="C20" ca="1">_xll.BDP(B20&amp;" Equity","OPT_UNDL_TICKER")</f>
        <v>#NAME?</v>
      </c>
      <c r="D20" s="58" t="e" cm="1">
        <f t="array" aca="1" ref="D20" ca="1">_xll.BDP($B20&amp;" Index","mifid_Maturity_date")</f>
        <v>#NAME?</v>
      </c>
      <c r="E20" s="58" t="e" cm="1">
        <f t="array" aca="1" ref="E20" ca="1">_xll.BDP($B20&amp;" Index","opt_days_expire")</f>
        <v>#NAME?</v>
      </c>
      <c r="F20" s="58" t="e" cm="1">
        <f t="array" aca="1" ref="F20" ca="1">_xll.BDP(B20&amp;" Equity","QUOTED_CURRENCY_REALTIME")</f>
        <v>#NAME?</v>
      </c>
      <c r="G20" s="103" t="s">
        <v>191</v>
      </c>
      <c r="H20" s="95">
        <f>H19</f>
        <v>500</v>
      </c>
      <c r="I20" s="96" t="e">
        <f ca="1">IF(G20="Buy",L20,K20)</f>
        <v>#NAME?</v>
      </c>
      <c r="J20" s="18" t="e">
        <f ca="1">I20/S20</f>
        <v>#NAME?</v>
      </c>
      <c r="K20" s="35" t="e" cm="1">
        <f t="array" aca="1" ref="K20" ca="1">_xll.BDP($B20&amp;" Equity","bid")</f>
        <v>#NAME?</v>
      </c>
      <c r="L20" s="35" t="e" cm="1">
        <f t="array" aca="1" ref="L20" ca="1">_xll.BDP($B20&amp;" Equity","ask")</f>
        <v>#NAME?</v>
      </c>
      <c r="M20" s="39" t="e">
        <f ca="1">(L20/K20-1)</f>
        <v>#NAME?</v>
      </c>
      <c r="N20" s="35" t="e" cm="1">
        <f t="array" aca="1" ref="N20" ca="1">_xll.BDP(F20&amp;" Curncy","PX_LAST")</f>
        <v>#NAME?</v>
      </c>
      <c r="O20" s="132" t="e" cm="1">
        <f t="array" aca="1" ref="O20" ca="1">_xll.BDP(B20&amp;" Equity","OPT_MULTIPLIER")</f>
        <v>#NAME?</v>
      </c>
      <c r="P20" s="15" t="e">
        <f ca="1">IF(G20="Buy",((I20/N20)*H20*O20),((I20/N20)*-H20*O20))</f>
        <v>#NAME?</v>
      </c>
      <c r="Q20" s="57" t="e">
        <f ca="1">P20/'Master P&amp;L'!$AD$5*10000</f>
        <v>#NAME?</v>
      </c>
      <c r="R20" s="36" t="e" cm="1">
        <f t="array" aca="1" ref="R20" ca="1">_xll.BDP($C20&amp;" Equity","EST_PE_NXT_YR")*(T20/S20)</f>
        <v>#NAME?</v>
      </c>
      <c r="S20" s="35" t="e" cm="1">
        <f t="array" aca="1" ref="S20" ca="1">_xll.BDP(C20&amp;" Equity","LAST_PRICE")</f>
        <v>#NAME?</v>
      </c>
      <c r="T20" s="52" t="e" cm="1">
        <f t="array" aca="1" ref="T20" ca="1">_xll.BDP(B20&amp;" Equity","OPT_STRIKE_PX")</f>
        <v>#NAME?</v>
      </c>
      <c r="U20" s="39" t="e">
        <f ca="1">T20/S20-1</f>
        <v>#NAME?</v>
      </c>
      <c r="V20" s="36" t="e" cm="1">
        <f t="array" aca="1" ref="V20" ca="1">_xll.BDP($B20&amp;" Equity","ivol_mid")</f>
        <v>#NAME?</v>
      </c>
      <c r="W20" s="37" t="e" cm="1">
        <f t="array" aca="1" ref="W20" ca="1">_xll.BDP(B20&amp;" Equity","DELTA_MID_RT")</f>
        <v>#NAME?</v>
      </c>
      <c r="X20" s="47" t="e">
        <f ca="1">Y20/'Master P&amp;L'!$AE$5</f>
        <v>#NAME?</v>
      </c>
      <c r="Y20" s="15" t="e">
        <f ca="1">IF(G20="Sell", S20*W20*-H20*O20/N20, S20*W20*H20*O20/N20)</f>
        <v>#NAME?</v>
      </c>
      <c r="Z20" s="15" t="e" cm="1">
        <f t="array" aca="1" ref="Z20" ca="1">_xll.BDP($B20&amp;" Equity","opt_theta")*H20*O20/N20</f>
        <v>#NAME?</v>
      </c>
      <c r="AA20" s="18" t="e" cm="1">
        <f t="array" aca="1" ref="AA20" ca="1">_xll.BDP($B20&amp;" Equity","opt_theta")/I20</f>
        <v>#NAME?</v>
      </c>
      <c r="AB20" s="35" t="e" cm="1">
        <f t="array" aca="1" ref="AB20" ca="1">_xll.BDP($C20&amp;" Equity","EXPECTED_REPORT_DT")</f>
        <v>#NAME?</v>
      </c>
      <c r="AC20" s="15" t="e">
        <f ca="1">S20*H20*O20/N20</f>
        <v>#NAME?</v>
      </c>
      <c r="AD20" s="18" t="e">
        <f ca="1">AC20/'Master P&amp;L'!$AE$5</f>
        <v>#NAME?</v>
      </c>
      <c r="AE20" t="str">
        <f>B20  &amp; " - Buy to open " &amp;  "-" &amp; H20 &amp;"x"</f>
        <v>CSCO US 07/17/26 C100 -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 t="e">
        <f ca="1">I19-I20</f>
        <v>#NAME?</v>
      </c>
      <c r="J21" s="99" t="s">
        <v>192</v>
      </c>
      <c r="K21" s="100" t="e">
        <f ca="1">K20/L19</f>
        <v>#NAME?</v>
      </c>
      <c r="P21" s="99" t="s">
        <v>193</v>
      </c>
      <c r="Q21" s="106" t="e">
        <f ca="1">Q19+Q20</f>
        <v>#NAME?</v>
      </c>
      <c r="S21" s="99" t="s">
        <v>194</v>
      </c>
      <c r="T21" s="101" t="e">
        <f ca="1">T20-T19</f>
        <v>#NAME?</v>
      </c>
      <c r="W21" s="99" t="s">
        <v>195</v>
      </c>
      <c r="X21" s="120" t="e">
        <f ca="1">X19+X20</f>
        <v>#NAME?</v>
      </c>
      <c r="Y21" s="13" t="e">
        <f ca="1">Y19+Y20</f>
        <v>#NAME?</v>
      </c>
      <c r="AC21" s="99" t="s">
        <v>172</v>
      </c>
      <c r="AD21" s="102" t="e">
        <f ca="1">AD19</f>
        <v>#NAME?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 t="e">
        <f ca="1">(T21-I21)/I21</f>
        <v>#NAME?</v>
      </c>
      <c r="J22" s="99" t="s">
        <v>90</v>
      </c>
      <c r="K22" s="178" t="e">
        <f ca="1">AVERAGE(K19:L19)-AVERAGE(K20:L20)</f>
        <v>#NAME?</v>
      </c>
      <c r="P22" s="127" t="e">
        <f ca="1">P19+P20</f>
        <v>#NAME?</v>
      </c>
      <c r="Q22" s="106"/>
      <c r="S22" s="99"/>
      <c r="T22" s="101"/>
      <c r="W22" s="99"/>
      <c r="X22" s="120"/>
      <c r="Y22" s="3" t="e">
        <f ca="1">Y21/S19</f>
        <v>#NAME?</v>
      </c>
      <c r="AC22" s="99"/>
      <c r="AD22" s="102"/>
    </row>
    <row r="23" spans="1:38" outlineLevel="1">
      <c r="I23" s="63" t="e">
        <f ca="1">I20*2</f>
        <v>#NAME?</v>
      </c>
      <c r="K23" s="135" t="e">
        <f ca="1">K19-K20</f>
        <v>#NAME?</v>
      </c>
      <c r="L23" s="135" t="e">
        <f ca="1">L19-L20</f>
        <v>#NAME?</v>
      </c>
      <c r="P23" s="39" t="e">
        <f ca="1">P22/Y21</f>
        <v>#NAME?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 t="e">
        <f ca="1">Q21-Q15</f>
        <v>#NAME?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 t="e">
        <f ca="1">K30*2+K31</f>
        <v>#NAME?</v>
      </c>
      <c r="L27" s="63" t="e">
        <f ca="1">L30*2+L31</f>
        <v>#NAME?</v>
      </c>
    </row>
    <row r="28" spans="1:38">
      <c r="A28" s="98" t="s">
        <v>1179</v>
      </c>
      <c r="B28" s="98"/>
      <c r="K28" s="63"/>
      <c r="L28" s="63"/>
      <c r="P28" s="3" t="e">
        <f ca="1">P30+P31</f>
        <v>#NAME?</v>
      </c>
      <c r="Q28" s="57"/>
    </row>
    <row r="29" spans="1:38">
      <c r="H29">
        <v>1</v>
      </c>
      <c r="I29" s="63" t="e">
        <f ca="1">I30-I31</f>
        <v>#NAME?</v>
      </c>
    </row>
    <row r="30" spans="1:38" outlineLevel="1">
      <c r="A30" s="209">
        <v>4.3</v>
      </c>
      <c r="B30" t="s">
        <v>1261</v>
      </c>
      <c r="C30" t="e" cm="1">
        <f t="array" aca="1" ref="C30" ca="1">_xll.BDP(B30&amp;" Equity","OPT_UNDL_TICKER")</f>
        <v>#NAME?</v>
      </c>
      <c r="D30" t="e" cm="1">
        <f t="array" aca="1" ref="D30" ca="1">_xll.BDP($B30&amp;" Index","mifid_Maturity_date")</f>
        <v>#NAME?</v>
      </c>
      <c r="E30" t="e" cm="1">
        <f t="array" aca="1" ref="E30" ca="1">_xll.BDP($B30&amp;" Index","opt_days_expire")</f>
        <v>#NAME?</v>
      </c>
      <c r="F30" t="e" cm="1">
        <f t="array" aca="1" ref="F30" ca="1">_xll.BDP(B30&amp;" Equity","QUOTED_CURRENCY_REALTIME")</f>
        <v>#NAME?</v>
      </c>
      <c r="G30" s="103" t="s">
        <v>190</v>
      </c>
      <c r="H30" s="95">
        <v>1000</v>
      </c>
      <c r="I30" s="96" t="e">
        <f ca="1">IF(G30="Buy",L30,K30)</f>
        <v>#NAME?</v>
      </c>
      <c r="J30" s="18" t="e">
        <f ca="1">I30/S30</f>
        <v>#NAME?</v>
      </c>
      <c r="K30" s="35" t="e" cm="1">
        <f t="array" aca="1" ref="K30" ca="1">_xll.BDP($B30&amp;" Equity","bid")</f>
        <v>#NAME?</v>
      </c>
      <c r="L30" s="35" t="e" cm="1">
        <f t="array" aca="1" ref="L30" ca="1">_xll.BDP($B30&amp;" Equity","ask")</f>
        <v>#NAME?</v>
      </c>
      <c r="M30" s="39" t="e">
        <f ca="1">(L30/K30-1)</f>
        <v>#NAME?</v>
      </c>
      <c r="N30" s="35" t="e" cm="1">
        <f t="array" aca="1" ref="N30" ca="1">_xll.BDP(F30&amp;" Curncy","PX_LAST")</f>
        <v>#NAME?</v>
      </c>
      <c r="O30" s="132" t="e" cm="1">
        <f t="array" aca="1" ref="O30" ca="1">_xll.BDP(B30&amp;" Equity","OPT_MULTIPLIER")</f>
        <v>#NAME?</v>
      </c>
      <c r="P30" s="15" t="e">
        <f ca="1">IF(G30="Buy",((I30/N30)*H30*O30),((I30/N30)*-H30*O30))</f>
        <v>#NAME?</v>
      </c>
      <c r="Q30" s="57" t="e">
        <f ca="1">P30/'Master P&amp;L'!$AD$5*10000</f>
        <v>#NAME?</v>
      </c>
      <c r="R30" s="36" t="e" cm="1">
        <f t="array" aca="1" ref="R30" ca="1">_xll.BDP($C30&amp;" Equity","EST_PE_NXT_YR")*(T30/S30)</f>
        <v>#NAME?</v>
      </c>
      <c r="S30" s="35" t="e" cm="1">
        <f t="array" aca="1" ref="S30" ca="1">_xll.BDP(C30&amp;" Equity","LAST_PRICE")</f>
        <v>#NAME?</v>
      </c>
      <c r="T30" s="52" t="e" cm="1">
        <f t="array" aca="1" ref="T30" ca="1">_xll.BDP(B30&amp;" Equity","OPT_STRIKE_PX")</f>
        <v>#NAME?</v>
      </c>
      <c r="U30" s="39" t="e">
        <f ca="1">T30/S30-1</f>
        <v>#NAME?</v>
      </c>
      <c r="V30" s="36" t="e" cm="1">
        <f t="array" aca="1" ref="V30" ca="1">_xll.BDP($B30&amp;" Equity","ivol_mid")</f>
        <v>#NAME?</v>
      </c>
      <c r="W30" s="37" t="e" cm="1">
        <f t="array" aca="1" ref="W30" ca="1">_xll.BDP(B30&amp;" Equity","DELTA_MID_RT")</f>
        <v>#NAME?</v>
      </c>
      <c r="X30" s="284" t="e">
        <f ca="1">Y30/'Master P&amp;L'!$AE$5</f>
        <v>#NAME?</v>
      </c>
      <c r="Y30" s="15" t="e">
        <f ca="1">IF(G30="Sell", S30*W30*-H30*O30/N30, S30*W30*H30*O30/N30)</f>
        <v>#NAME?</v>
      </c>
      <c r="Z30" s="15" t="e" cm="1">
        <f t="array" aca="1" ref="Z30" ca="1">_xll.BDP($B30&amp;" Equity","opt_theta")*H30*O30/N30</f>
        <v>#NAME?</v>
      </c>
      <c r="AA30" s="18" t="e" cm="1">
        <f t="array" aca="1" ref="AA30" ca="1">_xll.BDP($B30&amp;" Equity","opt_theta")/I30</f>
        <v>#NAME?</v>
      </c>
      <c r="AB30" s="35" t="e" cm="1">
        <f t="array" aca="1" ref="AB30" ca="1">_xll.BDP($C30&amp;" Equity","EXPECTED_REPORT_DT")</f>
        <v>#NAME?</v>
      </c>
      <c r="AC30" s="15" t="e">
        <f ca="1">S30*H30*O30/N30</f>
        <v>#NAME?</v>
      </c>
      <c r="AD30" s="47" t="e">
        <f ca="1">AC30/'Master P&amp;L'!$AE$5</f>
        <v>#NAME?</v>
      </c>
      <c r="AE30" t="str">
        <f>B30&amp;" -&gt; Buy to open "&amp;H30&amp;"x"</f>
        <v>QQQ US 02/12/26 P599 -&gt; Buy to open 1000x</v>
      </c>
      <c r="AJ30" t="s">
        <v>198</v>
      </c>
    </row>
    <row r="31" spans="1:38" outlineLevel="1">
      <c r="A31" s="209">
        <v>2.0499999999999998</v>
      </c>
      <c r="B31" t="s">
        <v>1262</v>
      </c>
      <c r="C31" t="e" cm="1">
        <f t="array" aca="1" ref="C31" ca="1">_xll.BDP(B31&amp;" Equity","OPT_UNDL_TICKER")</f>
        <v>#NAME?</v>
      </c>
      <c r="D31" t="e" cm="1">
        <f t="array" aca="1" ref="D31" ca="1">_xll.BDP($B31&amp;" Index","mifid_Maturity_date")</f>
        <v>#NAME?</v>
      </c>
      <c r="E31" t="e" cm="1">
        <f t="array" aca="1" ref="E31" ca="1">_xll.BDP($B31&amp;" Index","opt_days_expire")</f>
        <v>#NAME?</v>
      </c>
      <c r="F31" t="e" cm="1">
        <f t="array" aca="1" ref="F31" ca="1">_xll.BDP(B31&amp;" Equity","QUOTED_CURRENCY_REALTIME")</f>
        <v>#NAME?</v>
      </c>
      <c r="G31" s="103" t="s">
        <v>191</v>
      </c>
      <c r="H31" s="95">
        <f>H30</f>
        <v>1000</v>
      </c>
      <c r="I31" s="96" t="e">
        <f ca="1">IF(G31="Buy",L31,K31)</f>
        <v>#NAME?</v>
      </c>
      <c r="J31" s="18" t="e">
        <f ca="1">I31/S31</f>
        <v>#NAME?</v>
      </c>
      <c r="K31" s="35" t="e" cm="1">
        <f t="array" aca="1" ref="K31" ca="1">_xll.BDP($B31&amp;" Equity","bid")</f>
        <v>#NAME?</v>
      </c>
      <c r="L31" s="35" t="e" cm="1">
        <f t="array" aca="1" ref="L31" ca="1">_xll.BDP($B31&amp;" Equity","ask")</f>
        <v>#NAME?</v>
      </c>
      <c r="M31" s="39" t="e">
        <f ca="1">(L31/K31-1)</f>
        <v>#NAME?</v>
      </c>
      <c r="N31" s="35" t="e" cm="1">
        <f t="array" aca="1" ref="N31" ca="1">_xll.BDP(F31&amp;" Curncy","PX_LAST")</f>
        <v>#NAME?</v>
      </c>
      <c r="O31" s="132" t="e" cm="1">
        <f t="array" aca="1" ref="O31" ca="1">_xll.BDP(B31&amp;" Equity","OPT_MULTIPLIER")</f>
        <v>#NAME?</v>
      </c>
      <c r="P31" s="15" t="e">
        <f ca="1">IF(G31="Buy",((I31/N31)*H31*O31),((I31/N31)*-H31*O31))</f>
        <v>#NAME?</v>
      </c>
      <c r="Q31" s="57" t="e">
        <f ca="1">P31/'Master P&amp;L'!$AD$5*10000</f>
        <v>#NAME?</v>
      </c>
      <c r="R31" s="36" t="e" cm="1">
        <f t="array" aca="1" ref="R31" ca="1">_xll.BDP($C31&amp;" Equity","EST_PE_NXT_YR")*(T31/S31)</f>
        <v>#NAME?</v>
      </c>
      <c r="S31" s="35" t="e" cm="1">
        <f t="array" aca="1" ref="S31" ca="1">_xll.BDP(C31&amp;" Equity","LAST_PRICE")</f>
        <v>#NAME?</v>
      </c>
      <c r="T31" s="52" t="e" cm="1">
        <f t="array" aca="1" ref="T31" ca="1">_xll.BDP(B31&amp;" Equity","OPT_STRIKE_PX")</f>
        <v>#NAME?</v>
      </c>
      <c r="U31" s="39" t="e">
        <f ca="1">T31/S31-1</f>
        <v>#NAME?</v>
      </c>
      <c r="V31" s="36" t="e" cm="1">
        <f t="array" aca="1" ref="V31" ca="1">_xll.BDP(B31&amp;" Equity","ivol_mid")</f>
        <v>#NAME?</v>
      </c>
      <c r="W31" s="37" t="e" cm="1">
        <f t="array" aca="1" ref="W31" ca="1">_xll.BDP(B31&amp;" Equity","DELTA_MID_RT")</f>
        <v>#NAME?</v>
      </c>
      <c r="X31" s="284" t="e">
        <f ca="1">Y31/'Master P&amp;L'!$AE$5</f>
        <v>#NAME?</v>
      </c>
      <c r="Y31" s="15" t="e">
        <f ca="1">IF(G31="Sell", S31*W31*-H31*O31/N31, S31*W31*H31*O31/N31)</f>
        <v>#NAME?</v>
      </c>
      <c r="Z31" s="15" t="e" cm="1">
        <f t="array" aca="1" ref="Z31" ca="1">_xll.BDP($B31&amp;" Equity","opt_theta")*H31*O31/N31</f>
        <v>#NAME?</v>
      </c>
      <c r="AA31" s="18" t="e" cm="1">
        <f t="array" aca="1" ref="AA31" ca="1">_xll.BDP($B31&amp;" Equity","opt_theta")/I31</f>
        <v>#NAME?</v>
      </c>
      <c r="AB31" s="35" t="e" cm="1">
        <f t="array" aca="1" ref="AB31" ca="1">_xll.BDP($C31&amp;" Equity","EXPECTED_REPORT_DT")</f>
        <v>#NAME?</v>
      </c>
      <c r="AC31" s="15" t="e">
        <f ca="1">S31*H31*O31/N31</f>
        <v>#NAME?</v>
      </c>
      <c r="AD31" s="18" t="e">
        <f ca="1">AC31/'Master P&amp;L'!$AE$5</f>
        <v>#NAME?</v>
      </c>
      <c r="AE31" t="str">
        <f>B31  &amp; " -&gt; Sell to open " &amp;   H31 &amp;"x"</f>
        <v>QQQ US 02/12/26 P598 -&gt; Sell to open 1000x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 t="e">
        <f ca="1">I30-I31</f>
        <v>#NAME?</v>
      </c>
      <c r="J32" s="99" t="s">
        <v>192</v>
      </c>
      <c r="K32" s="100" t="e">
        <f ca="1">K31/L30</f>
        <v>#NAME?</v>
      </c>
      <c r="L32" s="63"/>
      <c r="P32" s="99" t="s">
        <v>193</v>
      </c>
      <c r="Q32" s="106" t="e">
        <f ca="1">Q30+Q31</f>
        <v>#NAME?</v>
      </c>
      <c r="S32" s="99" t="s">
        <v>194</v>
      </c>
      <c r="T32" s="101" t="e">
        <f ca="1">T30-T31</f>
        <v>#NAME?</v>
      </c>
      <c r="W32" s="99" t="s">
        <v>195</v>
      </c>
      <c r="X32" s="342" t="e">
        <f ca="1">X30+X31</f>
        <v>#NAME?</v>
      </c>
      <c r="Y32" s="13" t="e">
        <f ca="1">Y30+Y31</f>
        <v>#NAME?</v>
      </c>
      <c r="AC32" s="99" t="s">
        <v>172</v>
      </c>
      <c r="AD32" s="120" t="e">
        <f ca="1">AD30</f>
        <v>#NAME?</v>
      </c>
    </row>
    <row r="33" spans="1:36" outlineLevel="1">
      <c r="A33" s="205"/>
      <c r="H33" s="99" t="s">
        <v>196</v>
      </c>
      <c r="I33" s="101" t="e">
        <f ca="1">(T32-I32)/I32</f>
        <v>#NAME?</v>
      </c>
      <c r="J33" s="99" t="s">
        <v>90</v>
      </c>
      <c r="K33" s="107" t="e">
        <f ca="1">AVERAGE(K30:L30)-AVERAGE(K31:L31)</f>
        <v>#NAME?</v>
      </c>
      <c r="L33" s="63"/>
      <c r="P33" s="127" t="e">
        <f ca="1">P30+P31</f>
        <v>#NAME?</v>
      </c>
      <c r="Q33" s="106"/>
      <c r="S33" s="99"/>
      <c r="T33" s="101"/>
      <c r="W33" s="99"/>
      <c r="X33" s="120"/>
      <c r="Z33" s="3" t="e">
        <f ca="1">Y32/S30</f>
        <v>#NAME?</v>
      </c>
      <c r="AC33" s="99"/>
      <c r="AD33" s="102"/>
    </row>
    <row r="34" spans="1:36" outlineLevel="1"/>
    <row r="35" spans="1:36" outlineLevel="1">
      <c r="H35">
        <v>1</v>
      </c>
      <c r="I35" s="63"/>
      <c r="J35" s="42" t="e">
        <f ca="1">J36-J37</f>
        <v>#NAME?</v>
      </c>
      <c r="L35" s="63"/>
      <c r="P35" s="13" t="e">
        <f ca="1">P36+P37</f>
        <v>#NAME?</v>
      </c>
      <c r="V35" s="529"/>
    </row>
    <row r="36" spans="1:36" outlineLevel="1">
      <c r="A36" s="97" t="s">
        <v>197</v>
      </c>
      <c r="B36" t="s">
        <v>1259</v>
      </c>
      <c r="C36" t="e" cm="1">
        <f t="array" aca="1" ref="C36" ca="1">_xll.BDP(B36&amp;" Equity","OPT_UNDL_TICKER")</f>
        <v>#NAME?</v>
      </c>
      <c r="D36" t="e" cm="1">
        <f t="array" aca="1" ref="D36" ca="1">_xll.BDP($B36&amp;" Index","mifid_Maturity_date")</f>
        <v>#NAME?</v>
      </c>
      <c r="E36" t="e" cm="1">
        <f t="array" aca="1" ref="E36" ca="1">_xll.BDP($B36&amp;" Index","opt_days_expire")</f>
        <v>#NAME?</v>
      </c>
      <c r="F36" t="e" cm="1">
        <f t="array" aca="1" ref="F36" ca="1">_xll.BDP(B36&amp;" Equity","QUOTED_CURRENCY_REALTIME")</f>
        <v>#NAME?</v>
      </c>
      <c r="G36" s="103" t="s">
        <v>190</v>
      </c>
      <c r="H36" s="95">
        <v>500</v>
      </c>
      <c r="I36" s="96" t="e">
        <f ca="1">IF(G36="Buy",L36,K36)</f>
        <v>#NAME?</v>
      </c>
      <c r="J36" s="18" t="e">
        <f ca="1">I36/S36</f>
        <v>#NAME?</v>
      </c>
      <c r="K36" s="35" t="e" cm="1">
        <f t="array" aca="1" ref="K36" ca="1">_xll.BDP($B36&amp;" Equity","bid")</f>
        <v>#NAME?</v>
      </c>
      <c r="L36" s="35" t="e" cm="1">
        <f t="array" aca="1" ref="L36" ca="1">_xll.BDP($B36&amp;" Equity","ask")</f>
        <v>#NAME?</v>
      </c>
      <c r="M36" s="39" t="e">
        <f ca="1">(L36/K36-1)</f>
        <v>#NAME?</v>
      </c>
      <c r="N36" s="35" t="e" cm="1">
        <f t="array" aca="1" ref="N36" ca="1">_xll.BDP(F36&amp;" Curncy","PX_LAST")</f>
        <v>#NAME?</v>
      </c>
      <c r="O36" s="132" t="e" cm="1">
        <f t="array" aca="1" ref="O36" ca="1">_xll.BDP(B36&amp;" Equity","OPT_MULTIPLIER")</f>
        <v>#NAME?</v>
      </c>
      <c r="P36" s="15" t="e">
        <f ca="1">IF(G36="Buy",((I36/N36)*H36*O36),((I36/N36)*-H36*O36))</f>
        <v>#NAME?</v>
      </c>
      <c r="Q36" s="57" t="e">
        <f ca="1">P36/'Master P&amp;L'!$AD$5*10000</f>
        <v>#NAME?</v>
      </c>
      <c r="R36" s="36" t="e" cm="1">
        <f t="array" aca="1" ref="R36" ca="1">_xll.BDP($C36&amp;" Equity","EST_PE_NXT_YR")*(T36/S36)</f>
        <v>#NAME?</v>
      </c>
      <c r="S36" s="35" t="e" cm="1">
        <f t="array" aca="1" ref="S36" ca="1">_xll.BDP(C36&amp;" Equity","LAST_PRICE")</f>
        <v>#NAME?</v>
      </c>
      <c r="T36" s="52" t="e" cm="1">
        <f t="array" aca="1" ref="T36" ca="1">_xll.BDP(B36&amp;" Equity","OPT_STRIKE_PX")</f>
        <v>#NAME?</v>
      </c>
      <c r="U36" s="39" t="e">
        <f ca="1">T36/S36-1</f>
        <v>#NAME?</v>
      </c>
      <c r="V36" s="36" t="e" cm="1">
        <f t="array" aca="1" ref="V36" ca="1">_xll.BDP($B36&amp;" Equity","ivol_mid")</f>
        <v>#NAME?</v>
      </c>
      <c r="W36" s="37" t="e" cm="1">
        <f t="array" aca="1" ref="W36" ca="1">_xll.BDP(B36&amp;" Equity","DELTA_MID_RT")</f>
        <v>#NAME?</v>
      </c>
      <c r="X36" s="47" t="e">
        <f ca="1">Y36/'Master P&amp;L'!$AE$5</f>
        <v>#NAME?</v>
      </c>
      <c r="Y36" s="15" t="e">
        <f ca="1">IF(G36="Sell", S36*W36*-H36*O36/N36, S36*W36*H36*O36/N36)</f>
        <v>#NAME?</v>
      </c>
      <c r="Z36" s="15" t="e" cm="1">
        <f t="array" aca="1" ref="Z36" ca="1">_xll.BDP($B36&amp;" Equity","opt_theta")*H36*O36/N36</f>
        <v>#NAME?</v>
      </c>
      <c r="AA36" s="18" t="e" cm="1">
        <f t="array" aca="1" ref="AA36" ca="1">_xll.BDP($B36&amp;" Equity","opt_theta")/I36</f>
        <v>#NAME?</v>
      </c>
      <c r="AB36" s="35" t="e" cm="1">
        <f t="array" aca="1" ref="AB36" ca="1">_xll.BDP($C36&amp;" Equity","EXPECTED_REPORT_DT")</f>
        <v>#NAME?</v>
      </c>
      <c r="AC36" s="15" t="e">
        <f ca="1">S36*H36*O36/N36</f>
        <v>#NAME?</v>
      </c>
      <c r="AD36" s="47" t="e">
        <f ca="1">AC36/'Master P&amp;L'!$AE$5</f>
        <v>#NAME?</v>
      </c>
      <c r="AE36" t="str">
        <f>B36&amp;" -&gt; Buy to open "&amp;H36&amp;"x"</f>
        <v>QQQ US 02/13/26 P595 -&gt; Buy to open 500x</v>
      </c>
      <c r="AJ36" t="s">
        <v>198</v>
      </c>
    </row>
    <row r="37" spans="1:36" outlineLevel="1">
      <c r="A37" s="97" t="s">
        <v>197</v>
      </c>
      <c r="B37" t="s">
        <v>1260</v>
      </c>
      <c r="C37" t="e" cm="1">
        <f t="array" aca="1" ref="C37" ca="1">_xll.BDP(B37&amp;" Equity","OPT_UNDL_TICKER")</f>
        <v>#NAME?</v>
      </c>
      <c r="D37" t="e" cm="1">
        <f t="array" aca="1" ref="D37" ca="1">_xll.BDP($B37&amp;" Index","mifid_Maturity_date")</f>
        <v>#NAME?</v>
      </c>
      <c r="E37" t="e" cm="1">
        <f t="array" aca="1" ref="E37" ca="1">_xll.BDP($B37&amp;" Index","opt_days_expire")</f>
        <v>#NAME?</v>
      </c>
      <c r="F37" t="e" cm="1">
        <f t="array" aca="1" ref="F37" ca="1">_xll.BDP(B37&amp;" Equity","QUOTED_CURRENCY_REALTIME")</f>
        <v>#NAME?</v>
      </c>
      <c r="G37" s="103" t="s">
        <v>191</v>
      </c>
      <c r="H37" s="95">
        <f>H36</f>
        <v>500</v>
      </c>
      <c r="I37" s="96" t="e">
        <f ca="1">IF(G37="Buy",L37,K37)</f>
        <v>#NAME?</v>
      </c>
      <c r="J37" s="18" t="e">
        <f ca="1">I37/S37</f>
        <v>#NAME?</v>
      </c>
      <c r="K37" s="35" t="e" cm="1">
        <f t="array" aca="1" ref="K37" ca="1">_xll.BDP($B37&amp;" Equity","bid")</f>
        <v>#NAME?</v>
      </c>
      <c r="L37" s="35" t="e" cm="1">
        <f t="array" aca="1" ref="L37" ca="1">_xll.BDP($B37&amp;" Equity","ask")</f>
        <v>#NAME?</v>
      </c>
      <c r="M37" s="39" t="e">
        <f ca="1">(L37/K37-1)</f>
        <v>#NAME?</v>
      </c>
      <c r="N37" s="35" t="e" cm="1">
        <f t="array" aca="1" ref="N37" ca="1">_xll.BDP(F37&amp;" Curncy","PX_LAST")</f>
        <v>#NAME?</v>
      </c>
      <c r="O37" s="132" t="e" cm="1">
        <f t="array" aca="1" ref="O37" ca="1">_xll.BDP(B37&amp;" Equity","OPT_MULTIPLIER")</f>
        <v>#NAME?</v>
      </c>
      <c r="P37" s="15" t="e">
        <f ca="1">IF(G37="Buy",((I37/N37)*H37*O37),((I37/N37)*-H37*O37))</f>
        <v>#NAME?</v>
      </c>
      <c r="Q37" s="57" t="e">
        <f ca="1">P37/'Master P&amp;L'!$AD$5*10000</f>
        <v>#NAME?</v>
      </c>
      <c r="R37" s="36" t="e" cm="1">
        <f t="array" aca="1" ref="R37" ca="1">_xll.BDP($C37&amp;" Equity","EST_PE_NXT_YR")*(T37/S37)</f>
        <v>#NAME?</v>
      </c>
      <c r="S37" s="35" t="e" cm="1">
        <f t="array" aca="1" ref="S37" ca="1">_xll.BDP(C37&amp;" Equity","LAST_PRICE")</f>
        <v>#NAME?</v>
      </c>
      <c r="T37" s="52" t="e" cm="1">
        <f t="array" aca="1" ref="T37" ca="1">_xll.BDP(B37&amp;" Equity","OPT_STRIKE_PX")</f>
        <v>#NAME?</v>
      </c>
      <c r="U37" s="39" t="e">
        <f ca="1">T37/S37-1</f>
        <v>#NAME?</v>
      </c>
      <c r="V37" s="36" t="e" cm="1">
        <f t="array" aca="1" ref="V37" ca="1">_xll.BDP(B37&amp;" Equity","ivol_mid")</f>
        <v>#NAME?</v>
      </c>
      <c r="W37" s="37" t="e" cm="1">
        <f t="array" aca="1" ref="W37" ca="1">_xll.BDP(B37&amp;" Equity","DELTA_MID_RT")</f>
        <v>#NAME?</v>
      </c>
      <c r="X37" s="47" t="e">
        <f ca="1">Y37/'Master P&amp;L'!$AE$5</f>
        <v>#NAME?</v>
      </c>
      <c r="Y37" s="15" t="e">
        <f ca="1">IF(G37="Sell", S37*W37*-H37*O37/N37, S37*W37*H37*O37/N37)</f>
        <v>#NAME?</v>
      </c>
      <c r="Z37" s="15" t="e" cm="1">
        <f t="array" aca="1" ref="Z37" ca="1">_xll.BDP($B37&amp;" Equity","opt_theta")*H37*O37/N37</f>
        <v>#NAME?</v>
      </c>
      <c r="AA37" s="18" t="e" cm="1">
        <f t="array" aca="1" ref="AA37" ca="1">_xll.BDP($B37&amp;" Equity","opt_theta")/I37</f>
        <v>#NAME?</v>
      </c>
      <c r="AB37" s="35" t="e" cm="1">
        <f t="array" aca="1" ref="AB37" ca="1">_xll.BDP($C37&amp;" Equity","EXPECTED_REPORT_DT")</f>
        <v>#NAME?</v>
      </c>
      <c r="AC37" s="15" t="e">
        <f ca="1">S37*H37*O37/N37</f>
        <v>#NAME?</v>
      </c>
      <c r="AD37" s="18" t="e">
        <f ca="1">AC37/'Master P&amp;L'!$AE$5</f>
        <v>#NAME?</v>
      </c>
      <c r="AE37" t="str">
        <f>B37  &amp; " -&gt; Sell to open " &amp;   H37 &amp;"x"</f>
        <v>QQQ US 02/13/26 P590 -&gt; Sell to open 500x</v>
      </c>
      <c r="AJ37" t="s">
        <v>199</v>
      </c>
    </row>
    <row r="38" spans="1:36" outlineLevel="1">
      <c r="G38" t="e">
        <f ca="1">I38/K39</f>
        <v>#NAME?</v>
      </c>
      <c r="H38" s="99" t="s">
        <v>64</v>
      </c>
      <c r="I38" s="101" t="e">
        <f ca="1">I36-I37</f>
        <v>#NAME?</v>
      </c>
      <c r="J38" s="99" t="s">
        <v>192</v>
      </c>
      <c r="K38" s="100" t="e">
        <f ca="1">K37/L36</f>
        <v>#NAME?</v>
      </c>
      <c r="L38" s="63"/>
      <c r="P38" s="99" t="s">
        <v>193</v>
      </c>
      <c r="Q38" s="106" t="e">
        <f ca="1">Q36+Q37</f>
        <v>#NAME?</v>
      </c>
      <c r="S38" s="99" t="s">
        <v>194</v>
      </c>
      <c r="T38" s="101" t="e">
        <f ca="1">T36-T37</f>
        <v>#NAME?</v>
      </c>
      <c r="W38" s="99" t="s">
        <v>195</v>
      </c>
      <c r="X38" s="120" t="e">
        <f ca="1">X36+X37</f>
        <v>#NAME?</v>
      </c>
      <c r="Y38" s="13"/>
      <c r="AC38" s="99" t="s">
        <v>172</v>
      </c>
      <c r="AD38" s="120" t="e">
        <f ca="1">AD36</f>
        <v>#NAME?</v>
      </c>
    </row>
    <row r="39" spans="1:36" outlineLevel="1">
      <c r="H39" s="99" t="s">
        <v>196</v>
      </c>
      <c r="I39" s="101" t="e">
        <f ca="1">(T38-I38)/I38</f>
        <v>#NAME?</v>
      </c>
      <c r="J39" s="99" t="s">
        <v>90</v>
      </c>
      <c r="K39" s="107" t="e">
        <f ca="1">AVERAGE(K36:L36)-AVERAGE(K37:L37)</f>
        <v>#NAME?</v>
      </c>
      <c r="L39" s="63"/>
      <c r="P39" s="99"/>
      <c r="Q39" s="106"/>
      <c r="S39" s="99"/>
      <c r="T39" s="101"/>
      <c r="W39" s="99"/>
      <c r="X39" s="120"/>
      <c r="Y39" s="13" t="e">
        <f ca="1">Y36+Y37</f>
        <v>#NAME?</v>
      </c>
      <c r="Z39" s="3"/>
      <c r="AC39" s="99"/>
      <c r="AD39" s="102"/>
    </row>
    <row r="40" spans="1:36" outlineLevel="1">
      <c r="K40" s="63" t="e">
        <f ca="1">K39-K33</f>
        <v>#NAME?</v>
      </c>
      <c r="Q40" s="63"/>
      <c r="Y40" s="63" t="e">
        <f ca="1">Y39/S36</f>
        <v>#NAME?</v>
      </c>
    </row>
    <row r="41" spans="1:36" outlineLevel="1">
      <c r="I41" s="63" t="e">
        <f ca="1">I32-I38</f>
        <v>#NAME?</v>
      </c>
      <c r="K41" s="63" t="e">
        <f ca="1">K33-K39</f>
        <v>#NAME?</v>
      </c>
      <c r="Y41" s="63"/>
    </row>
    <row r="42" spans="1:36" outlineLevel="1">
      <c r="H42">
        <v>1</v>
      </c>
      <c r="I42" s="63"/>
      <c r="L42" s="63" t="e">
        <f ca="1">AVERAGE(K43:L43)</f>
        <v>#NAME?</v>
      </c>
      <c r="T42" s="63" t="e">
        <f ca="1">T43-S43</f>
        <v>#NAME?</v>
      </c>
    </row>
    <row r="43" spans="1:36" outlineLevel="1">
      <c r="A43" s="97" t="s">
        <v>197</v>
      </c>
      <c r="C43" t="e" cm="1">
        <f t="array" aca="1" ref="C43" ca="1">_xll.BDP(B43&amp;" Equity","OPT_UNDL_TICKER")</f>
        <v>#NAME?</v>
      </c>
      <c r="D43" t="e" cm="1">
        <f t="array" aca="1" ref="D43" ca="1">_xll.BDP($B43&amp;" Index","mifid_Maturity_date")</f>
        <v>#NAME?</v>
      </c>
      <c r="E43" t="e" cm="1">
        <f t="array" aca="1" ref="E43" ca="1">_xll.BDP($B43&amp;" Index","opt_days_expire")</f>
        <v>#NAME?</v>
      </c>
      <c r="F43" t="e" cm="1">
        <f t="array" aca="1" ref="F43" ca="1">_xll.BDP(B43&amp;" Equity","QUOTED_CURRENCY_REALTIME")</f>
        <v>#NAME?</v>
      </c>
      <c r="G43" s="103" t="s">
        <v>190</v>
      </c>
      <c r="H43" s="95">
        <v>500</v>
      </c>
      <c r="I43" s="96" t="e">
        <f ca="1">IF(G43="Buy",L43,K43)</f>
        <v>#NAME?</v>
      </c>
      <c r="J43" s="18" t="e">
        <f ca="1">I43/S43</f>
        <v>#NAME?</v>
      </c>
      <c r="K43" s="35" t="e" cm="1">
        <f t="array" aca="1" ref="K43" ca="1">_xll.BDP($B43&amp;" Equity","bid")</f>
        <v>#NAME?</v>
      </c>
      <c r="L43" s="35" t="e" cm="1">
        <f t="array" aca="1" ref="L43" ca="1">_xll.BDP($B43&amp;" Equity","ask")</f>
        <v>#NAME?</v>
      </c>
      <c r="M43" s="39" t="e">
        <f ca="1">(L43/K43-1)</f>
        <v>#NAME?</v>
      </c>
      <c r="N43" s="35" t="e" cm="1">
        <f t="array" aca="1" ref="N43" ca="1">_xll.BDP(F43&amp;" Curncy","PX_LAST")</f>
        <v>#NAME?</v>
      </c>
      <c r="O43" s="132" t="e" cm="1">
        <f t="array" aca="1" ref="O43" ca="1">_xll.BDP(B43&amp;" Equity","OPT_MULTIPLIER")</f>
        <v>#NAME?</v>
      </c>
      <c r="P43" s="15" t="e">
        <f ca="1">IF(G43="Buy",((I43/N43)*H43*O43),((I43/N43)*-H43*O43))</f>
        <v>#NAME?</v>
      </c>
      <c r="Q43" s="57" t="e">
        <f ca="1">P43/'Master P&amp;L'!$AD$5*10000</f>
        <v>#NAME?</v>
      </c>
      <c r="R43" s="36" t="e" cm="1">
        <f t="array" aca="1" ref="R43" ca="1">_xll.BDP($C43&amp;" Equity","EST_PE_NXT_YR")*(T43/S43)</f>
        <v>#NAME?</v>
      </c>
      <c r="S43" s="35" t="e" cm="1">
        <f t="array" aca="1" ref="S43" ca="1">_xll.BDP(C43&amp;" Equity","LAST_PRICE")</f>
        <v>#NAME?</v>
      </c>
      <c r="T43" s="52" t="e" cm="1">
        <f t="array" aca="1" ref="T43" ca="1">_xll.BDP(B43&amp;" Equity","OPT_STRIKE_PX")</f>
        <v>#NAME?</v>
      </c>
      <c r="U43" s="39" t="e">
        <f ca="1">T43/S43-1</f>
        <v>#NAME?</v>
      </c>
      <c r="V43" s="36" t="e" cm="1">
        <f t="array" aca="1" ref="V43" ca="1">_xll.BDP($B43&amp;" Equity","ivol_mid")</f>
        <v>#NAME?</v>
      </c>
      <c r="W43" s="37" t="e" cm="1">
        <f t="array" aca="1" ref="W43" ca="1">_xll.BDP(B43&amp;" Equity","DELTA_MID_RT")</f>
        <v>#NAME?</v>
      </c>
      <c r="X43" s="47" t="e">
        <f ca="1">Y43/'Master P&amp;L'!$AE$5</f>
        <v>#NAME?</v>
      </c>
      <c r="Y43" s="15" t="e">
        <f ca="1">IF(G43="Sell", S43*W43*-H43*O43/N43, S43*W43*H43*O43/N43)</f>
        <v>#NAME?</v>
      </c>
      <c r="Z43" s="15" t="e" cm="1">
        <f t="array" aca="1" ref="Z43" ca="1">_xll.BDP($B43&amp;" Equity","opt_theta")*H43*O43/N43</f>
        <v>#NAME?</v>
      </c>
      <c r="AA43" s="18" t="e" cm="1">
        <f t="array" aca="1" ref="AA43" ca="1">_xll.BDP($B43&amp;" Equity","opt_theta")/I43</f>
        <v>#NAME?</v>
      </c>
      <c r="AB43" s="35" t="e" cm="1">
        <f t="array" aca="1" ref="AB43" ca="1">_xll.BDP($C43&amp;" Equity","EXPECTED_REPORT_DT")</f>
        <v>#NAME?</v>
      </c>
      <c r="AC43" s="15" t="e">
        <f ca="1">S43*H43*O43/N43</f>
        <v>#NAME?</v>
      </c>
      <c r="AD43" s="47" t="e">
        <f ca="1">AC43/'Master P&amp;L'!$AE$5</f>
        <v>#NAME?</v>
      </c>
      <c r="AE43" t="str">
        <f>B43&amp;" -&gt; Buy to open "&amp;H43&amp;"x"</f>
        <v xml:space="preserve"> -&gt; Buy to open 500x</v>
      </c>
      <c r="AJ43" t="s">
        <v>198</v>
      </c>
    </row>
    <row r="44" spans="1:36" outlineLevel="1">
      <c r="A44" s="97" t="s">
        <v>197</v>
      </c>
      <c r="C44" t="e" cm="1">
        <f t="array" aca="1" ref="C44" ca="1">_xll.BDP(B44&amp;" Equity","OPT_UNDL_TICKER")</f>
        <v>#NAME?</v>
      </c>
      <c r="D44" t="e" cm="1">
        <f t="array" aca="1" ref="D44" ca="1">_xll.BDP($B44&amp;" Index","mifid_Maturity_date")</f>
        <v>#NAME?</v>
      </c>
      <c r="E44" t="e" cm="1">
        <f t="array" aca="1" ref="E44" ca="1">_xll.BDP($B44&amp;" Index","opt_days_expire")</f>
        <v>#NAME?</v>
      </c>
      <c r="F44" t="e" cm="1">
        <f t="array" aca="1" ref="F44" ca="1">_xll.BDP(B44&amp;" Equity","QUOTED_CURRENCY_REALTIME")</f>
        <v>#NAME?</v>
      </c>
      <c r="G44" s="103" t="s">
        <v>191</v>
      </c>
      <c r="H44" s="95">
        <v>150</v>
      </c>
      <c r="I44" s="96" t="e">
        <f ca="1">IF(G44="Buy",L44,K44)</f>
        <v>#NAME?</v>
      </c>
      <c r="J44" s="18" t="e">
        <f ca="1">I44/S44</f>
        <v>#NAME?</v>
      </c>
      <c r="K44" s="35" t="e" cm="1">
        <f t="array" aca="1" ref="K44" ca="1">_xll.BDP($B44&amp;" Equity","bid")</f>
        <v>#NAME?</v>
      </c>
      <c r="L44" s="35" t="e" cm="1">
        <f t="array" aca="1" ref="L44" ca="1">_xll.BDP($B44&amp;" Equity","ask")</f>
        <v>#NAME?</v>
      </c>
      <c r="M44" s="39" t="e">
        <f ca="1">(L44/K44-1)</f>
        <v>#NAME?</v>
      </c>
      <c r="N44" s="35" t="e" cm="1">
        <f t="array" aca="1" ref="N44" ca="1">_xll.BDP(F44&amp;" Curncy","PX_LAST")</f>
        <v>#NAME?</v>
      </c>
      <c r="O44" s="132" t="e" cm="1">
        <f t="array" aca="1" ref="O44" ca="1">_xll.BDP(B44&amp;" Equity","OPT_MULTIPLIER")</f>
        <v>#NAME?</v>
      </c>
      <c r="P44" s="15" t="e">
        <f ca="1">IF(G44="Buy",((I44/N44)*H44*O44),((I44/N44)*-H44*O44))</f>
        <v>#NAME?</v>
      </c>
      <c r="Q44" s="57" t="e">
        <f ca="1">P44/'Master P&amp;L'!$AD$5*10000</f>
        <v>#NAME?</v>
      </c>
      <c r="R44" s="36" t="e" cm="1">
        <f t="array" aca="1" ref="R44" ca="1">_xll.BDP($C44&amp;" Equity","EST_PE_NXT_YR")*(T44/S44)</f>
        <v>#NAME?</v>
      </c>
      <c r="S44" s="35" t="e" cm="1">
        <f t="array" aca="1" ref="S44" ca="1">_xll.BDP(C44&amp;" Equity","LAST_PRICE")</f>
        <v>#NAME?</v>
      </c>
      <c r="T44" s="52" t="e" cm="1">
        <f t="array" aca="1" ref="T44" ca="1">_xll.BDP(B44&amp;" Equity","OPT_STRIKE_PX")</f>
        <v>#NAME?</v>
      </c>
      <c r="U44" s="39" t="e">
        <f ca="1">T44/S44-1</f>
        <v>#NAME?</v>
      </c>
      <c r="V44" s="36" t="e" cm="1">
        <f t="array" aca="1" ref="V44" ca="1">_xll.BDP($B44&amp;" Equity","ivol_mid")</f>
        <v>#NAME?</v>
      </c>
      <c r="W44" s="37" t="e" cm="1">
        <f t="array" aca="1" ref="W44" ca="1">_xll.BDP(B44&amp;" Equity","DELTA_MID_RT")</f>
        <v>#NAME?</v>
      </c>
      <c r="X44" s="47" t="e">
        <f ca="1">Y44/'Master P&amp;L'!$AE$5</f>
        <v>#NAME?</v>
      </c>
      <c r="Y44" s="15" t="e">
        <f ca="1">IF(G44="Sell", S44*W44*-H44*O44/N44, S44*W44*H44*O44/N44)</f>
        <v>#NAME?</v>
      </c>
      <c r="Z44" s="15" t="e" cm="1">
        <f t="array" aca="1" ref="Z44" ca="1">_xll.BDP($B44&amp;" Equity","opt_theta")*H44*O44/N44</f>
        <v>#NAME?</v>
      </c>
      <c r="AA44" s="18" t="e" cm="1">
        <f t="array" aca="1" ref="AA44" ca="1">_xll.BDP($B44&amp;" Equity","opt_theta")/I44</f>
        <v>#NAME?</v>
      </c>
      <c r="AB44" s="35" t="e" cm="1">
        <f t="array" aca="1" ref="AB44" ca="1">_xll.BDP($C44&amp;" Equity","EXPECTED_REPORT_DT")</f>
        <v>#NAME?</v>
      </c>
      <c r="AC44" s="15" t="e">
        <f ca="1">S44*H44*O44/N44</f>
        <v>#NAME?</v>
      </c>
      <c r="AD44" s="47" t="e">
        <f ca="1">AC44/'Master P&amp;L'!$AE$5</f>
        <v>#NAME?</v>
      </c>
      <c r="AE44" t="str">
        <f>B44&amp;" -&gt; Buy to open "&amp;H44&amp;"x"</f>
        <v xml:space="preserve"> -&gt; Buy to open 150x</v>
      </c>
      <c r="AJ44" t="s">
        <v>198</v>
      </c>
    </row>
    <row r="45" spans="1:36" outlineLevel="1">
      <c r="H45" s="99" t="s">
        <v>64</v>
      </c>
      <c r="I45" s="101" t="e">
        <f ca="1">I43-I44</f>
        <v>#NAME?</v>
      </c>
      <c r="J45" s="99" t="s">
        <v>192</v>
      </c>
      <c r="K45" s="100" t="e">
        <f ca="1">K44/L43</f>
        <v>#NAME?</v>
      </c>
      <c r="L45" s="63"/>
      <c r="P45" s="99" t="s">
        <v>193</v>
      </c>
      <c r="Q45" s="106" t="e">
        <f ca="1">Q43+Q44</f>
        <v>#NAME?</v>
      </c>
      <c r="S45" s="99" t="s">
        <v>194</v>
      </c>
      <c r="T45" s="101" t="e">
        <f ca="1">T43-T44</f>
        <v>#NAME?</v>
      </c>
      <c r="W45" s="99" t="s">
        <v>195</v>
      </c>
      <c r="X45" s="120" t="e">
        <f ca="1">X43+X44</f>
        <v>#NAME?</v>
      </c>
      <c r="Y45" s="13" t="e">
        <f ca="1">Y43+Y44</f>
        <v>#NAME?</v>
      </c>
      <c r="AC45" s="99" t="s">
        <v>172</v>
      </c>
      <c r="AD45" s="120" t="e">
        <f ca="1">AD43</f>
        <v>#NAME?</v>
      </c>
    </row>
    <row r="46" spans="1:36" outlineLevel="1">
      <c r="H46" s="99" t="s">
        <v>196</v>
      </c>
      <c r="I46" s="101" t="e">
        <f ca="1">(T45-I45)/I45</f>
        <v>#NAME?</v>
      </c>
      <c r="J46" s="99" t="s">
        <v>90</v>
      </c>
      <c r="K46" s="107" t="e">
        <f ca="1">AVERAGE(K43:L43)-AVERAGE(K44:L44)</f>
        <v>#NAME?</v>
      </c>
      <c r="P46" s="99"/>
      <c r="Q46" s="106"/>
      <c r="S46" s="99"/>
      <c r="T46" s="101"/>
      <c r="W46" s="99"/>
      <c r="X46" s="120"/>
      <c r="Z46" s="3" t="e">
        <f ca="1">Y45/S43</f>
        <v>#NAME?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564</v>
      </c>
      <c r="C52" t="e" cm="1">
        <f t="array" aca="1" ref="C52" ca="1">_xll.BDP(B52&amp;" Index","OPT_UNDL_TICKER")</f>
        <v>#NAME?</v>
      </c>
      <c r="D52" t="e" cm="1">
        <f t="array" aca="1" ref="D52" ca="1">_xll.BDP($B52&amp;" Index","mifid_Maturity_date")</f>
        <v>#NAME?</v>
      </c>
      <c r="E52" t="e" cm="1">
        <f t="array" aca="1" ref="E52" ca="1">_xll.BDP($B52&amp;" Index","opt_days_expire")</f>
        <v>#NAME?</v>
      </c>
      <c r="F52" t="e" cm="1">
        <f t="array" aca="1" ref="F52" ca="1">_xll.BDP(B52&amp;" Index","QUOTED_CURRENCY_REALTIME")</f>
        <v>#NAME?</v>
      </c>
      <c r="G52" s="103" t="s">
        <v>190</v>
      </c>
      <c r="H52" s="95">
        <v>175</v>
      </c>
      <c r="I52" s="96" t="e">
        <f ca="1">IF(G52="Buy",L52,K52)</f>
        <v>#NAME?</v>
      </c>
      <c r="J52" s="18" t="e">
        <f ca="1">I52/S52</f>
        <v>#NAME?</v>
      </c>
      <c r="K52" s="35" t="e" cm="1">
        <f t="array" aca="1" ref="K52" ca="1">_xll.BDP($B52&amp;" Index","bid")</f>
        <v>#NAME?</v>
      </c>
      <c r="L52" s="35" t="e" cm="1">
        <f t="array" aca="1" ref="L52" ca="1">_xll.BDP($B52&amp;" Index","ask")</f>
        <v>#NAME?</v>
      </c>
      <c r="M52" s="39" t="e">
        <f ca="1">(L52/K52-1)</f>
        <v>#NAME?</v>
      </c>
      <c r="N52" s="35" t="e" cm="1">
        <f t="array" aca="1" ref="N52" ca="1">_xll.BDP(F52&amp;" Curncy","PX_LAST")</f>
        <v>#NAME?</v>
      </c>
      <c r="O52" s="132">
        <v>50</v>
      </c>
      <c r="P52" s="15" t="e">
        <f ca="1">IF(G52="Buy",((I52/N52)*H52*O52),((I52/N52)*-H52*O52))</f>
        <v>#NAME?</v>
      </c>
      <c r="Q52" s="57" t="e">
        <f ca="1">P52/'Master P&amp;L'!$AD$5*10000</f>
        <v>#NAME?</v>
      </c>
      <c r="R52" s="36" t="e" cm="1">
        <f t="array" aca="1" ref="R52" ca="1">_xll.BDP($C52&amp;" Index","EST_PE_NXT_YR")*(T52/S52)</f>
        <v>#NAME?</v>
      </c>
      <c r="S52" s="35" t="e" cm="1">
        <f t="array" aca="1" ref="S52" ca="1">_xll.BDP(C52&amp;" Index","LAST_PRICE")</f>
        <v>#NAME?</v>
      </c>
      <c r="T52" s="52" t="e" cm="1">
        <f t="array" aca="1" ref="T52" ca="1">_xll.BDP(B52&amp;" Index","OPT_STRIKE_PX")</f>
        <v>#NAME?</v>
      </c>
      <c r="U52" s="39" t="e">
        <f ca="1">T52/S52-1</f>
        <v>#NAME?</v>
      </c>
      <c r="V52" s="36" t="e" cm="1">
        <f t="array" aca="1" ref="V52" ca="1">_xll.BDP($B52&amp;" Index","ivol_mid")</f>
        <v>#NAME?</v>
      </c>
      <c r="W52" s="37" t="e" cm="1">
        <f t="array" aca="1" ref="W52" ca="1">_xll.BDP(B52&amp;" Index","DELTA_MID_RT")</f>
        <v>#NAME?</v>
      </c>
      <c r="X52" s="47" t="e">
        <f ca="1">Y52/'Master P&amp;L'!$AE$5</f>
        <v>#NAME?</v>
      </c>
      <c r="Y52" s="15" t="e">
        <f ca="1">IF(G52="Sell", S52*W52*-H52*O52/N52, S52*W52*H52*O52/N52)</f>
        <v>#NAME?</v>
      </c>
      <c r="Z52" s="15" t="e" cm="1">
        <f t="array" aca="1" ref="Z52" ca="1">_xll.BDP($B52&amp;" Index","opt_theta")*H52*O52/N52</f>
        <v>#NAME?</v>
      </c>
      <c r="AA52" s="123" t="e" cm="1">
        <f t="array" aca="1" ref="AA52" ca="1">_xll.BDP($B52&amp;" Index","opt_theta")/I52</f>
        <v>#NAME?</v>
      </c>
      <c r="AB52" s="35" t="e" cm="1">
        <f t="array" aca="1" ref="AB52" ca="1">_xll.BDP($C52&amp;" Index","EXPECTED_REPORT_DT")</f>
        <v>#NAME?</v>
      </c>
      <c r="AC52" s="15" t="e">
        <f ca="1">S52*H52*O52/N52</f>
        <v>#NAME?</v>
      </c>
      <c r="AD52" s="47" t="e">
        <f ca="1">AC52/'Master P&amp;L'!$AE$5</f>
        <v>#NAME?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565</v>
      </c>
      <c r="C53" t="e" cm="1">
        <f t="array" aca="1" ref="C53" ca="1">_xll.BDP(B53&amp;" Index","OPT_UNDL_TICKER")</f>
        <v>#NAME?</v>
      </c>
      <c r="D53" t="e" cm="1">
        <f t="array" aca="1" ref="D53" ca="1">_xll.BDP($B53&amp;" Index","mifid_Maturity_date")</f>
        <v>#NAME?</v>
      </c>
      <c r="E53" t="e" cm="1">
        <f t="array" aca="1" ref="E53" ca="1">_xll.BDP($B53&amp;" Index","opt_days_expire")</f>
        <v>#NAME?</v>
      </c>
      <c r="F53" t="e" cm="1">
        <f t="array" aca="1" ref="F53" ca="1">_xll.BDP(B53&amp;" Index","QUOTED_CURRENCY_REALTIME")</f>
        <v>#NAME?</v>
      </c>
      <c r="G53" s="103" t="s">
        <v>191</v>
      </c>
      <c r="H53" s="95">
        <f>H52</f>
        <v>175</v>
      </c>
      <c r="I53" s="96" t="e">
        <f ca="1">IF(G53="Buy",L53,K53)</f>
        <v>#NAME?</v>
      </c>
      <c r="J53" s="18" t="e">
        <f ca="1">I53/S53</f>
        <v>#NAME?</v>
      </c>
      <c r="K53" s="35" t="e" cm="1">
        <f t="array" aca="1" ref="K53" ca="1">_xll.BDP($B53&amp;" Index","bid")</f>
        <v>#NAME?</v>
      </c>
      <c r="L53" s="35" t="e" cm="1">
        <f t="array" aca="1" ref="L53" ca="1">_xll.BDP($B53&amp;" Index","ask")</f>
        <v>#NAME?</v>
      </c>
      <c r="M53" s="39" t="e">
        <f ca="1">(L53/K53-1)</f>
        <v>#NAME?</v>
      </c>
      <c r="N53" s="35" t="e">
        <f ca="1">_xll.BDP(F53&amp;" Curncy","PX_LAST")</f>
        <v>#NAME?</v>
      </c>
      <c r="O53" s="132">
        <v>50</v>
      </c>
      <c r="P53" s="15" t="e">
        <f ca="1">IF(G53="Buy",((I53/N53)*H53*O53),((I53/N53)*-H53*O53))</f>
        <v>#NAME?</v>
      </c>
      <c r="Q53" s="57" t="e">
        <f ca="1">P53/'Master P&amp;L'!$AD$5*10000</f>
        <v>#NAME?</v>
      </c>
      <c r="R53" s="36" t="e" cm="1">
        <f t="array" aca="1" ref="R53" ca="1">_xll.BDP($C53&amp;" Index","EST_PE_NXT_YR")*(T53/S53)</f>
        <v>#NAME?</v>
      </c>
      <c r="S53" s="35" t="e" cm="1">
        <f t="array" aca="1" ref="S53" ca="1">_xll.BDP(C53&amp;" Index","LAST_PRICE")</f>
        <v>#NAME?</v>
      </c>
      <c r="T53" s="52" t="e" cm="1">
        <f t="array" aca="1" ref="T53" ca="1">_xll.BDP(B53&amp;" Index","OPT_STRIKE_PX")</f>
        <v>#NAME?</v>
      </c>
      <c r="U53" s="39" t="e">
        <f ca="1">T53/S53-1</f>
        <v>#NAME?</v>
      </c>
      <c r="V53" s="36" t="e" cm="1">
        <f t="array" aca="1" ref="V53" ca="1">_xll.BDP($B53&amp;" Index","ivol_mid")</f>
        <v>#NAME?</v>
      </c>
      <c r="W53" s="37" t="e" cm="1">
        <f t="array" aca="1" ref="W53" ca="1">_xll.BDP(B53&amp;" Index","DELTA_MID_RT")</f>
        <v>#NAME?</v>
      </c>
      <c r="X53" s="47" t="e">
        <f ca="1">Y53/'Master P&amp;L'!$AE$5</f>
        <v>#NAME?</v>
      </c>
      <c r="Y53" s="15" t="e">
        <f ca="1">IF(G53="Sell", S53*W53*-H53*O53/N53, S53*W53*H53*O53/N53)</f>
        <v>#NAME?</v>
      </c>
      <c r="Z53" s="15" t="e" cm="1">
        <f t="array" aca="1" ref="Z53" ca="1">_xll.BDP($B53&amp;" Index","opt_theta")*H53*O53/N53</f>
        <v>#NAME?</v>
      </c>
      <c r="AA53" s="123" t="e" cm="1">
        <f t="array" aca="1" ref="AA53" ca="1">_xll.BDP($B53&amp;" Index","opt_theta")/I53</f>
        <v>#NAME?</v>
      </c>
      <c r="AB53" s="35" t="e" cm="1">
        <f t="array" aca="1" ref="AB53" ca="1">_xll.BDP($C53&amp;" Index","EXPECTED_REPORT_DT")</f>
        <v>#NAME?</v>
      </c>
      <c r="AC53" s="15" t="e">
        <f ca="1">S53*H53*O53/N53</f>
        <v>#NAME?</v>
      </c>
      <c r="AD53" s="47" t="e">
        <f ca="1">AC53/'Master P&amp;L'!$AE$5</f>
        <v>#NAME?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 ca="1">I52-I53</f>
        <v>#NAME?</v>
      </c>
      <c r="J54" s="99" t="s">
        <v>192</v>
      </c>
      <c r="K54" s="100" t="e">
        <f ca="1">K53/L52</f>
        <v>#NAME?</v>
      </c>
      <c r="P54" s="99" t="s">
        <v>193</v>
      </c>
      <c r="Q54" s="106" t="e">
        <f ca="1">Q52+Q53</f>
        <v>#NAME?</v>
      </c>
      <c r="S54" s="99" t="s">
        <v>194</v>
      </c>
      <c r="T54" s="101" t="e">
        <f ca="1">T53-T52</f>
        <v>#NAME?</v>
      </c>
      <c r="W54" s="99" t="s">
        <v>195</v>
      </c>
      <c r="X54" s="120" t="e">
        <f ca="1">X52+X53</f>
        <v>#NAME?</v>
      </c>
      <c r="AC54" s="99" t="s">
        <v>172</v>
      </c>
      <c r="AD54" s="120" t="e">
        <f ca="1">AD52</f>
        <v>#NAME?</v>
      </c>
    </row>
    <row r="55" spans="1:38">
      <c r="H55" s="99" t="s">
        <v>196</v>
      </c>
      <c r="I55" s="101" t="e">
        <f ca="1">(T54-I54)/I54</f>
        <v>#NAME?</v>
      </c>
      <c r="J55" s="99" t="s">
        <v>90</v>
      </c>
      <c r="K55" s="107" t="e">
        <f ca="1">AVERAGE(K52:L52)-AVERAGE(K53:L53)</f>
        <v>#NAME?</v>
      </c>
      <c r="P55" s="99"/>
      <c r="Q55" s="106"/>
      <c r="S55" s="99"/>
      <c r="T55" s="101"/>
      <c r="W55" s="99"/>
      <c r="X55" s="120"/>
      <c r="Y55" s="205" t="e">
        <f ca="1">(Y52+Y53)/S52/O52</f>
        <v>#NAME?</v>
      </c>
      <c r="AC55" s="99"/>
      <c r="AD55" s="102"/>
    </row>
    <row r="56" spans="1:38">
      <c r="K56" s="63" t="e">
        <f ca="1">K52-K53</f>
        <v>#NAME?</v>
      </c>
      <c r="L56" s="63" t="e">
        <f ca="1">L52-L53</f>
        <v>#NAME?</v>
      </c>
      <c r="Q56" s="49" t="e">
        <f ca="1">#REF!+Q54</f>
        <v>#REF!</v>
      </c>
    </row>
    <row r="57" spans="1:38">
      <c r="K57" s="63" t="e">
        <f ca="1">#REF!-K56</f>
        <v>#REF!</v>
      </c>
      <c r="L57" s="63" t="e">
        <f ca="1">#REF!-L56</f>
        <v>#REF!</v>
      </c>
    </row>
    <row r="60" spans="1:38">
      <c r="H60" s="265">
        <v>20</v>
      </c>
      <c r="I60" s="265">
        <v>237.5</v>
      </c>
      <c r="Z60" t="e">
        <f ca="1">Z61/P61</f>
        <v>#NAME?</v>
      </c>
    </row>
    <row r="61" spans="1:38">
      <c r="A61" s="97"/>
      <c r="B61" s="249" t="s">
        <v>1163</v>
      </c>
      <c r="C61" t="e" cm="1">
        <f t="array" aca="1" ref="C61" ca="1">_xll.BDP(B61&amp;" Index","OPT_UNDL_TICKER")</f>
        <v>#NAME?</v>
      </c>
      <c r="D61" t="e" cm="1">
        <f t="array" aca="1" ref="D61" ca="1">_xll.BDP($B61&amp;" Index","mifid_Maturity_date")</f>
        <v>#NAME?</v>
      </c>
      <c r="E61" t="e" cm="1">
        <f t="array" aca="1" ref="E61" ca="1">_xll.BDP($B61&amp;" Index","opt_days_expire")</f>
        <v>#NAME?</v>
      </c>
      <c r="F61" t="e" cm="1">
        <f t="array" aca="1" ref="F61" ca="1">_xll.BDP(B61&amp;" Index","QUOTED_CURRENCY_REALTIME")</f>
        <v>#NAME?</v>
      </c>
      <c r="G61" s="103" t="s">
        <v>190</v>
      </c>
      <c r="H61" s="95">
        <v>30</v>
      </c>
      <c r="I61" s="96" t="e">
        <f ca="1">IF(G61="Buy",L61,K61)</f>
        <v>#NAME?</v>
      </c>
      <c r="J61" s="18" t="e">
        <f ca="1">I61/S61</f>
        <v>#NAME?</v>
      </c>
      <c r="K61" s="35" t="e" cm="1">
        <f t="array" aca="1" ref="K61" ca="1">_xll.BDP($B61&amp;" Index","bid")</f>
        <v>#NAME?</v>
      </c>
      <c r="L61" s="35" t="e" cm="1">
        <f t="array" aca="1" ref="L61" ca="1">_xll.BDP($B61&amp;" Index","ask")</f>
        <v>#NAME?</v>
      </c>
      <c r="M61" s="39" t="e">
        <f ca="1">(L61/K61-1)</f>
        <v>#NAME?</v>
      </c>
      <c r="N61" s="35" t="e" cm="1">
        <f t="array" aca="1" ref="N61" ca="1">_xll.BDP(F61&amp;" Curncy","PX_LAST")</f>
        <v>#NAME?</v>
      </c>
      <c r="O61" s="132">
        <v>20</v>
      </c>
      <c r="P61" s="15" t="e">
        <f ca="1">IF(G61="Buy",((I61/N61)*H61*O61),((I61/N61)*-H61*O61))</f>
        <v>#NAME?</v>
      </c>
      <c r="Q61" s="57" t="e">
        <f ca="1">P61/'Master P&amp;L'!$AD$5*10000</f>
        <v>#NAME?</v>
      </c>
      <c r="R61" s="36" t="e" cm="1">
        <f t="array" aca="1" ref="R61" ca="1">_xll.BDP($C61&amp;" Index","EST_PE_NXT_YR")*(T61/S61)</f>
        <v>#NAME?</v>
      </c>
      <c r="S61" s="35" t="e" cm="1">
        <f t="array" aca="1" ref="S61" ca="1">_xll.BDP(C61&amp;" Index","LAST_PRICE")</f>
        <v>#NAME?</v>
      </c>
      <c r="T61" s="52" t="e" cm="1">
        <f t="array" aca="1" ref="T61" ca="1">_xll.BDP(B61&amp;" Index","OPT_STRIKE_PX")</f>
        <v>#NAME?</v>
      </c>
      <c r="U61" s="39" t="e">
        <f ca="1">T61/S61-1</f>
        <v>#NAME?</v>
      </c>
      <c r="V61" s="36" t="e" cm="1">
        <f t="array" aca="1" ref="V61" ca="1">_xll.BDP($B61&amp;" Index","ivol_mid")</f>
        <v>#NAME?</v>
      </c>
      <c r="W61" s="37" t="e" cm="1">
        <f t="array" aca="1" ref="W61" ca="1">_xll.BDP(B61&amp;" Index","DELTA_MID_RT")</f>
        <v>#NAME?</v>
      </c>
      <c r="X61" s="47" t="e">
        <f ca="1">Y61/'Master P&amp;L'!$AE$5</f>
        <v>#NAME?</v>
      </c>
      <c r="Y61" s="15" t="e">
        <f ca="1">IF(G61="Sell", S61*W61*-H61*O61/N61, S61*W61*H61*O61/N61)</f>
        <v>#NAME?</v>
      </c>
      <c r="Z61" s="15" t="e" cm="1">
        <f t="array" aca="1" ref="Z61" ca="1">_xll.BDP($B61&amp;" Index","opt_theta")*H61*O61/N61</f>
        <v>#NAME?</v>
      </c>
      <c r="AA61" s="123" t="e" cm="1">
        <f t="array" aca="1" ref="AA61" ca="1">_xll.BDP($B61&amp;" Index","opt_theta")/I61</f>
        <v>#NAME?</v>
      </c>
      <c r="AB61" s="35" t="e" cm="1">
        <f t="array" aca="1" ref="AB61" ca="1">_xll.BDP($C61&amp;" Index","EXPECTED_REPORT_DT")</f>
        <v>#NAME?</v>
      </c>
      <c r="AC61" s="15" t="e">
        <f ca="1">S61*H61*O61/N61</f>
        <v>#NAME?</v>
      </c>
      <c r="AD61" s="47" t="e">
        <f ca="1">AC61/'Master P&amp;L'!$AE$5</f>
        <v>#NAME?</v>
      </c>
      <c r="AG61" t="str">
        <f>B61&amp;" -&gt; Buy to open "&amp;H61&amp;"x"</f>
        <v>2OG6P 24750 -&gt; Buy to open 30x</v>
      </c>
    </row>
    <row r="62" spans="1:38">
      <c r="A62" s="97"/>
      <c r="B62" s="249"/>
      <c r="C62" t="e" cm="1">
        <f t="array" aca="1" ref="C62" ca="1">_xll.BDP(B62&amp;" Index","OPT_UNDL_TICKER")</f>
        <v>#NAME?</v>
      </c>
      <c r="D62" t="e" cm="1">
        <f t="array" aca="1" ref="D62" ca="1">_xll.BDP($B62&amp;" Index","mifid_Maturity_date")</f>
        <v>#NAME?</v>
      </c>
      <c r="E62" t="e" cm="1">
        <f t="array" aca="1" ref="E62" ca="1">_xll.BDP($B62&amp;" Index","opt_days_expire")</f>
        <v>#NAME?</v>
      </c>
      <c r="F62" t="e" cm="1">
        <f t="array" aca="1" ref="F62" ca="1">_xll.BDP(B62&amp;" Index","QUOTED_CURRENCY_REALTIME")</f>
        <v>#NAME?</v>
      </c>
      <c r="G62" s="103" t="s">
        <v>190</v>
      </c>
      <c r="H62" s="95">
        <v>35</v>
      </c>
      <c r="I62" s="96" t="e">
        <f ca="1">IF(G62="Buy",L62,K62)</f>
        <v>#NAME?</v>
      </c>
      <c r="J62" s="18" t="e">
        <f ca="1">I62/S62</f>
        <v>#NAME?</v>
      </c>
      <c r="K62" s="35" t="e" cm="1">
        <f t="array" aca="1" ref="K62" ca="1">_xll.BDP($B62&amp;" Index","bid")</f>
        <v>#NAME?</v>
      </c>
      <c r="L62" s="35" t="e" cm="1">
        <f t="array" aca="1" ref="L62" ca="1">_xll.BDP($B62&amp;" Index","ask")</f>
        <v>#NAME?</v>
      </c>
      <c r="M62" s="39" t="e">
        <f ca="1">(L62/K62-1)</f>
        <v>#NAME?</v>
      </c>
      <c r="N62" s="35" t="e" cm="1">
        <f t="array" aca="1" ref="N62" ca="1">_xll.BDP(F62&amp;" Curncy","PX_LAST")</f>
        <v>#NAME?</v>
      </c>
      <c r="O62" s="132">
        <v>20</v>
      </c>
      <c r="P62" s="15" t="e">
        <f ca="1">IF(G62="Buy",((I62/N62)*H62*O62),((I62/N62)*-H62*O62))</f>
        <v>#NAME?</v>
      </c>
      <c r="Q62" s="57" t="e">
        <f ca="1">P62/'Master P&amp;L'!$AD$5*10000</f>
        <v>#NAME?</v>
      </c>
      <c r="R62" s="36" t="e" cm="1">
        <f t="array" aca="1" ref="R62" ca="1">_xll.BDP($C62&amp;" Index","EST_PE_NXT_YR")*(T62/S62)</f>
        <v>#NAME?</v>
      </c>
      <c r="S62" s="35" t="e" cm="1">
        <f t="array" aca="1" ref="S62" ca="1">_xll.BDP(C62&amp;" Index","LAST_PRICE")</f>
        <v>#NAME?</v>
      </c>
      <c r="T62" s="52" t="e" cm="1">
        <f t="array" aca="1" ref="T62" ca="1">_xll.BDP(B62&amp;" Index","OPT_STRIKE_PX")</f>
        <v>#NAME?</v>
      </c>
      <c r="U62" s="39" t="e">
        <f ca="1">T62/S62-1</f>
        <v>#NAME?</v>
      </c>
      <c r="V62" s="36" t="e" cm="1">
        <f t="array" aca="1" ref="V62" ca="1">_xll.BDP($B62&amp;" Index","ivol_mid")</f>
        <v>#NAME?</v>
      </c>
      <c r="W62" s="37" t="e" cm="1">
        <f t="array" aca="1" ref="W62" ca="1">_xll.BDP(B62&amp;" Index","DELTA_MID_RT")</f>
        <v>#NAME?</v>
      </c>
      <c r="X62" s="47" t="e">
        <f ca="1">Y62/'Master P&amp;L'!$AE$5</f>
        <v>#NAME?</v>
      </c>
      <c r="Y62" s="15" t="e">
        <f ca="1">IF(G62="Sell", S62*W62*-H62*O62/N62, S62*W62*H62*O62/N62)</f>
        <v>#NAME?</v>
      </c>
      <c r="Z62" s="15" t="e" cm="1">
        <f t="array" aca="1" ref="Z62" ca="1">_xll.BDP($B62&amp;" Index","opt_theta")*H62*O62/N62</f>
        <v>#NAME?</v>
      </c>
      <c r="AA62" s="123" t="e" cm="1">
        <f t="array" aca="1" ref="AA62" ca="1">_xll.BDP($B62&amp;" Index","opt_theta")/I62</f>
        <v>#NAME?</v>
      </c>
      <c r="AB62" s="35" t="e" cm="1">
        <f t="array" aca="1" ref="AB62" ca="1">_xll.BDP($C62&amp;" Index","EXPECTED_REPORT_DT")</f>
        <v>#NAME?</v>
      </c>
      <c r="AC62" s="15" t="e">
        <f ca="1">S62*H62*O62/N62</f>
        <v>#NAME?</v>
      </c>
      <c r="AD62" s="47" t="e">
        <f ca="1">AC62/'Master P&amp;L'!$AE$5</f>
        <v>#NAME?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 ca="1">I61-I62</f>
        <v>#NAME?</v>
      </c>
      <c r="J63" s="99" t="s">
        <v>192</v>
      </c>
      <c r="K63" s="100" t="e">
        <f ca="1">K62/L61</f>
        <v>#NAME?</v>
      </c>
      <c r="O63" s="134"/>
      <c r="P63" s="99" t="s">
        <v>193</v>
      </c>
      <c r="Q63" s="106" t="e">
        <f ca="1">Q61+Q62</f>
        <v>#NAME?</v>
      </c>
      <c r="S63" s="99" t="s">
        <v>194</v>
      </c>
      <c r="T63" s="101" t="e">
        <f ca="1">T62-T61</f>
        <v>#NAME?</v>
      </c>
      <c r="W63" s="99" t="s">
        <v>195</v>
      </c>
      <c r="X63" s="120" t="e">
        <f ca="1">X61+X62</f>
        <v>#NAME?</v>
      </c>
      <c r="Y63" s="13" t="e">
        <f ca="1">Y61+Y62</f>
        <v>#NAME?</v>
      </c>
      <c r="AC63" s="99" t="s">
        <v>172</v>
      </c>
      <c r="AD63" s="120" t="e">
        <f ca="1">AD61</f>
        <v>#NAME?</v>
      </c>
    </row>
    <row r="64" spans="1:38">
      <c r="H64" s="99" t="s">
        <v>196</v>
      </c>
      <c r="I64" s="101" t="e">
        <f ca="1">(T63-I63)/I63</f>
        <v>#NAME?</v>
      </c>
      <c r="J64" s="99" t="s">
        <v>90</v>
      </c>
      <c r="K64" s="107" t="e">
        <f ca="1">AVERAGE(K61:L61)-AVERAGE(K62:L62)</f>
        <v>#NAME?</v>
      </c>
      <c r="O64" s="134"/>
      <c r="P64" s="99"/>
      <c r="Q64" s="106"/>
      <c r="S64" s="99"/>
      <c r="T64" s="101"/>
      <c r="W64" s="99"/>
      <c r="X64" s="120"/>
      <c r="Y64" s="13" t="e">
        <f ca="1">Y63/S61/20</f>
        <v>#NAME?</v>
      </c>
      <c r="AC64" s="99"/>
      <c r="AD64" s="102"/>
    </row>
    <row r="65" spans="1:37">
      <c r="K65" s="63" t="e">
        <f ca="1">K61-K62</f>
        <v>#NAME?</v>
      </c>
      <c r="L65" s="63" t="e">
        <f ca="1">L61-L62</f>
        <v>#NAME?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10" t="s">
        <v>788</v>
      </c>
      <c r="C68" t="e" cm="1">
        <f t="array" aca="1" ref="C68" ca="1">_xll.BDP(B68&amp;" Index","OPT_UNDL_TICKER")</f>
        <v>#NAME?</v>
      </c>
      <c r="D68" t="e" cm="1">
        <f t="array" aca="1" ref="D68" ca="1">_xll.BDP($B68&amp;" Index","mifid_Maturity_date")</f>
        <v>#NAME?</v>
      </c>
      <c r="E68" t="e" cm="1">
        <f t="array" aca="1" ref="E68" ca="1">_xll.BDP($B68&amp;" Index","opt_days_expire")</f>
        <v>#NAME?</v>
      </c>
      <c r="F68" t="s">
        <v>137</v>
      </c>
      <c r="G68" s="103" t="s">
        <v>190</v>
      </c>
      <c r="H68" s="95">
        <v>100</v>
      </c>
      <c r="I68" s="96" t="e">
        <f ca="1">IF(G68="Buy",L68,K68)</f>
        <v>#NAME?</v>
      </c>
      <c r="J68" s="18" t="e">
        <f ca="1">I68/S68</f>
        <v>#NAME?</v>
      </c>
      <c r="K68" s="35" t="e" cm="1">
        <f t="array" aca="1" ref="K68" ca="1">_xll.BDP($B68&amp;" Index","bid")</f>
        <v>#NAME?</v>
      </c>
      <c r="L68" s="35" t="e" cm="1">
        <f t="array" aca="1" ref="L68" ca="1">_xll.BDP($B68&amp;" Index","ask")</f>
        <v>#NAME?</v>
      </c>
      <c r="M68" s="39" t="e">
        <f ca="1">(L68/K68-1)</f>
        <v>#NAME?</v>
      </c>
      <c r="N68" s="35" t="e" cm="1">
        <f t="array" aca="1" ref="N68" ca="1">_xll.BDP(F68&amp;" Curncy","PX_LAST")</f>
        <v>#NAME?</v>
      </c>
      <c r="O68" s="132">
        <v>100</v>
      </c>
      <c r="P68" s="15" t="e">
        <f ca="1">IF(G68="Buy",((I68/N68)*H68*O68),((I68/N68)*-H68*O68))</f>
        <v>#NAME?</v>
      </c>
      <c r="Q68" s="57" t="e">
        <f ca="1">P68/'Master P&amp;L'!$AD$5*10000</f>
        <v>#NAME?</v>
      </c>
      <c r="R68" s="36" t="e" cm="1">
        <f t="array" aca="1" ref="R68" ca="1">_xll.BDP($C68&amp;" Index","EST_PE_NXT_YR")*(T68/S68)</f>
        <v>#NAME?</v>
      </c>
      <c r="S68" s="35" t="e" cm="1">
        <f t="array" aca="1" ref="S68" ca="1">_xll.BDP(C68&amp;" Index","LAST_PRICE")</f>
        <v>#NAME?</v>
      </c>
      <c r="T68" s="52" t="e" cm="1">
        <f t="array" aca="1" ref="T68" ca="1">_xll.BDP(B68&amp;" Index","OPT_STRIKE_PX")</f>
        <v>#NAME?</v>
      </c>
      <c r="U68" s="39" t="e">
        <f ca="1">T68/S68-1</f>
        <v>#NAME?</v>
      </c>
      <c r="V68" s="36" t="e" cm="1">
        <f t="array" aca="1" ref="V68" ca="1">_xll.BDP($B68&amp;" Index","ivol_mid")</f>
        <v>#NAME?</v>
      </c>
      <c r="W68" s="37" t="e" cm="1">
        <f t="array" aca="1" ref="W68" ca="1">_xll.BDP(B68&amp;" Index","DELTA_MID_RT")</f>
        <v>#NAME?</v>
      </c>
      <c r="X68" s="47" t="e">
        <f ca="1">Y68/'Master P&amp;L'!$AE$5</f>
        <v>#NAME?</v>
      </c>
      <c r="Y68" s="15" t="e">
        <f ca="1">IF(G68="Sell", S68*W68*-H68*O68/N68, S68*W68*H68*O68/N68)</f>
        <v>#NAME?</v>
      </c>
      <c r="Z68" s="15" t="e" cm="1">
        <f t="array" aca="1" ref="Z68" ca="1">_xll.BDP($B68&amp;" Index","opt_theta")*H68*O68/N68</f>
        <v>#NAME?</v>
      </c>
      <c r="AA68" s="123" t="e" cm="1">
        <f t="array" aca="1" ref="AA68" ca="1">_xll.BDP($B68&amp;" Index","opt_theta")/I68</f>
        <v>#NAME?</v>
      </c>
      <c r="AB68" s="35" t="e" cm="1">
        <f t="array" aca="1" ref="AB68" ca="1">_xll.BDP($C68&amp;" Index","EXPECTED_REPORT_DT")</f>
        <v>#NAME?</v>
      </c>
      <c r="AC68" s="15" t="e">
        <f ca="1">S68*H68*O68/N68</f>
        <v>#NAME?</v>
      </c>
      <c r="AD68" s="47" t="e">
        <f ca="1">AC68/'Master P&amp;L'!$AE$5</f>
        <v>#NAME?</v>
      </c>
      <c r="AG68" t="str">
        <f>B68&amp;" -&gt; Buy to open "&amp;H68&amp;"x"</f>
        <v>SPXW US 12/31/25 C6950 -&gt; Buy to open 100x</v>
      </c>
    </row>
    <row r="69" spans="1:37" hidden="1">
      <c r="A69" s="97"/>
      <c r="B69" s="310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 ca="1">I68-I69</f>
        <v>#NAME?</v>
      </c>
      <c r="J70" s="99" t="s">
        <v>192</v>
      </c>
      <c r="K70" s="100" t="e">
        <f ca="1">K69/L68</f>
        <v>#NAME?</v>
      </c>
      <c r="O70" s="134"/>
      <c r="P70" s="99" t="s">
        <v>193</v>
      </c>
      <c r="Q70" s="106" t="e">
        <f ca="1">Q68+Q69</f>
        <v>#NAME?</v>
      </c>
      <c r="S70" s="99" t="s">
        <v>194</v>
      </c>
      <c r="T70" s="101" t="e">
        <f ca="1">T69-T68</f>
        <v>#NAME?</v>
      </c>
      <c r="W70" s="99" t="s">
        <v>195</v>
      </c>
      <c r="X70" s="120" t="e">
        <f ca="1">X68+X69</f>
        <v>#NAME?</v>
      </c>
      <c r="Y70" s="13" t="e">
        <f ca="1">Y68+Y69</f>
        <v>#NAME?</v>
      </c>
      <c r="AC70" s="99" t="s">
        <v>172</v>
      </c>
      <c r="AD70" s="120" t="e">
        <f ca="1">AD68</f>
        <v>#NAME?</v>
      </c>
    </row>
    <row r="71" spans="1:37" hidden="1">
      <c r="H71" s="99" t="s">
        <v>196</v>
      </c>
      <c r="I71" s="101" t="e">
        <f ca="1">(T70-I70)/I70</f>
        <v>#NAME?</v>
      </c>
      <c r="J71" s="99" t="s">
        <v>90</v>
      </c>
      <c r="K71" s="107" t="e">
        <f ca="1">AVERAGE(K68:L68)-AVERAGE(K69:L69)</f>
        <v>#NAME?</v>
      </c>
      <c r="O71" s="134"/>
      <c r="P71" s="99"/>
      <c r="Q71" s="106"/>
      <c r="S71" s="99"/>
      <c r="T71" s="101"/>
      <c r="W71" s="99"/>
      <c r="X71" s="120"/>
      <c r="Y71" s="13" t="e">
        <f ca="1">Y70/S68</f>
        <v>#NAME?</v>
      </c>
      <c r="AC71" s="99"/>
      <c r="AD71" s="102"/>
    </row>
    <row r="72" spans="1:37" hidden="1">
      <c r="K72" s="63" t="e">
        <f ca="1">K68-K69</f>
        <v>#NAME?</v>
      </c>
      <c r="L72" s="63" t="e">
        <f ca="1">L68-L69</f>
        <v>#NAME?</v>
      </c>
    </row>
    <row r="73" spans="1:37" hidden="1">
      <c r="Q73" t="e">
        <f ca="1">Q70/Q63</f>
        <v>#NAME?</v>
      </c>
    </row>
    <row r="74" spans="1:37" hidden="1">
      <c r="H74" s="17"/>
      <c r="K74" s="63" t="e">
        <f ca="1">K65-K72</f>
        <v>#NAME?</v>
      </c>
      <c r="L74" s="63" t="e">
        <f ca="1">L65-L72</f>
        <v>#NAME?</v>
      </c>
    </row>
    <row r="75" spans="1:37" hidden="1">
      <c r="I75" s="63" t="e">
        <f ca="1">I78-I79</f>
        <v>#NAME?</v>
      </c>
    </row>
    <row r="76" spans="1:37" hidden="1">
      <c r="A76">
        <v>300</v>
      </c>
      <c r="H76" s="205">
        <v>1</v>
      </c>
      <c r="I76" s="63" t="e">
        <f ca="1">I78-I79</f>
        <v>#NAME?</v>
      </c>
      <c r="K76" s="126"/>
    </row>
    <row r="77" spans="1:37" hidden="1">
      <c r="A77" s="191">
        <v>1</v>
      </c>
      <c r="B77" t="s">
        <v>732</v>
      </c>
      <c r="C77" t="e" cm="1">
        <f t="array" aca="1" ref="C77" ca="1">_xll.BDP(B77&amp;" Equity","OPT_UNDL_TICKER")</f>
        <v>#NAME?</v>
      </c>
      <c r="D77" s="63" t="e">
        <f ca="1">A77*AVERAGE(K77:L77)</f>
        <v>#NAME?</v>
      </c>
      <c r="E77" t="e" cm="1">
        <f t="array" aca="1" ref="E77" ca="1">_xll.BDP($B77&amp;" Index","opt_days_expire")</f>
        <v>#NAME?</v>
      </c>
      <c r="F77" t="e" cm="1">
        <f t="array" aca="1" ref="F77" ca="1">_xll.BDP(B77&amp;" Equity","QUOTED_CURRENCY_REALTIME")</f>
        <v>#NAME?</v>
      </c>
      <c r="G77" s="103" t="s">
        <v>190</v>
      </c>
      <c r="H77" s="128">
        <v>60</v>
      </c>
      <c r="I77" s="96" t="e">
        <f ca="1">IF(G77="Buy",L77,K77)</f>
        <v>#NAME?</v>
      </c>
      <c r="J77" s="18" t="e">
        <f ca="1">I77/S77</f>
        <v>#NAME?</v>
      </c>
      <c r="K77" s="35" t="e" cm="1">
        <f t="array" aca="1" ref="K77" ca="1">_xll.BDP($B77&amp;" Equity","bid")</f>
        <v>#NAME?</v>
      </c>
      <c r="L77" s="35" t="e" cm="1">
        <f t="array" aca="1" ref="L77" ca="1">_xll.BDP($B77&amp;" Equity","ask")</f>
        <v>#NAME?</v>
      </c>
      <c r="M77" s="39" t="e">
        <f ca="1">(L77/K77-1)</f>
        <v>#NAME?</v>
      </c>
      <c r="N77" s="35" t="e" cm="1">
        <f t="array" aca="1" ref="N77" ca="1">_xll.BDP(F77&amp;" Curncy","PX_LAST")</f>
        <v>#NAME?</v>
      </c>
      <c r="O77" s="132" t="e" cm="1">
        <f t="array" aca="1" ref="O77" ca="1">_xll.BDP(B77&amp;" Equity","OPT_MULTIPLIER")</f>
        <v>#NAME?</v>
      </c>
      <c r="P77" s="15" t="e">
        <f ca="1">IF(G77="Buy",((I77/N77)*H77*O77),((I77/N77)*-H77*O77))</f>
        <v>#NAME?</v>
      </c>
      <c r="Q77" s="57" t="e">
        <f ca="1">P77/'Master P&amp;L'!$AD$5*10000</f>
        <v>#NAME?</v>
      </c>
      <c r="R77" s="36" t="e" cm="1">
        <f t="array" aca="1" ref="R77" ca="1">_xll.BDP($C77&amp;" Equity","EST_PE_NXT_YR")*(T77/S77)</f>
        <v>#NAME?</v>
      </c>
      <c r="S77" s="35" t="e" cm="1">
        <f t="array" aca="1" ref="S77" ca="1">_xll.BDP(C77&amp;" Equity","LAST_PRICE")</f>
        <v>#NAME?</v>
      </c>
      <c r="T77" s="52" t="e" cm="1">
        <f t="array" aca="1" ref="T77" ca="1">_xll.BDP(B77&amp;" Equity","OPT_STRIKE_PX")</f>
        <v>#NAME?</v>
      </c>
      <c r="U77" s="39" t="e">
        <f ca="1">T77/S77-1</f>
        <v>#NAME?</v>
      </c>
      <c r="V77" s="36" t="e" cm="1">
        <f t="array" aca="1" ref="V77" ca="1">_xll.BDP($B77&amp;" Equity","ivol_mid")</f>
        <v>#NAME?</v>
      </c>
      <c r="W77" s="37" t="e" cm="1">
        <f t="array" aca="1" ref="W77" ca="1">_xll.BDP(B77&amp;" Equity","DELTA_MID_RT")</f>
        <v>#NAME?</v>
      </c>
      <c r="X77" s="47" t="e">
        <f ca="1">Y77/'Master P&amp;L'!$AE$5</f>
        <v>#NAME?</v>
      </c>
      <c r="Y77" s="15" t="e">
        <f ca="1">IF(G77="Sell", S77*W77*-H77*O77/N77, S77*W77*H77*O77/N77)</f>
        <v>#NAME?</v>
      </c>
      <c r="Z77" s="15" t="e" cm="1">
        <f t="array" aca="1" ref="Z77" ca="1">_xll.BDP($B77&amp;" Equity","opt_theta")*H77*O77/N77</f>
        <v>#NAME?</v>
      </c>
      <c r="AA77" s="18" t="e" cm="1">
        <f t="array" aca="1" ref="AA77" ca="1">_xll.BDP($B77&amp;" Equity","opt_theta")/I77</f>
        <v>#NAME?</v>
      </c>
      <c r="AB77" s="35" t="e" cm="1">
        <f t="array" aca="1" ref="AB77" ca="1">_xll.BDP($C77&amp;" Equity","EXPECTED_REPORT_DT")</f>
        <v>#NAME?</v>
      </c>
      <c r="AC77" s="15" t="e">
        <f ca="1">S77*H77*O77/N77</f>
        <v>#NAME?</v>
      </c>
      <c r="AD77" s="18" t="e">
        <f ca="1">AC77/'Master P&amp;L'!$AE$5</f>
        <v>#NAME?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939</v>
      </c>
      <c r="C78" t="e" cm="1">
        <f t="array" aca="1" ref="C78" ca="1">_xll.BDP(B78&amp;" Equity","OPT_UNDL_TICKER")</f>
        <v>#NAME?</v>
      </c>
      <c r="D78" s="63" t="e">
        <f ca="1">A78*AVERAGE(K78:L78)</f>
        <v>#NAME?</v>
      </c>
      <c r="E78" t="e" cm="1">
        <f t="array" aca="1" ref="E78" ca="1">_xll.BDP($B78&amp;" Index","opt_days_expire")</f>
        <v>#NAME?</v>
      </c>
      <c r="F78" t="e" cm="1">
        <f t="array" aca="1" ref="F78" ca="1">_xll.BDP(B78&amp;" Equity","QUOTED_CURRENCY_REALTIME")</f>
        <v>#NAME?</v>
      </c>
      <c r="G78" s="103" t="s">
        <v>191</v>
      </c>
      <c r="H78" s="128">
        <v>75</v>
      </c>
      <c r="I78" s="96" t="e">
        <f ca="1">IF(G78="Buy",L78,K78)</f>
        <v>#NAME?</v>
      </c>
      <c r="J78" s="18" t="e">
        <f ca="1">I78/S78</f>
        <v>#NAME?</v>
      </c>
      <c r="K78" s="35" t="e" cm="1">
        <f t="array" aca="1" ref="K78" ca="1">_xll.BDP($B78&amp;" Equity","bid")</f>
        <v>#NAME?</v>
      </c>
      <c r="L78" s="35" t="e" cm="1">
        <f t="array" aca="1" ref="L78" ca="1">_xll.BDP($B78&amp;" Equity","ask")</f>
        <v>#NAME?</v>
      </c>
      <c r="M78" s="39" t="e">
        <f ca="1">(L78/K78-1)</f>
        <v>#NAME?</v>
      </c>
      <c r="N78" s="35" t="e" cm="1">
        <f t="array" aca="1" ref="N78" ca="1">_xll.BDP(F78&amp;" Curncy","PX_LAST")</f>
        <v>#NAME?</v>
      </c>
      <c r="O78" s="132" t="e" cm="1">
        <f t="array" aca="1" ref="O78" ca="1">_xll.BDP(B78&amp;" Equity","OPT_MULTIPLIER")</f>
        <v>#NAME?</v>
      </c>
      <c r="P78" s="15" t="e">
        <f ca="1">IF(G78="Buy",((I78/N78)*H78*O78),((I78/N78)*-H78*O78))</f>
        <v>#NAME?</v>
      </c>
      <c r="Q78" s="57" t="e">
        <f ca="1">P78/'Master P&amp;L'!$AD$5*10000</f>
        <v>#NAME?</v>
      </c>
      <c r="R78" s="36" t="e" cm="1">
        <f t="array" aca="1" ref="R78" ca="1">_xll.BDP($C78&amp;" Equity","EST_PE_NXT_YR")*(T78/S78)</f>
        <v>#NAME?</v>
      </c>
      <c r="S78" s="35" t="e" cm="1">
        <f t="array" aca="1" ref="S78" ca="1">_xll.BDP(C78&amp;" Equity","LAST_PRICE")</f>
        <v>#NAME?</v>
      </c>
      <c r="T78" s="52" t="e" cm="1">
        <f t="array" aca="1" ref="T78" ca="1">_xll.BDP(B78&amp;" Equity","OPT_STRIKE_PX")</f>
        <v>#NAME?</v>
      </c>
      <c r="U78" s="39" t="e">
        <f ca="1">T78/S78-1</f>
        <v>#NAME?</v>
      </c>
      <c r="V78" s="36" t="e" cm="1">
        <f t="array" aca="1" ref="V78" ca="1">_xll.BDP($B78&amp;" Equity","ivol_mid")</f>
        <v>#NAME?</v>
      </c>
      <c r="W78" s="37" t="e" cm="1">
        <f t="array" aca="1" ref="W78" ca="1">_xll.BDP(B78&amp;" Equity","DELTA_MID_RT")</f>
        <v>#NAME?</v>
      </c>
      <c r="X78" s="47" t="e">
        <f ca="1">Y78/'Master P&amp;L'!$AE$5</f>
        <v>#NAME?</v>
      </c>
      <c r="Y78" s="15" t="e">
        <f ca="1">IF(G78="Sell", S78*W78*-H78*O78/N78, S78*W78*H78*O78/N78)</f>
        <v>#NAME?</v>
      </c>
      <c r="Z78" s="15" t="e" cm="1">
        <f t="array" aca="1" ref="Z78" ca="1">_xll.BDP($B78&amp;" Equity","opt_theta")*H78*O78/N78</f>
        <v>#NAME?</v>
      </c>
      <c r="AA78" s="18" t="e" cm="1">
        <f t="array" aca="1" ref="AA78" ca="1">_xll.BDP($B78&amp;" Equity","opt_theta")/I78</f>
        <v>#NAME?</v>
      </c>
      <c r="AB78" s="35" t="e" cm="1">
        <f t="array" aca="1" ref="AB78" ca="1">_xll.BDP($C78&amp;" Equity","EXPECTED_REPORT_DT")</f>
        <v>#NAME?</v>
      </c>
      <c r="AC78" s="15" t="e">
        <f ca="1">S78*H78*O78/N78</f>
        <v>#NAME?</v>
      </c>
      <c r="AD78" s="47" t="e">
        <f ca="1">AC78/'Master P&amp;L'!$AE$5</f>
        <v>#NAME?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1041</v>
      </c>
      <c r="C79" t="e" cm="1">
        <f t="array" aca="1" ref="C79" ca="1">_xll.BDP(B79&amp;" Equity","OPT_UNDL_TICKER")</f>
        <v>#NAME?</v>
      </c>
      <c r="D79" s="63" t="e">
        <f ca="1">A79*AVERAGE(K79:L79)</f>
        <v>#NAME?</v>
      </c>
      <c r="E79" t="e" cm="1">
        <f t="array" aca="1" ref="E79" ca="1">_xll.BDP($B79&amp;" Index","opt_days_expire")</f>
        <v>#NAME?</v>
      </c>
      <c r="F79" t="e" cm="1">
        <f t="array" aca="1" ref="F79" ca="1">_xll.BDP(B79&amp;" Equity","QUOTED_CURRENCY_REALTIME")</f>
        <v>#NAME?</v>
      </c>
      <c r="G79" s="103" t="s">
        <v>190</v>
      </c>
      <c r="H79" s="128">
        <v>75</v>
      </c>
      <c r="I79" s="96" t="e">
        <f ca="1">IF(G79="Buy",L79,K79)</f>
        <v>#NAME?</v>
      </c>
      <c r="J79" s="18" t="e">
        <f ca="1">I79/S79</f>
        <v>#NAME?</v>
      </c>
      <c r="K79" s="35" t="e" cm="1">
        <f t="array" aca="1" ref="K79" ca="1">_xll.BDP($B79&amp;" Equity","bid")</f>
        <v>#NAME?</v>
      </c>
      <c r="L79" s="35" t="e" cm="1">
        <f t="array" aca="1" ref="L79" ca="1">_xll.BDP($B79&amp;" Equity","ask")</f>
        <v>#NAME?</v>
      </c>
      <c r="M79" s="39" t="e">
        <f ca="1">(L79/K79-1)</f>
        <v>#NAME?</v>
      </c>
      <c r="N79" s="35" t="e" cm="1">
        <f t="array" aca="1" ref="N79" ca="1">_xll.BDP(F79&amp;" Curncy","PX_LAST")</f>
        <v>#NAME?</v>
      </c>
      <c r="O79" s="132" t="e" cm="1">
        <f t="array" aca="1" ref="O79" ca="1">_xll.BDP(B79&amp;" Equity","OPT_MULTIPLIER")</f>
        <v>#NAME?</v>
      </c>
      <c r="P79" s="15" t="e">
        <f ca="1">IF(G79="Buy",((I79/N79)*H79*O79),((I79/N79)*-H79*O79))</f>
        <v>#NAME?</v>
      </c>
      <c r="Q79" s="57" t="e">
        <f ca="1">P79/'Master P&amp;L'!$AD$5*10000</f>
        <v>#NAME?</v>
      </c>
      <c r="R79" s="36" t="e" cm="1">
        <f t="array" aca="1" ref="R79" ca="1">_xll.BDP($C79&amp;" Equity","EST_PE_NXT_YR")*(T79/S79)</f>
        <v>#NAME?</v>
      </c>
      <c r="S79" s="35" t="e" cm="1">
        <f t="array" aca="1" ref="S79" ca="1">_xll.BDP(C79&amp;" Equity","LAST_PRICE")</f>
        <v>#NAME?</v>
      </c>
      <c r="T79" s="52" t="e" cm="1">
        <f t="array" aca="1" ref="T79" ca="1">_xll.BDP(B79&amp;" Equity","OPT_STRIKE_PX")</f>
        <v>#NAME?</v>
      </c>
      <c r="U79" s="39" t="e">
        <f ca="1">T79/S79-1</f>
        <v>#NAME?</v>
      </c>
      <c r="V79" s="36" t="e" cm="1">
        <f t="array" aca="1" ref="V79" ca="1">_xll.BDP(B79&amp;" Equity","ivol_mid")</f>
        <v>#NAME?</v>
      </c>
      <c r="W79" s="37" t="e" cm="1">
        <f t="array" aca="1" ref="W79" ca="1">_xll.BDP(B79&amp;" Equity","DELTA_MID_RT")</f>
        <v>#NAME?</v>
      </c>
      <c r="X79" s="47" t="e">
        <f ca="1">Y79/'Master P&amp;L'!$AE$5</f>
        <v>#NAME?</v>
      </c>
      <c r="Y79" s="15" t="e">
        <f ca="1">IF(G79="Sell", S79*W79*-H79*O79/N79, S79*W79*H79*O79/N79)</f>
        <v>#NAME?</v>
      </c>
      <c r="Z79" s="15" t="e" cm="1">
        <f t="array" aca="1" ref="Z79" ca="1">_xll.BDP($B79&amp;" Equity","opt_theta")*H79*O79/N79</f>
        <v>#NAME?</v>
      </c>
      <c r="AA79" s="18" t="e" cm="1">
        <f t="array" aca="1" ref="AA79" ca="1">_xll.BDP($B79&amp;" Equity","opt_theta")/I79</f>
        <v>#NAME?</v>
      </c>
      <c r="AB79" s="35" t="e" cm="1">
        <f t="array" aca="1" ref="AB79" ca="1">_xll.BDP($C79&amp;" Equity","EXPECTED_REPORT_DT")</f>
        <v>#NAME?</v>
      </c>
      <c r="AC79" s="15" t="e">
        <f ca="1">S79*H79*O79/N79</f>
        <v>#NAME?</v>
      </c>
      <c r="AD79" s="18" t="e">
        <f ca="1">AC79/'Master P&amp;L'!$AE$5</f>
        <v>#NAME?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 t="e">
        <f ca="1">I78-I77-I79</f>
        <v>#NAME?</v>
      </c>
      <c r="J80" s="99" t="s">
        <v>192</v>
      </c>
      <c r="K80" s="100" t="e">
        <f ca="1">K79/L78</f>
        <v>#NAME?</v>
      </c>
      <c r="P80" s="127" t="e">
        <f ca="1">P78+P79+P77</f>
        <v>#NAME?</v>
      </c>
      <c r="Q80" s="57" t="e">
        <f ca="1">P80/'Master P&amp;L'!$AD$5*10000</f>
        <v>#NAME?</v>
      </c>
      <c r="S80" s="99" t="s">
        <v>194</v>
      </c>
      <c r="T80" s="101"/>
      <c r="W80" s="99" t="s">
        <v>195</v>
      </c>
      <c r="X80" s="120" t="e">
        <f ca="1">X78+X79+X77</f>
        <v>#NAME?</v>
      </c>
      <c r="AC80" s="99" t="s">
        <v>172</v>
      </c>
      <c r="AD80" s="120" t="e">
        <f ca="1">AD78</f>
        <v>#NAME?</v>
      </c>
    </row>
    <row r="81" spans="1:37" hidden="1">
      <c r="H81" s="99" t="s">
        <v>196</v>
      </c>
      <c r="I81" s="101"/>
      <c r="J81" s="99" t="s">
        <v>90</v>
      </c>
      <c r="K81" s="107" t="e">
        <f ca="1">-AVERAGE(K77:L77)+AVERAGE(K78:L78)-AVERAGE(K79:L79)</f>
        <v>#NAME?</v>
      </c>
      <c r="P81" s="99"/>
      <c r="Q81" s="106"/>
      <c r="S81" s="99"/>
      <c r="T81" s="101"/>
      <c r="W81" s="99"/>
      <c r="X81" s="120"/>
      <c r="Y81" s="13" t="e">
        <f ca="1">(Y77+Y78+Y79)/S78</f>
        <v>#NAME?</v>
      </c>
      <c r="AC81" s="99"/>
      <c r="AD81" s="102"/>
    </row>
    <row r="82" spans="1:37" hidden="1">
      <c r="D82" s="63"/>
      <c r="H82" s="95"/>
      <c r="I82" s="63" t="e">
        <f ca="1">(I78*A78)-(I79*A79)-(I77*A77)</f>
        <v>#NAME?</v>
      </c>
      <c r="K82" s="63"/>
      <c r="N82" s="35"/>
      <c r="O82" s="132"/>
      <c r="P82" s="15"/>
      <c r="Q82" s="57"/>
    </row>
    <row r="83" spans="1:37" hidden="1">
      <c r="I83" s="20" t="e">
        <f ca="1">I79/I78</f>
        <v>#NAME?</v>
      </c>
    </row>
    <row r="84" spans="1:37" hidden="1">
      <c r="I84" s="20"/>
    </row>
    <row r="85" spans="1:37" hidden="1">
      <c r="H85" s="205">
        <v>1</v>
      </c>
      <c r="I85" s="63" t="e">
        <f ca="1">I87-I86</f>
        <v>#NAME?</v>
      </c>
      <c r="J85" s="17" t="e">
        <f ca="1">T86-T87</f>
        <v>#NAME?</v>
      </c>
      <c r="K85" s="205" t="e">
        <f ca="1">(J85-I85)/I85</f>
        <v>#NAME?</v>
      </c>
      <c r="Q85" s="205" t="e">
        <f ca="1">Q87+Q86</f>
        <v>#NAME?</v>
      </c>
    </row>
    <row r="86" spans="1:37" hidden="1">
      <c r="A86" s="191"/>
      <c r="C86" t="e" cm="1">
        <f t="array" aca="1" ref="C86" ca="1">_xll.BDP(B86&amp;" Equity","OPT_UNDL_TICKER")</f>
        <v>#NAME?</v>
      </c>
      <c r="D86" s="63" t="e">
        <f ca="1">A86*AVERAGE(K86:L86)</f>
        <v>#NAME?</v>
      </c>
      <c r="E86" t="e" cm="1">
        <f t="array" aca="1" ref="E86" ca="1">_xll.BDP($B86&amp;" Index","opt_days_expire")</f>
        <v>#NAME?</v>
      </c>
      <c r="F86" t="e" cm="1">
        <f t="array" aca="1" ref="F86" ca="1">_xll.BDP(B86&amp;" Equity","QUOTED_CURRENCY_REALTIME")</f>
        <v>#NAME?</v>
      </c>
      <c r="G86" s="103" t="s">
        <v>191</v>
      </c>
      <c r="H86" s="128">
        <f>H87*H85</f>
        <v>20</v>
      </c>
      <c r="I86" s="96" t="e">
        <f ca="1">IF(G86="Buy",L86,K86)</f>
        <v>#NAME?</v>
      </c>
      <c r="J86" s="18" t="e">
        <f ca="1">I86/S86</f>
        <v>#NAME?</v>
      </c>
      <c r="K86" s="35" t="e" cm="1">
        <f t="array" aca="1" ref="K86" ca="1">_xll.BDP($B86&amp;" Equity","bid")</f>
        <v>#NAME?</v>
      </c>
      <c r="L86" s="35" t="e" cm="1">
        <f t="array" aca="1" ref="L86" ca="1">_xll.BDP($B86&amp;" Equity","ask")</f>
        <v>#NAME?</v>
      </c>
      <c r="M86" s="39" t="e">
        <f ca="1">(L86/K86-1)</f>
        <v>#NAME?</v>
      </c>
      <c r="N86" s="35" t="e" cm="1">
        <f t="array" aca="1" ref="N86" ca="1">_xll.BDP(F86&amp;" Curncy","PX_LAST")</f>
        <v>#NAME?</v>
      </c>
      <c r="O86" s="132" t="e" cm="1">
        <f t="array" aca="1" ref="O86" ca="1">_xll.BDP(B86&amp;" Equity","OPT_MULTIPLIER")</f>
        <v>#NAME?</v>
      </c>
      <c r="P86" s="15" t="e">
        <f ca="1">IF(G86="Buy",((I86/N86)*H86*O86),((I86/N86)*-H86*O86))</f>
        <v>#NAME?</v>
      </c>
      <c r="Q86" s="57" t="e">
        <f ca="1">P86/'Master P&amp;L'!$AD$5*10000</f>
        <v>#NAME?</v>
      </c>
      <c r="R86" s="36" t="e" cm="1">
        <f t="array" aca="1" ref="R86" ca="1">_xll.BDP($C86&amp;" Equity","EST_PE_NXT_YR")*(T86/S86)</f>
        <v>#NAME?</v>
      </c>
      <c r="S86" s="35" t="e" cm="1">
        <f t="array" aca="1" ref="S86" ca="1">_xll.BDP(C86&amp;" Equity","LAST_PRICE")</f>
        <v>#NAME?</v>
      </c>
      <c r="T86" s="52" t="e" cm="1">
        <f t="array" aca="1" ref="T86" ca="1">_xll.BDP(B86&amp;" Equity","OPT_STRIKE_PX")</f>
        <v>#NAME?</v>
      </c>
      <c r="U86" s="39" t="e">
        <f ca="1">T86/S86-1</f>
        <v>#NAME?</v>
      </c>
      <c r="V86" s="36" t="e" cm="1">
        <f t="array" aca="1" ref="V86" ca="1">_xll.BDP($B86&amp;" Equity","ivol_mid")</f>
        <v>#NAME?</v>
      </c>
      <c r="W86" s="37" t="e" cm="1">
        <f t="array" aca="1" ref="W86" ca="1">_xll.BDP(B86&amp;" Equity","DELTA_MID_RT")</f>
        <v>#NAME?</v>
      </c>
      <c r="X86" s="47" t="e">
        <f ca="1">Y86/'Master P&amp;L'!$AE$5</f>
        <v>#NAME?</v>
      </c>
      <c r="Y86" s="15" t="e">
        <f ca="1">IF(G86="Sell", S86*W86*-H86*O86/N86, S86*W86*H86*O86/N86)</f>
        <v>#NAME?</v>
      </c>
      <c r="Z86" s="15" t="e" cm="1">
        <f t="array" aca="1" ref="Z86" ca="1">_xll.BDP($B86&amp;" Equity","opt_theta")*H86*O86/N86</f>
        <v>#NAME?</v>
      </c>
      <c r="AA86" s="18" t="e" cm="1">
        <f t="array" aca="1" ref="AA86" ca="1">_xll.BDP($B86&amp;" Equity","opt_theta")/I86</f>
        <v>#NAME?</v>
      </c>
      <c r="AB86" s="35" t="e" cm="1">
        <f t="array" aca="1" ref="AB86" ca="1">_xll.BDP($C86&amp;" Equity","EXPECTED_REPORT_DT")</f>
        <v>#NAME?</v>
      </c>
      <c r="AC86" s="15" t="e">
        <f ca="1">S86*H86*O86/N86</f>
        <v>#NAME?</v>
      </c>
      <c r="AD86" s="18" t="e">
        <f ca="1">AC86/'Master P&amp;L'!$AE$5</f>
        <v>#NAME?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e" cm="1">
        <f t="array" aca="1" ref="C87" ca="1">_xll.BDP(B87&amp;" Equity","OPT_UNDL_TICKER")</f>
        <v>#NAME?</v>
      </c>
      <c r="D87" s="63" t="e">
        <f ca="1">A87*AVERAGE(K87:L87)</f>
        <v>#NAME?</v>
      </c>
      <c r="E87" t="e" cm="1">
        <f t="array" aca="1" ref="E87" ca="1">_xll.BDP($B87&amp;" Index","opt_days_expire")</f>
        <v>#NAME?</v>
      </c>
      <c r="F87" t="e" cm="1">
        <f t="array" aca="1" ref="F87" ca="1">_xll.BDP(B87&amp;" Equity","QUOTED_CURRENCY_REALTIME")</f>
        <v>#NAME?</v>
      </c>
      <c r="G87" s="103" t="s">
        <v>190</v>
      </c>
      <c r="H87" s="128">
        <v>20</v>
      </c>
      <c r="I87" s="96" t="e">
        <f ca="1">IF(G87="Buy",L87,K87)</f>
        <v>#NAME?</v>
      </c>
      <c r="J87" s="18" t="e">
        <f ca="1">I87/S87</f>
        <v>#NAME?</v>
      </c>
      <c r="K87" s="35" t="e" cm="1">
        <f t="array" aca="1" ref="K87" ca="1">_xll.BDP($B87&amp;" Equity","bid")</f>
        <v>#NAME?</v>
      </c>
      <c r="L87" s="35" t="e" cm="1">
        <f t="array" aca="1" ref="L87" ca="1">_xll.BDP($B87&amp;" Equity","ask")</f>
        <v>#NAME?</v>
      </c>
      <c r="M87" s="39" t="e">
        <f ca="1">(L87/K87-1)</f>
        <v>#NAME?</v>
      </c>
      <c r="N87" s="35" t="e" cm="1">
        <f t="array" aca="1" ref="N87" ca="1">_xll.BDP(F87&amp;" Curncy","PX_LAST")</f>
        <v>#NAME?</v>
      </c>
      <c r="O87" s="132" t="e" cm="1">
        <f t="array" aca="1" ref="O87" ca="1">_xll.BDP(B87&amp;" Equity","OPT_MULTIPLIER")</f>
        <v>#NAME?</v>
      </c>
      <c r="P87" s="15" t="e">
        <f ca="1">IF(G87="Buy",((I87/N87)*H87*O87),((I87/N87)*-H87*O87))</f>
        <v>#NAME?</v>
      </c>
      <c r="Q87" s="57" t="e">
        <f ca="1">P87/'Master P&amp;L'!$AD$5*10000</f>
        <v>#NAME?</v>
      </c>
      <c r="R87" s="36" t="e" cm="1">
        <f t="array" aca="1" ref="R87" ca="1">_xll.BDP($C87&amp;" Equity","EST_PE_NXT_YR")*(T87/S87)</f>
        <v>#NAME?</v>
      </c>
      <c r="S87" s="35" t="e" cm="1">
        <f t="array" aca="1" ref="S87" ca="1">_xll.BDP(C87&amp;" Equity","LAST_PRICE")</f>
        <v>#NAME?</v>
      </c>
      <c r="T87" s="52" t="e" cm="1">
        <f t="array" aca="1" ref="T87" ca="1">_xll.BDP(B87&amp;" Equity","OPT_STRIKE_PX")</f>
        <v>#NAME?</v>
      </c>
      <c r="U87" s="39" t="e">
        <f ca="1">T87/S87-1</f>
        <v>#NAME?</v>
      </c>
      <c r="V87" s="36" t="e" cm="1">
        <f t="array" aca="1" ref="V87" ca="1">_xll.BDP($B87&amp;" Equity","ivol_mid")</f>
        <v>#NAME?</v>
      </c>
      <c r="W87" s="37" t="e" cm="1">
        <f t="array" aca="1" ref="W87" ca="1">_xll.BDP(B87&amp;" Equity","DELTA_MID_RT")</f>
        <v>#NAME?</v>
      </c>
      <c r="X87" s="47" t="e">
        <f ca="1">Y87/'Master P&amp;L'!$AE$5</f>
        <v>#NAME?</v>
      </c>
      <c r="Y87" s="15" t="e">
        <f ca="1">IF(G87="Sell", S87*W87*-H87*O87/N87, S87*W87*H87*O87/N87)</f>
        <v>#NAME?</v>
      </c>
      <c r="Z87" s="15" t="e" cm="1">
        <f t="array" aca="1" ref="Z87" ca="1">_xll.BDP($B87&amp;" Equity","opt_theta")*H87*O87/N87</f>
        <v>#NAME?</v>
      </c>
      <c r="AA87" s="18" t="e" cm="1">
        <f t="array" aca="1" ref="AA87" ca="1">_xll.BDP($B87&amp;" Equity","opt_theta")/I87</f>
        <v>#NAME?</v>
      </c>
      <c r="AB87" s="35" t="e" cm="1">
        <f t="array" aca="1" ref="AB87" ca="1">_xll.BDP($C87&amp;" Equity","EXPECTED_REPORT_DT")</f>
        <v>#NAME?</v>
      </c>
      <c r="AC87" s="15" t="e">
        <f ca="1">S87*H87*O87/N87</f>
        <v>#NAME?</v>
      </c>
      <c r="AD87" s="47" t="e">
        <f ca="1">AC87/'Master P&amp;L'!$AE$5</f>
        <v>#NAME?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941</v>
      </c>
      <c r="C88" t="e" cm="1">
        <f t="array" aca="1" ref="C88" ca="1">_xll.BDP(B88&amp;" Equity","OPT_UNDL_TICKER")</f>
        <v>#NAME?</v>
      </c>
      <c r="D88" s="63" t="e">
        <f ca="1">A88*AVERAGE(K88:L88)</f>
        <v>#NAME?</v>
      </c>
      <c r="E88" t="e" cm="1">
        <f t="array" aca="1" ref="E88" ca="1">_xll.BDP($B88&amp;" Index","opt_days_expire")</f>
        <v>#NAME?</v>
      </c>
      <c r="F88" t="e" cm="1">
        <f t="array" aca="1" ref="F88" ca="1">_xll.BDP(B88&amp;" Equity","QUOTED_CURRENCY_REALTIME")</f>
        <v>#NAME?</v>
      </c>
      <c r="G88" s="103" t="s">
        <v>190</v>
      </c>
      <c r="H88" s="128">
        <v>35</v>
      </c>
      <c r="I88" s="96" t="e">
        <f ca="1">IF(G88="Buy",L88,K88)</f>
        <v>#NAME?</v>
      </c>
      <c r="J88" s="18" t="e">
        <f ca="1">I88/S88</f>
        <v>#NAME?</v>
      </c>
      <c r="K88" s="35" t="e" cm="1">
        <f t="array" aca="1" ref="K88" ca="1">_xll.BDP($B88&amp;" Equity","bid")</f>
        <v>#NAME?</v>
      </c>
      <c r="L88" s="35" t="e" cm="1">
        <f t="array" aca="1" ref="L88" ca="1">_xll.BDP($B88&amp;" Equity","ask")</f>
        <v>#NAME?</v>
      </c>
      <c r="M88" s="39" t="e">
        <f ca="1">(L88/K88-1)</f>
        <v>#NAME?</v>
      </c>
      <c r="N88" s="35" t="e" cm="1">
        <f t="array" aca="1" ref="N88" ca="1">_xll.BDP(F88&amp;" Curncy","PX_LAST")</f>
        <v>#NAME?</v>
      </c>
      <c r="O88" s="132" t="e" cm="1">
        <f t="array" aca="1" ref="O88" ca="1">_xll.BDP(B88&amp;" Equity","OPT_MULTIPLIER")</f>
        <v>#NAME?</v>
      </c>
      <c r="P88" s="15" t="e">
        <f ca="1">IF(G88="Buy",((I88/N88)*H88*O88),((I88/N88)*-H88*O88))</f>
        <v>#NAME?</v>
      </c>
      <c r="Q88" s="57" t="e">
        <f ca="1">P88/'Master P&amp;L'!$AD$5*10000</f>
        <v>#NAME?</v>
      </c>
      <c r="R88" s="36" t="e" cm="1">
        <f t="array" aca="1" ref="R88" ca="1">_xll.BDP($C88&amp;" Equity","EST_PE_NXT_YR")*(T88/S88)</f>
        <v>#NAME?</v>
      </c>
      <c r="S88" s="35" t="e" cm="1">
        <f t="array" aca="1" ref="S88" ca="1">_xll.BDP(C88&amp;" Equity","LAST_PRICE")</f>
        <v>#NAME?</v>
      </c>
      <c r="T88" s="52" t="e" cm="1">
        <f t="array" aca="1" ref="T88" ca="1">_xll.BDP(B88&amp;" Equity","OPT_STRIKE_PX")</f>
        <v>#NAME?</v>
      </c>
      <c r="U88" s="39" t="e">
        <f ca="1">T88/S88-1</f>
        <v>#NAME?</v>
      </c>
      <c r="V88" s="36" t="e" cm="1">
        <f t="array" aca="1" ref="V88" ca="1">_xll.BDP(B88&amp;" Equity","ivol_mid")</f>
        <v>#NAME?</v>
      </c>
      <c r="W88" s="37" t="e" cm="1">
        <f t="array" aca="1" ref="W88" ca="1">_xll.BDP(B88&amp;" Equity","DELTA_MID_RT")</f>
        <v>#NAME?</v>
      </c>
      <c r="X88" s="47" t="e">
        <f ca="1">Y88/'Master P&amp;L'!$AE$5</f>
        <v>#NAME?</v>
      </c>
      <c r="Y88" s="15" t="e">
        <f ca="1">IF(G88="Sell", S88*W88*-H88*O88/N88, S88*W88*H88*O88/N88)</f>
        <v>#NAME?</v>
      </c>
      <c r="Z88" s="15" t="e" cm="1">
        <f t="array" aca="1" ref="Z88" ca="1">_xll.BDP($B88&amp;" Equity","opt_theta")*H88*O88/N88</f>
        <v>#NAME?</v>
      </c>
      <c r="AA88" s="18" t="e" cm="1">
        <f t="array" aca="1" ref="AA88" ca="1">_xll.BDP($B88&amp;" Equity","opt_theta")/I88</f>
        <v>#NAME?</v>
      </c>
      <c r="AB88" s="35" t="e" cm="1">
        <f t="array" aca="1" ref="AB88" ca="1">_xll.BDP($C88&amp;" Equity","EXPECTED_REPORT_DT")</f>
        <v>#NAME?</v>
      </c>
      <c r="AC88" s="15" t="e">
        <f ca="1">S88*H88*O88/N88</f>
        <v>#NAME?</v>
      </c>
      <c r="AD88" s="18" t="e">
        <f ca="1">AC88/'Master P&amp;L'!$AE$5</f>
        <v>#NAME?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 ca="1">I87-I86-I88</f>
        <v>#NAME?</v>
      </c>
      <c r="J89" s="99" t="s">
        <v>192</v>
      </c>
      <c r="K89" s="100" t="e">
        <f ca="1">K88/L87</f>
        <v>#NAME?</v>
      </c>
      <c r="P89" s="127" t="e">
        <f ca="1">P87+P88+P86</f>
        <v>#NAME?</v>
      </c>
      <c r="Q89" s="57" t="e">
        <f ca="1">P89/'Master P&amp;L'!$AD$5*10000</f>
        <v>#NAME?</v>
      </c>
      <c r="S89" s="99" t="s">
        <v>194</v>
      </c>
      <c r="T89" s="101"/>
      <c r="W89" s="99" t="s">
        <v>195</v>
      </c>
      <c r="X89" s="120" t="e">
        <f ca="1">X87+X88+X86</f>
        <v>#NAME?</v>
      </c>
      <c r="AC89" s="99" t="s">
        <v>172</v>
      </c>
      <c r="AD89" s="120" t="e">
        <f ca="1">AD87</f>
        <v>#NAME?</v>
      </c>
    </row>
    <row r="90" spans="1:37" hidden="1">
      <c r="H90" s="99" t="s">
        <v>196</v>
      </c>
      <c r="I90" s="101"/>
      <c r="J90" s="99" t="s">
        <v>90</v>
      </c>
      <c r="K90" s="107" t="e">
        <f ca="1">-AVERAGE(K86:L86)+AVERAGE(K87:L87)-AVERAGE(K88:L88)</f>
        <v>#NAME?</v>
      </c>
      <c r="P90" s="99"/>
      <c r="Q90" s="106"/>
      <c r="S90" s="99"/>
      <c r="T90" s="101"/>
      <c r="W90" s="99"/>
      <c r="X90" s="120"/>
      <c r="Y90" s="13" t="e">
        <f ca="1">(Y86+Y87+Y88)/S87</f>
        <v>#NAME?</v>
      </c>
      <c r="AC90" s="99"/>
      <c r="AD90" s="102"/>
    </row>
    <row r="91" spans="1:37" hidden="1">
      <c r="D91" s="63"/>
      <c r="H91" s="95"/>
      <c r="I91" s="63" t="e">
        <f ca="1">(I87*A87)-(I88*A88)-(I86*A86)</f>
        <v>#NAME?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 t="e">
        <f ca="1">I95-I94</f>
        <v>#NAME?</v>
      </c>
      <c r="J93" s="17" t="e">
        <f ca="1">T94-T95</f>
        <v>#NAME?</v>
      </c>
      <c r="K93" s="205" t="e">
        <f ca="1">(J93-I93)/I93</f>
        <v>#NAME?</v>
      </c>
      <c r="Q93" s="205" t="e">
        <f ca="1">Q95+Q94</f>
        <v>#NAME?</v>
      </c>
    </row>
    <row r="94" spans="1:37">
      <c r="A94" s="191">
        <v>2</v>
      </c>
      <c r="B94" t="s">
        <v>1220</v>
      </c>
      <c r="C94" t="e" cm="1">
        <f t="array" aca="1" ref="C94" ca="1">_xll.BDP(B94&amp;" Equity","OPT_UNDL_TICKER")</f>
        <v>#NAME?</v>
      </c>
      <c r="D94" t="e" cm="1">
        <f t="array" aca="1" ref="D94" ca="1">_xll.BDP($B94&amp;" Index","mifid_Maturity_date")</f>
        <v>#NAME?</v>
      </c>
      <c r="E94" t="e" cm="1">
        <f t="array" aca="1" ref="E94" ca="1">_xll.BDP($B94&amp;" Index","opt_days_expire")</f>
        <v>#NAME?</v>
      </c>
      <c r="F94" t="e" cm="1">
        <f t="array" aca="1" ref="F94" ca="1">_xll.BDP(B94&amp;" Equity","QUOTED_CURRENCY_REALTIME")</f>
        <v>#NAME?</v>
      </c>
      <c r="G94" s="103" t="s">
        <v>191</v>
      </c>
      <c r="H94" s="128">
        <f>H95</f>
        <v>300</v>
      </c>
      <c r="I94" s="96" t="e">
        <f ca="1">IF(G94="Buy",L94,K94)</f>
        <v>#NAME?</v>
      </c>
      <c r="J94" s="18" t="e">
        <f ca="1">I94/S94</f>
        <v>#NAME?</v>
      </c>
      <c r="K94" s="35" t="e" cm="1">
        <f t="array" aca="1" ref="K94" ca="1">_xll.BDP($B94&amp;" Equity","bid")</f>
        <v>#NAME?</v>
      </c>
      <c r="L94" s="35" t="e" cm="1">
        <f t="array" aca="1" ref="L94" ca="1">_xll.BDP($B94&amp;" Equity","ask")</f>
        <v>#NAME?</v>
      </c>
      <c r="M94" s="39" t="e">
        <f ca="1">(L94/K94-1)</f>
        <v>#NAME?</v>
      </c>
      <c r="N94" s="35" t="e" cm="1">
        <f t="array" aca="1" ref="N94" ca="1">_xll.BDP(F94&amp;" Curncy","PX_LAST")</f>
        <v>#NAME?</v>
      </c>
      <c r="O94" s="132" t="e" cm="1">
        <f t="array" aca="1" ref="O94" ca="1">_xll.BDP(B94&amp;" Equity","OPT_MULTIPLIER")</f>
        <v>#NAME?</v>
      </c>
      <c r="P94" s="15" t="e">
        <f ca="1">IF(G94="Buy",((I94/N94)*H94*O94),((I94/N94)*-H94*O94))</f>
        <v>#NAME?</v>
      </c>
      <c r="Q94" s="57" t="e">
        <f ca="1">P94/'Master P&amp;L'!$AD$5*10000</f>
        <v>#NAME?</v>
      </c>
      <c r="R94" s="36" t="e" cm="1">
        <f t="array" aca="1" ref="R94" ca="1">_xll.BDP($C94&amp;" Equity","EST_PE_NXT_YR")*(T94/S94)</f>
        <v>#NAME?</v>
      </c>
      <c r="S94" s="35" t="e">
        <f ca="1">_xll.BDP(C94&amp;" Equity","LAST_PRICE")</f>
        <v>#NAME?</v>
      </c>
      <c r="T94" s="52" t="e" cm="1">
        <f t="array" aca="1" ref="T94" ca="1">_xll.BDP(B94&amp;" Equity","OPT_STRIKE_PX")</f>
        <v>#NAME?</v>
      </c>
      <c r="U94" s="39" t="e">
        <f ca="1">T94/S94-1</f>
        <v>#NAME?</v>
      </c>
      <c r="V94" s="36" t="e" cm="1">
        <f t="array" aca="1" ref="V94" ca="1">_xll.BDP($B94&amp;" Equity","ivol_mid")</f>
        <v>#NAME?</v>
      </c>
      <c r="W94" s="37" t="e" cm="1">
        <f t="array" aca="1" ref="W94" ca="1">_xll.BDP(B94&amp;" Equity","DELTA_MID_RT")</f>
        <v>#NAME?</v>
      </c>
      <c r="X94" s="47" t="e">
        <f ca="1">Y94/'Master P&amp;L'!$AE$5</f>
        <v>#NAME?</v>
      </c>
      <c r="Y94" s="15" t="e">
        <f ca="1">IF(G94="Sell", S94*W94*-H94*O94/N94, S94*W94*H94*O94/N94)</f>
        <v>#NAME?</v>
      </c>
      <c r="Z94" s="15" t="e" cm="1">
        <f t="array" aca="1" ref="Z94" ca="1">_xll.BDP($B94&amp;" Equity","opt_theta")*H94*O94/N94</f>
        <v>#NAME?</v>
      </c>
      <c r="AA94" s="18" t="e" cm="1">
        <f t="array" aca="1" ref="AA94" ca="1">_xll.BDP($B94&amp;" Equity","opt_theta")/I94</f>
        <v>#NAME?</v>
      </c>
      <c r="AB94" s="35" t="e" cm="1">
        <f t="array" aca="1" ref="AB94" ca="1">_xll.BDP($C94&amp;" Equity","EXPECTED_REPORT_DT")</f>
        <v>#NAME?</v>
      </c>
      <c r="AC94" s="15" t="e">
        <f ca="1">S94*H94*O94/N94</f>
        <v>#NAME?</v>
      </c>
      <c r="AD94" s="18" t="e">
        <f ca="1">AC94/'Master P&amp;L'!$AE$5</f>
        <v>#NAME?</v>
      </c>
      <c r="AE94" t="str">
        <f>B94  &amp; " - Buy to open " &amp;  "-" &amp; H94 &amp;"x"</f>
        <v>AMZN US 12/18/26 C250 - Buy to open -300x</v>
      </c>
      <c r="AK94" s="58" t="s">
        <v>482</v>
      </c>
    </row>
    <row r="95" spans="1:37">
      <c r="A95" s="191">
        <v>2</v>
      </c>
      <c r="B95" t="s">
        <v>1221</v>
      </c>
      <c r="C95" t="e" cm="1">
        <f t="array" aca="1" ref="C95" ca="1">_xll.BDP(B95&amp;" Equity","OPT_UNDL_TICKER")</f>
        <v>#NAME?</v>
      </c>
      <c r="D95" t="e" cm="1">
        <f t="array" aca="1" ref="D95" ca="1">_xll.BDP($B95&amp;" Index","mifid_Maturity_date")</f>
        <v>#NAME?</v>
      </c>
      <c r="E95" t="e" cm="1">
        <f t="array" aca="1" ref="E95" ca="1">_xll.BDP($B95&amp;" Index","opt_days_expire")</f>
        <v>#NAME?</v>
      </c>
      <c r="F95" t="e" cm="1">
        <f t="array" aca="1" ref="F95" ca="1">_xll.BDP(B95&amp;" Equity","QUOTED_CURRENCY_REALTIME")</f>
        <v>#NAME?</v>
      </c>
      <c r="G95" s="103" t="s">
        <v>190</v>
      </c>
      <c r="H95" s="128">
        <v>300</v>
      </c>
      <c r="I95" s="96" t="e">
        <f ca="1">IF(G95="Buy",L95,K95)</f>
        <v>#NAME?</v>
      </c>
      <c r="J95" s="18" t="e">
        <f ca="1">I95/S95</f>
        <v>#NAME?</v>
      </c>
      <c r="K95" s="35" t="e" cm="1">
        <f t="array" aca="1" ref="K95" ca="1">_xll.BDP($B95&amp;" Equity","bid")</f>
        <v>#NAME?</v>
      </c>
      <c r="L95" s="35" t="e" cm="1">
        <f t="array" aca="1" ref="L95" ca="1">_xll.BDP($B95&amp;" Equity","ask")</f>
        <v>#NAME?</v>
      </c>
      <c r="M95" s="39" t="e">
        <f ca="1">(L95/K95-1)</f>
        <v>#NAME?</v>
      </c>
      <c r="N95" s="35" t="e" cm="1">
        <f t="array" aca="1" ref="N95" ca="1">_xll.BDP(F95&amp;" Curncy","PX_LAST")</f>
        <v>#NAME?</v>
      </c>
      <c r="O95" s="132" t="e" cm="1">
        <f t="array" aca="1" ref="O95" ca="1">_xll.BDP(B95&amp;" Equity","OPT_MULTIPLIER")</f>
        <v>#NAME?</v>
      </c>
      <c r="P95" s="15" t="e">
        <f ca="1">IF(G95="Buy",((I95/N95)*H95*O95),((I95/N95)*-H95*O95))</f>
        <v>#NAME?</v>
      </c>
      <c r="Q95" s="57" t="e">
        <f ca="1">P95/'Master P&amp;L'!$AD$5*10000</f>
        <v>#NAME?</v>
      </c>
      <c r="R95" s="36" t="e" cm="1">
        <f t="array" aca="1" ref="R95" ca="1">_xll.BDP($C95&amp;" Equity","EST_PE_NXT_YR")*(T95/S95)</f>
        <v>#NAME?</v>
      </c>
      <c r="S95" s="35" t="e">
        <f ca="1">_xll.BDP(C95&amp;" Equity","LAST_PRICE")</f>
        <v>#NAME?</v>
      </c>
      <c r="T95" s="52" t="e" cm="1">
        <f t="array" aca="1" ref="T95" ca="1">_xll.BDP(B95&amp;" Equity","OPT_STRIKE_PX")</f>
        <v>#NAME?</v>
      </c>
      <c r="U95" s="39" t="e">
        <f ca="1">T95/S95-1</f>
        <v>#NAME?</v>
      </c>
      <c r="V95" s="36" t="e" cm="1">
        <f t="array" aca="1" ref="V95" ca="1">_xll.BDP($B95&amp;" Equity","ivol_mid")</f>
        <v>#NAME?</v>
      </c>
      <c r="W95" s="37" t="e" cm="1">
        <f t="array" aca="1" ref="W95" ca="1">_xll.BDP(B95&amp;" Equity","DELTA_MID_RT")</f>
        <v>#NAME?</v>
      </c>
      <c r="X95" s="47" t="e">
        <f ca="1">Y95/'Master P&amp;L'!$AE$5</f>
        <v>#NAME?</v>
      </c>
      <c r="Y95" s="15" t="e">
        <f ca="1">IF(G95="Sell", S95*W95*-H95*O95/N95, S95*W95*H95*O95/N95)</f>
        <v>#NAME?</v>
      </c>
      <c r="Z95" s="15" t="e" cm="1">
        <f t="array" aca="1" ref="Z95" ca="1">_xll.BDP($B95&amp;" Equity","opt_theta")*H95*O95/N95</f>
        <v>#NAME?</v>
      </c>
      <c r="AA95" s="18" t="e" cm="1">
        <f t="array" aca="1" ref="AA95" ca="1">_xll.BDP($B95&amp;" Equity","opt_theta")/I95</f>
        <v>#NAME?</v>
      </c>
      <c r="AB95" s="35" t="e" cm="1">
        <f t="array" aca="1" ref="AB95" ca="1">_xll.BDP($C95&amp;" Equity","EXPECTED_REPORT_DT")</f>
        <v>#NAME?</v>
      </c>
      <c r="AC95" s="15" t="e">
        <f ca="1">S95*H95*O95/N95</f>
        <v>#NAME?</v>
      </c>
      <c r="AD95" s="18" t="e">
        <f ca="1">AC95/'Master P&amp;L'!$AE$5</f>
        <v>#NAME?</v>
      </c>
      <c r="AE95" t="str">
        <f>B95  &amp; " - Buy to open " &amp;  "-" &amp; H95 &amp;"x"</f>
        <v>AMZN US 12/18/26 C230 - Buy to open -300x</v>
      </c>
      <c r="AK95" s="58" t="s">
        <v>482</v>
      </c>
    </row>
    <row r="96" spans="1:37">
      <c r="A96" s="191">
        <v>2</v>
      </c>
      <c r="B96" t="s">
        <v>1224</v>
      </c>
      <c r="C96" t="e" cm="1">
        <f t="array" aca="1" ref="C96" ca="1">_xll.BDP(B96&amp;" Equity","OPT_UNDL_TICKER")</f>
        <v>#NAME?</v>
      </c>
      <c r="D96" t="e" cm="1">
        <f t="array" aca="1" ref="D96" ca="1">_xll.BDP($B96&amp;" Index","mifid_Maturity_date")</f>
        <v>#NAME?</v>
      </c>
      <c r="E96" t="e" cm="1">
        <f t="array" aca="1" ref="E96" ca="1">_xll.BDP($B96&amp;" Index","opt_days_expire")</f>
        <v>#NAME?</v>
      </c>
      <c r="F96" t="e" cm="1">
        <f t="array" aca="1" ref="F96" ca="1">_xll.BDP(B96&amp;" Equity","QUOTED_CURRENCY_REALTIME")</f>
        <v>#NAME?</v>
      </c>
      <c r="G96" s="103" t="s">
        <v>191</v>
      </c>
      <c r="H96" s="128">
        <f>H95</f>
        <v>300</v>
      </c>
      <c r="I96" s="96" t="e">
        <f ca="1">IF(G96="Buy",L96,K96)</f>
        <v>#NAME?</v>
      </c>
      <c r="J96" s="18" t="e">
        <f ca="1">I96/S96</f>
        <v>#NAME?</v>
      </c>
      <c r="K96" s="35" t="e" cm="1">
        <f t="array" aca="1" ref="K96" ca="1">_xll.BDP($B96&amp;" Equity","bid")</f>
        <v>#NAME?</v>
      </c>
      <c r="L96" s="35" t="e" cm="1">
        <f t="array" aca="1" ref="L96" ca="1">_xll.BDP($B96&amp;" Equity","ask")</f>
        <v>#NAME?</v>
      </c>
      <c r="M96" s="39" t="e">
        <f ca="1">(L96/K96-1)</f>
        <v>#NAME?</v>
      </c>
      <c r="N96" s="35" t="e" cm="1">
        <f t="array" aca="1" ref="N96" ca="1">_xll.BDP(F96&amp;" Curncy","PX_LAST")</f>
        <v>#NAME?</v>
      </c>
      <c r="O96" s="132" t="e" cm="1">
        <f t="array" aca="1" ref="O96" ca="1">_xll.BDP(B96&amp;" Equity","OPT_MULTIPLIER")</f>
        <v>#NAME?</v>
      </c>
      <c r="P96" s="15" t="e">
        <f ca="1">IF(G96="Buy",((I96/N96)*H96*O96),((I96/N96)*-H96*O96))</f>
        <v>#NAME?</v>
      </c>
      <c r="Q96" s="57" t="e">
        <f ca="1">P96/'Master P&amp;L'!$AD$5*10000</f>
        <v>#NAME?</v>
      </c>
      <c r="R96" s="36" t="e" cm="1">
        <f t="array" aca="1" ref="R96" ca="1">_xll.BDP($C96&amp;" Equity","EST_PE_NXT_YR")*(T96/S96)</f>
        <v>#NAME?</v>
      </c>
      <c r="S96" s="35" t="e" cm="1">
        <f t="array" aca="1" ref="S96" ca="1">_xll.BDP(C96&amp;" Equity","LAST_PRICE")</f>
        <v>#NAME?</v>
      </c>
      <c r="T96" s="52" t="e" cm="1">
        <f t="array" aca="1" ref="T96" ca="1">_xll.BDP(B96&amp;" Equity","OPT_STRIKE_PX")</f>
        <v>#NAME?</v>
      </c>
      <c r="U96" s="39" t="e">
        <f ca="1">T96/S96-1</f>
        <v>#NAME?</v>
      </c>
      <c r="V96" s="36" t="e" cm="1">
        <f t="array" aca="1" ref="V96" ca="1">_xll.BDP($B96&amp;" Equity","ivol_mid")</f>
        <v>#NAME?</v>
      </c>
      <c r="W96" s="37" t="e" cm="1">
        <f t="array" aca="1" ref="W96" ca="1">_xll.BDP(B96&amp;" Equity","DELTA_MID_RT")</f>
        <v>#NAME?</v>
      </c>
      <c r="X96" s="47" t="e">
        <f ca="1">Y96/'Master P&amp;L'!$AE$5</f>
        <v>#NAME?</v>
      </c>
      <c r="Y96" s="15" t="e">
        <f ca="1">IF(G96="Sell", S96*W96*-H96*O96/N96, S96*W96*H96*O96/N96)</f>
        <v>#NAME?</v>
      </c>
      <c r="Z96" s="15" t="e" cm="1">
        <f t="array" aca="1" ref="Z96" ca="1">_xll.BDP($B96&amp;" Equity","opt_theta")*H96*O96/N96</f>
        <v>#NAME?</v>
      </c>
      <c r="AA96" s="18" t="e" cm="1">
        <f t="array" aca="1" ref="AA96" ca="1">_xll.BDP($B96&amp;" Equity","opt_theta")/I96</f>
        <v>#NAME?</v>
      </c>
      <c r="AB96" s="35" t="e" cm="1">
        <f t="array" aca="1" ref="AB96" ca="1">_xll.BDP($C96&amp;" Equity","EXPECTED_REPORT_DT")</f>
        <v>#NAME?</v>
      </c>
      <c r="AC96" s="15" t="e">
        <f ca="1">S96*H96*O96/N96</f>
        <v>#NAME?</v>
      </c>
      <c r="AD96" s="18" t="e">
        <f ca="1">AC96/'Master P&amp;L'!$AE$5</f>
        <v>#NAME?</v>
      </c>
      <c r="AE96" t="str">
        <f>B96  &amp; " - Buy to open " &amp;  "-" &amp; H96 &amp;"x"</f>
        <v>AMZN US 12/18/26 P180 - Buy to open -300x</v>
      </c>
      <c r="AK96" s="58" t="s">
        <v>482</v>
      </c>
    </row>
    <row r="97" spans="1:37">
      <c r="H97" s="99" t="s">
        <v>64</v>
      </c>
      <c r="I97" s="101" t="e">
        <f ca="1">I95-I94-I96</f>
        <v>#NAME?</v>
      </c>
      <c r="J97" s="99" t="s">
        <v>192</v>
      </c>
      <c r="K97" s="100" t="e">
        <f ca="1">K96/L95</f>
        <v>#NAME?</v>
      </c>
      <c r="P97" s="127" t="e">
        <f ca="1">P95+P96+P94</f>
        <v>#NAME?</v>
      </c>
      <c r="Q97" s="57" t="e">
        <f ca="1">P97/'Master P&amp;L'!$AD$5*10000</f>
        <v>#NAME?</v>
      </c>
      <c r="S97" s="99" t="s">
        <v>194</v>
      </c>
      <c r="T97" s="101"/>
      <c r="W97" s="99" t="s">
        <v>195</v>
      </c>
      <c r="X97" s="120" t="e">
        <f ca="1">X95+X96+X94</f>
        <v>#NAME?</v>
      </c>
      <c r="AC97" s="99" t="s">
        <v>172</v>
      </c>
      <c r="AD97" s="120" t="e">
        <f ca="1">AD95</f>
        <v>#NAME?</v>
      </c>
    </row>
    <row r="98" spans="1:37">
      <c r="B98" s="17" t="e">
        <f ca="1">((T94-T95)*(H95*100))+P97</f>
        <v>#NAME?</v>
      </c>
      <c r="H98" s="99" t="s">
        <v>196</v>
      </c>
      <c r="I98" s="101"/>
      <c r="J98" s="99" t="s">
        <v>90</v>
      </c>
      <c r="K98" s="107" t="e">
        <f ca="1">-AVERAGE(K94:L94)+AVERAGE(K95:L95)-AVERAGE(K96:L96)</f>
        <v>#NAME?</v>
      </c>
      <c r="P98" s="99"/>
      <c r="Q98" s="106"/>
      <c r="S98" s="99"/>
      <c r="T98" s="101"/>
      <c r="W98" s="99"/>
      <c r="X98" s="120"/>
      <c r="Y98" s="13" t="e">
        <f ca="1">(Y94+Y95+Y96)/S95</f>
        <v>#NAME?</v>
      </c>
      <c r="AC98" s="99"/>
      <c r="AD98" s="102"/>
    </row>
    <row r="99" spans="1:37">
      <c r="B99" s="205" t="e">
        <f ca="1">B98/'Master P&amp;L'!$AD$5*10000</f>
        <v>#NAME?</v>
      </c>
      <c r="D99" s="63"/>
      <c r="H99" s="95"/>
      <c r="I99" s="63" t="e">
        <f ca="1">I95-I94</f>
        <v>#NAME?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 t="e">
        <f ca="1">I104-I103</f>
        <v>#NAME?</v>
      </c>
      <c r="Q101" s="63" t="e">
        <f ca="1">Q104+Q105</f>
        <v>#NAME?</v>
      </c>
    </row>
    <row r="102" spans="1:37">
      <c r="A102">
        <v>300</v>
      </c>
      <c r="H102" s="205">
        <v>1</v>
      </c>
      <c r="I102" s="126" t="e">
        <f ca="1">(I104-I103)/I105</f>
        <v>#NAME?</v>
      </c>
      <c r="K102" s="126" t="e">
        <f ca="1">K103/K104</f>
        <v>#NAME?</v>
      </c>
      <c r="Q102" s="126" t="e">
        <f ca="1">(Q104+Q103)/Q105</f>
        <v>#NAME?</v>
      </c>
    </row>
    <row r="103" spans="1:37">
      <c r="A103" s="191">
        <v>2</v>
      </c>
      <c r="B103" t="s">
        <v>1225</v>
      </c>
      <c r="C103" t="e" cm="1">
        <f t="array" aca="1" ref="C103" ca="1">_xll.BDP(B103&amp;" Equity","OPT_UNDL_TICKER")</f>
        <v>#NAME?</v>
      </c>
      <c r="D103" t="e" cm="1">
        <f t="array" aca="1" ref="D103" ca="1">_xll.BDP($B103&amp;" Index","mifid_Maturity_date")</f>
        <v>#NAME?</v>
      </c>
      <c r="E103" t="e" cm="1">
        <f t="array" aca="1" ref="E103" ca="1">_xll.BDP($B103&amp;" Index","opt_days_expire")</f>
        <v>#NAME?</v>
      </c>
      <c r="F103" t="e" cm="1">
        <f t="array" aca="1" ref="F103" ca="1">_xll.BDP(B103&amp;" Equity","QUOTED_CURRENCY_REALTIME")</f>
        <v>#NAME?</v>
      </c>
      <c r="G103" s="103" t="s">
        <v>191</v>
      </c>
      <c r="H103" s="128">
        <v>300</v>
      </c>
      <c r="I103" s="96" t="e">
        <f ca="1">IF(G103="Buy",L103,K103)</f>
        <v>#NAME?</v>
      </c>
      <c r="J103" s="18" t="e">
        <f ca="1">I103/S103</f>
        <v>#NAME?</v>
      </c>
      <c r="K103" s="35" t="e" cm="1">
        <f t="array" aca="1" ref="K103" ca="1">_xll.BDP($B103&amp;" Equity","bid")</f>
        <v>#NAME?</v>
      </c>
      <c r="L103" s="35" t="e" cm="1">
        <f t="array" aca="1" ref="L103" ca="1">_xll.BDP($B103&amp;" Equity","ask")</f>
        <v>#NAME?</v>
      </c>
      <c r="M103" s="39" t="e">
        <f ca="1">(L103/K103-1)</f>
        <v>#NAME?</v>
      </c>
      <c r="N103" s="35" t="e" cm="1">
        <f t="array" aca="1" ref="N103" ca="1">_xll.BDP(F103&amp;" Curncy","PX_LAST")</f>
        <v>#NAME?</v>
      </c>
      <c r="O103" s="132" t="e" cm="1">
        <f t="array" aca="1" ref="O103" ca="1">_xll.BDP(B103&amp;" Equity","OPT_MULTIPLIER")</f>
        <v>#NAME?</v>
      </c>
      <c r="P103" s="15" t="e">
        <f ca="1">IF(G103="Buy",((I103/N103)*H103*O103),((I103/N103)*-H103*O103))</f>
        <v>#NAME?</v>
      </c>
      <c r="Q103" s="57" t="e">
        <f ca="1">P103/'Master P&amp;L'!$AD$5*10000</f>
        <v>#NAME?</v>
      </c>
      <c r="R103" s="36" t="e" cm="1">
        <f t="array" aca="1" ref="R103" ca="1">_xll.BDP($C103&amp;" Equity","EST_PE_NXT_YR")*(T103/S103)</f>
        <v>#NAME?</v>
      </c>
      <c r="S103" s="35" t="e">
        <f ca="1">_xll.BDP(C103&amp;" Equity","LAST_PRICE")</f>
        <v>#NAME?</v>
      </c>
      <c r="T103" s="52" t="e" cm="1">
        <f t="array" aca="1" ref="T103" ca="1">_xll.BDP(B103&amp;" Equity","OPT_STRIKE_PX")</f>
        <v>#NAME?</v>
      </c>
      <c r="U103" s="39" t="e">
        <f ca="1">T103/S103-1</f>
        <v>#NAME?</v>
      </c>
      <c r="V103" s="36" t="e" cm="1">
        <f t="array" aca="1" ref="V103" ca="1">_xll.BDP($B103&amp;" Equity","ivol_mid")</f>
        <v>#NAME?</v>
      </c>
      <c r="W103" s="37" t="e" cm="1">
        <f t="array" aca="1" ref="W103" ca="1">_xll.BDP(B103&amp;" Equity","DELTA_MID_RT")</f>
        <v>#NAME?</v>
      </c>
      <c r="X103" s="47" t="e">
        <f ca="1">Y103/'Master P&amp;L'!$AE$5</f>
        <v>#NAME?</v>
      </c>
      <c r="Y103" s="15" t="e">
        <f ca="1">IF(G103="Sell", S103*W103*-H103*O103/N103, S103*W103*H103*O103/N103)</f>
        <v>#NAME?</v>
      </c>
      <c r="Z103" s="15" t="e" cm="1">
        <f t="array" aca="1" ref="Z103" ca="1">_xll.BDP($B103&amp;" Equity","opt_theta")*H103*O103/N103</f>
        <v>#NAME?</v>
      </c>
      <c r="AA103" s="18" t="e" cm="1">
        <f t="array" aca="1" ref="AA103" ca="1">_xll.BDP($B103&amp;" Equity","opt_theta")/I103</f>
        <v>#NAME?</v>
      </c>
      <c r="AB103" s="35" t="e" cm="1">
        <f t="array" aca="1" ref="AB103" ca="1">_xll.BDP($C103&amp;" Equity","EXPECTED_REPORT_DT")</f>
        <v>#NAME?</v>
      </c>
      <c r="AC103" s="15" t="e">
        <f ca="1">S103*H103*O103/N103</f>
        <v>#NAME?</v>
      </c>
      <c r="AD103" s="18" t="e">
        <f ca="1">AC103/'Master P&amp;L'!$AE$5</f>
        <v>#NAME?</v>
      </c>
      <c r="AE103" t="str">
        <f>B103  &amp; " - Buy to open " &amp;  "-" &amp; H103 &amp;"x"</f>
        <v>AMZN US 07/17/26 C240 - Buy to open -300x</v>
      </c>
      <c r="AK103" s="58" t="s">
        <v>482</v>
      </c>
    </row>
    <row r="104" spans="1:37">
      <c r="A104" s="191">
        <v>2</v>
      </c>
      <c r="B104" t="s">
        <v>1222</v>
      </c>
      <c r="C104" t="e" cm="1">
        <f t="array" aca="1" ref="C104" ca="1">_xll.BDP(B104&amp;" Equity","OPT_UNDL_TICKER")</f>
        <v>#NAME?</v>
      </c>
      <c r="D104" t="e" cm="1">
        <f t="array" aca="1" ref="D104" ca="1">_xll.BDP($B104&amp;" Index","mifid_Maturity_date")</f>
        <v>#NAME?</v>
      </c>
      <c r="E104" t="e" cm="1">
        <f t="array" aca="1" ref="E104" ca="1">_xll.BDP($B104&amp;" Index","opt_days_expire")</f>
        <v>#NAME?</v>
      </c>
      <c r="F104" t="e" cm="1">
        <f t="array" aca="1" ref="F104" ca="1">_xll.BDP(B104&amp;" Equity","QUOTED_CURRENCY_REALTIME")</f>
        <v>#NAME?</v>
      </c>
      <c r="G104" s="103" t="s">
        <v>190</v>
      </c>
      <c r="H104" s="128"/>
      <c r="I104" s="96" t="e">
        <f ca="1">IF(G104="Buy",L104,K104)</f>
        <v>#NAME?</v>
      </c>
      <c r="J104" s="18" t="e">
        <f ca="1">I104/S104</f>
        <v>#NAME?</v>
      </c>
      <c r="K104" s="35" t="e" cm="1">
        <f t="array" aca="1" ref="K104" ca="1">_xll.BDP($B104&amp;" Equity","bid")</f>
        <v>#NAME?</v>
      </c>
      <c r="L104" s="35" t="e" cm="1">
        <f t="array" aca="1" ref="L104" ca="1">_xll.BDP($B104&amp;" Equity","ask")</f>
        <v>#NAME?</v>
      </c>
      <c r="M104" s="39" t="e">
        <f ca="1">(L104/K104-1)</f>
        <v>#NAME?</v>
      </c>
      <c r="N104" s="35" t="e" cm="1">
        <f t="array" aca="1" ref="N104" ca="1">_xll.BDP(F104&amp;" Curncy","PX_LAST")</f>
        <v>#NAME?</v>
      </c>
      <c r="O104" s="132" t="e" cm="1">
        <f t="array" aca="1" ref="O104" ca="1">_xll.BDP(B104&amp;" Equity","OPT_MULTIPLIER")</f>
        <v>#NAME?</v>
      </c>
      <c r="P104" s="15" t="e">
        <f ca="1">IF(G104="Buy",((I104/N104)*H104*O104),((I104/N104)*-H104*O104))</f>
        <v>#NAME?</v>
      </c>
      <c r="Q104" s="57" t="e">
        <f ca="1">P104/'Master P&amp;L'!$AD$5*10000</f>
        <v>#NAME?</v>
      </c>
      <c r="R104" s="36" t="e" cm="1">
        <f t="array" aca="1" ref="R104" ca="1">_xll.BDP($C104&amp;" Equity","EST_PE_NXT_YR")*(T104/S104)</f>
        <v>#NAME?</v>
      </c>
      <c r="S104" s="35" t="e">
        <f ca="1">_xll.BDP(C104&amp;" Equity","LAST_PRICE")</f>
        <v>#NAME?</v>
      </c>
      <c r="T104" s="52" t="e" cm="1">
        <f t="array" aca="1" ref="T104" ca="1">_xll.BDP(B104&amp;" Equity","OPT_STRIKE_PX")</f>
        <v>#NAME?</v>
      </c>
      <c r="U104" s="39" t="e">
        <f ca="1">T104/S104-1</f>
        <v>#NAME?</v>
      </c>
      <c r="V104" s="36" t="e" cm="1">
        <f t="array" aca="1" ref="V104" ca="1">_xll.BDP($B104&amp;" Equity","ivol_mid")</f>
        <v>#NAME?</v>
      </c>
      <c r="W104" s="37" t="e" cm="1">
        <f t="array" aca="1" ref="W104" ca="1">_xll.BDP(B104&amp;" Equity","DELTA_MID_RT")</f>
        <v>#NAME?</v>
      </c>
      <c r="X104" s="47" t="e">
        <f ca="1">Y104/'Master P&amp;L'!$AE$5</f>
        <v>#NAME?</v>
      </c>
      <c r="Y104" s="15" t="e">
        <f ca="1">IF(G104="Sell", S104*W104*-H104*O104/N104, S104*W104*H104*O104/N104)</f>
        <v>#NAME?</v>
      </c>
      <c r="Z104" s="15" t="e" cm="1">
        <f t="array" aca="1" ref="Z104" ca="1">_xll.BDP($B104&amp;" Equity","opt_theta")*H104*O104/N104</f>
        <v>#NAME?</v>
      </c>
      <c r="AA104" s="18" t="e" cm="1">
        <f t="array" aca="1" ref="AA104" ca="1">_xll.BDP($B104&amp;" Equity","opt_theta")/I104</f>
        <v>#NAME?</v>
      </c>
      <c r="AB104" s="35" t="e" cm="1">
        <f t="array" aca="1" ref="AB104" ca="1">_xll.BDP($C104&amp;" Equity","EXPECTED_REPORT_DT")</f>
        <v>#NAME?</v>
      </c>
      <c r="AC104" s="15" t="e">
        <f ca="1">S104*H104*O104/N104</f>
        <v>#NAME?</v>
      </c>
      <c r="AD104" s="18" t="e">
        <f ca="1">AC104/'Master P&amp;L'!$AE$5</f>
        <v>#NAME?</v>
      </c>
      <c r="AE104" t="str">
        <f>B104  &amp; " - Buy to open " &amp;  "-" &amp; H104 &amp;"x"</f>
        <v>AMZN US 07/17/26 C230 - Buy to open -x</v>
      </c>
      <c r="AK104" s="58" t="s">
        <v>482</v>
      </c>
    </row>
    <row r="105" spans="1:37">
      <c r="A105" s="191">
        <v>2</v>
      </c>
      <c r="B105" t="s">
        <v>1223</v>
      </c>
      <c r="C105" t="e" cm="1">
        <f t="array" aca="1" ref="C105" ca="1">_xll.BDP(B105&amp;" Equity","OPT_UNDL_TICKER")</f>
        <v>#NAME?</v>
      </c>
      <c r="D105" t="e" cm="1">
        <f t="array" aca="1" ref="D105" ca="1">_xll.BDP($B105&amp;" Index","mifid_Maturity_date")</f>
        <v>#NAME?</v>
      </c>
      <c r="E105" t="e" cm="1">
        <f t="array" aca="1" ref="E105" ca="1">_xll.BDP($B105&amp;" Index","opt_days_expire")</f>
        <v>#NAME?</v>
      </c>
      <c r="F105" t="e" cm="1">
        <f t="array" aca="1" ref="F105" ca="1">_xll.BDP(B105&amp;" Equity","QUOTED_CURRENCY_REALTIME")</f>
        <v>#NAME?</v>
      </c>
      <c r="G105" s="103" t="s">
        <v>191</v>
      </c>
      <c r="H105" s="128">
        <v>300</v>
      </c>
      <c r="I105" s="96" t="e">
        <f ca="1">IF(G105="Buy",L105,K105)</f>
        <v>#NAME?</v>
      </c>
      <c r="J105" s="18" t="e">
        <f ca="1">I105/S105</f>
        <v>#NAME?</v>
      </c>
      <c r="K105" s="35" t="e" cm="1">
        <f t="array" aca="1" ref="K105" ca="1">_xll.BDP($B105&amp;" Equity","bid")</f>
        <v>#NAME?</v>
      </c>
      <c r="L105" s="35" t="e" cm="1">
        <f t="array" aca="1" ref="L105" ca="1">_xll.BDP($B105&amp;" Equity","ask")</f>
        <v>#NAME?</v>
      </c>
      <c r="M105" s="39" t="e">
        <f ca="1">(L105/K105-1)</f>
        <v>#NAME?</v>
      </c>
      <c r="N105" s="35" t="e" cm="1">
        <f t="array" aca="1" ref="N105" ca="1">_xll.BDP(F105&amp;" Curncy","PX_LAST")</f>
        <v>#NAME?</v>
      </c>
      <c r="O105" s="132" t="e" cm="1">
        <f t="array" aca="1" ref="O105" ca="1">_xll.BDP(B105&amp;" Equity","OPT_MULTIPLIER")</f>
        <v>#NAME?</v>
      </c>
      <c r="P105" s="15" t="e">
        <f ca="1">IF(G105="Buy",((I105/N105)*H105*O105),((I105/N105)*-H105*O105))</f>
        <v>#NAME?</v>
      </c>
      <c r="Q105" s="57" t="e">
        <f ca="1">P105/'Master P&amp;L'!$AD$5*10000</f>
        <v>#NAME?</v>
      </c>
      <c r="R105" s="36" t="e" cm="1">
        <f t="array" aca="1" ref="R105" ca="1">_xll.BDP($C105&amp;" Equity","EST_PE_NXT_YR")*(T105/S105)</f>
        <v>#NAME?</v>
      </c>
      <c r="S105" s="35" t="e" cm="1">
        <f t="array" aca="1" ref="S105" ca="1">_xll.BDP(C105&amp;" Equity","LAST_PRICE")</f>
        <v>#NAME?</v>
      </c>
      <c r="T105" s="52" t="e" cm="1">
        <f t="array" aca="1" ref="T105" ca="1">_xll.BDP(B105&amp;" Equity","OPT_STRIKE_PX")</f>
        <v>#NAME?</v>
      </c>
      <c r="U105" s="39" t="e">
        <f ca="1">T105/S105-1</f>
        <v>#NAME?</v>
      </c>
      <c r="V105" s="36" t="e" cm="1">
        <f t="array" aca="1" ref="V105" ca="1">_xll.BDP($B105&amp;" Equity","ivol_mid")</f>
        <v>#NAME?</v>
      </c>
      <c r="W105" s="37" t="e" cm="1">
        <f t="array" aca="1" ref="W105" ca="1">_xll.BDP(B105&amp;" Equity","DELTA_MID_RT")</f>
        <v>#NAME?</v>
      </c>
      <c r="X105" s="47" t="e">
        <f ca="1">Y105/'Master P&amp;L'!$AE$5</f>
        <v>#NAME?</v>
      </c>
      <c r="Y105" s="15" t="e">
        <f ca="1">IF(G105="Sell", S105*W105*-H105*O105/N105, S105*W105*H105*O105/N105)</f>
        <v>#NAME?</v>
      </c>
      <c r="Z105" s="15" t="e" cm="1">
        <f t="array" aca="1" ref="Z105" ca="1">_xll.BDP($B105&amp;" Equity","opt_theta")*H105*O105/N105</f>
        <v>#NAME?</v>
      </c>
      <c r="AA105" s="18" t="e" cm="1">
        <f t="array" aca="1" ref="AA105" ca="1">_xll.BDP($B105&amp;" Equity","opt_theta")/I105</f>
        <v>#NAME?</v>
      </c>
      <c r="AB105" s="35" t="e" cm="1">
        <f t="array" aca="1" ref="AB105" ca="1">_xll.BDP($C105&amp;" Equity","EXPECTED_REPORT_DT")</f>
        <v>#NAME?</v>
      </c>
      <c r="AC105" s="15" t="e">
        <f ca="1">S105*H105*O105/N105</f>
        <v>#NAME?</v>
      </c>
      <c r="AD105" s="18" t="e">
        <f ca="1">AC105/'Master P&amp;L'!$AE$5</f>
        <v>#NAME?</v>
      </c>
      <c r="AE105" t="str">
        <f>B105  &amp; " - Buy to open " &amp;  "-" &amp; H105 &amp;"x"</f>
        <v>AMZN US 07/17/26 P180 - Buy to open -300x</v>
      </c>
      <c r="AK105" s="58" t="s">
        <v>482</v>
      </c>
    </row>
    <row r="106" spans="1:37">
      <c r="H106" s="99" t="s">
        <v>64</v>
      </c>
      <c r="I106" s="101" t="e">
        <f ca="1">I104-I103-I105</f>
        <v>#NAME?</v>
      </c>
      <c r="J106" s="99" t="s">
        <v>192</v>
      </c>
      <c r="K106" s="100" t="e">
        <f ca="1">K105/L104</f>
        <v>#NAME?</v>
      </c>
      <c r="P106" s="127" t="e">
        <f ca="1">P104+P105+P103</f>
        <v>#NAME?</v>
      </c>
      <c r="Q106" s="57" t="e">
        <f ca="1">P106/'Master P&amp;L'!$AD$5*10000</f>
        <v>#NAME?</v>
      </c>
      <c r="S106" s="99" t="s">
        <v>194</v>
      </c>
      <c r="T106" s="101"/>
      <c r="W106" s="99" t="s">
        <v>195</v>
      </c>
      <c r="X106" s="120" t="e">
        <f ca="1">X104+X105+X103</f>
        <v>#NAME?</v>
      </c>
      <c r="AC106" s="99" t="s">
        <v>172</v>
      </c>
      <c r="AD106" s="120" t="e">
        <f ca="1">AD104</f>
        <v>#NAME?</v>
      </c>
    </row>
    <row r="107" spans="1:37">
      <c r="H107" s="99" t="s">
        <v>196</v>
      </c>
      <c r="I107" s="101"/>
      <c r="J107" s="99" t="s">
        <v>90</v>
      </c>
      <c r="K107" s="107" t="e">
        <f ca="1">-AVERAGE(K103:L103)+AVERAGE(K104:L104)-AVERAGE(K105:L105)</f>
        <v>#NAME?</v>
      </c>
      <c r="P107" s="99"/>
      <c r="Q107" s="106"/>
      <c r="S107" s="99"/>
      <c r="T107" s="101"/>
      <c r="W107" s="99"/>
      <c r="X107" s="120"/>
      <c r="Y107" s="13" t="e">
        <f ca="1">(Y103+Y104+Y105)/S104</f>
        <v>#NAME?</v>
      </c>
      <c r="AC107" s="99"/>
      <c r="AD107" s="102"/>
    </row>
    <row r="108" spans="1:37">
      <c r="D108" s="63"/>
      <c r="H108" s="95">
        <v>186</v>
      </c>
      <c r="I108" s="63" t="e">
        <f ca="1">(I104*A104)-(I105*A105)-(I103*A103)</f>
        <v>#NAME?</v>
      </c>
      <c r="K108" s="63"/>
      <c r="N108" s="35"/>
      <c r="O108" s="132"/>
      <c r="P108" s="15"/>
      <c r="Q108" s="57"/>
      <c r="X108" s="70" t="e">
        <f ca="1">AD106+X106</f>
        <v>#NAME?</v>
      </c>
    </row>
    <row r="109" spans="1:37">
      <c r="I109" s="63"/>
      <c r="K109" s="63"/>
    </row>
    <row r="110" spans="1:37">
      <c r="G110" s="63" t="e">
        <f ca="1">H110/$S$103-1</f>
        <v>#NAME?</v>
      </c>
      <c r="H110" s="205" t="e">
        <f ca="1">$I$110+T103</f>
        <v>#NAME?</v>
      </c>
      <c r="I110" s="63" t="e">
        <f ca="1">I103+I105</f>
        <v>#NAME?</v>
      </c>
      <c r="K110" s="63"/>
      <c r="Q110" s="126" t="e">
        <f>(#REF!+#REF!)/#REF!</f>
        <v>#REF!</v>
      </c>
    </row>
    <row r="111" spans="1:37">
      <c r="G111" s="63" t="e">
        <f ca="1">H111/$S$103-1</f>
        <v>#NAME?</v>
      </c>
      <c r="H111" s="63" t="e">
        <f ca="1">T105-I110</f>
        <v>#NAME?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M9" sqref="M9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421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IF(B5="","",IF(LEN(B5)&gt;9,SUMIFS(Options!$H$3:$H$28,Options!$B$3:$B$28,Check!B5),SUMIFS('Master P&amp;L'!$H$11:$H$88,'Master P&amp;L'!$B$11:$B$88,Check!B5)))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1177</v>
      </c>
      <c r="P5" s="173">
        <f>IF(O5="","",IF(OR(LEFT(O5,4)="Cash",LEFT(O5,4)="Prov"),0,SUMIFS(Input_APM!N:N,Input_APM!L:L,Check!O5)))</f>
        <v>1973</v>
      </c>
      <c r="Q5" s="21">
        <f>IF(O5="","",IF(LEN(O5)&gt;9,SUMIFS(Options!$H$3:$H$28,Options!$B$3:$B$28,Check!O5),SUMIFS('Master P&amp;L'!$H$11:$H$88,'Master P&amp;L'!$B$11:$B$88,Check!O5)))</f>
        <v>2700</v>
      </c>
      <c r="R5" s="173">
        <f>IF(O5="","",P5-Q5)</f>
        <v>-727</v>
      </c>
      <c r="S5" s="288">
        <f>IF(O5="","",IF((P5+Q5)=0,"Ok",IF(OR(P5=0,Q5=0),"Erro",P5/Q5)))</f>
        <v>0.73074074074074069</v>
      </c>
      <c r="V5" s="13"/>
    </row>
    <row r="6" spans="2:22">
      <c r="B6" t="s">
        <v>334</v>
      </c>
      <c r="C6" s="187">
        <f>IF(B6="","",IF(LEN(B6)&gt;9,SUMIFS(Options!$H$3:$H$28,Options!$B$3:$B$28,Check!B6),SUMIFS('Master P&amp;L'!$H$11:$H$88,'Master P&amp;L'!$B$11:$B$88,Check!B6)))</f>
        <v>3678</v>
      </c>
      <c r="D6" s="187">
        <f>IF(B6="","",SUMIFS(Input_APM!N:N,Input_APM!L:L,Check!B6,Input_APM!M:M,Check!$F$1))</f>
        <v>3445</v>
      </c>
      <c r="E6" s="175">
        <f>IF(B6="","",C6-M6)</f>
        <v>0</v>
      </c>
      <c r="F6" s="187">
        <f>IF(B6="","",SUMIFS(Input_APM!N:N,Input_APM!M:M,Check!$F$1,Input_APM!L:L,Check!B6))</f>
        <v>3445</v>
      </c>
      <c r="G6" s="187">
        <f>IF(B6="","",SUMIFS(Input_APM!N:N,Input_APM!M:M,Check!$G$1,Input_APM!L:L,Check!B6))</f>
        <v>0</v>
      </c>
      <c r="H6" s="173">
        <f t="shared" ref="H6:H69" si="0">IF(B6="","",F6-G6)</f>
        <v>3445</v>
      </c>
      <c r="I6" s="173">
        <f>SUMIFS(Input_APM!N:N,Input_APM!L:L,Check!B6)</f>
        <v>3445</v>
      </c>
      <c r="J6" s="175">
        <f>IF(B6="","",(F6+G6)-I6)</f>
        <v>0</v>
      </c>
      <c r="K6" s="21">
        <f>IF(B6="","",SUMIFS('Input_APM (Zenith)'!N:N,'Input_APM (Zenith)'!L:L,Check!B6,'Input_APM (Zenith)'!M:M,Check!$F$1))</f>
        <v>233</v>
      </c>
      <c r="L6" s="21">
        <f>IF(B6="","",SUMIFS('Input_APM (Zenith)'!N:N,'Input_APM (Zenith)'!L:L,Check!B6,'Input_APM (Zenith)'!M:M,Check!$G$1))</f>
        <v>0</v>
      </c>
      <c r="M6" s="193">
        <f>IF(B6="","",F6+G6+K6+L6)</f>
        <v>3678</v>
      </c>
      <c r="O6" t="s">
        <v>1169</v>
      </c>
      <c r="P6" s="173">
        <f>IF(O6="","",IF(OR(LEFT(O6,4)="Cash",LEFT(O6,4)="Prov"),0,SUMIFS(Input_APM!N:N,Input_APM!L:L,Check!O6)))</f>
        <v>-9389000</v>
      </c>
      <c r="Q6" s="21">
        <f>IF(O6="","",IF(LEN(O6)&gt;9,SUMIFS(Options!$H$3:$H$28,Options!$B$3:$B$28,Check!O6),SUMIFS('Master P&amp;L'!$H$11:$H$88,'Master P&amp;L'!$B$11:$B$88,Check!O6)))</f>
        <v>0</v>
      </c>
      <c r="R6" s="173">
        <f t="shared" ref="R6:R69" si="1">IF(O6="","",P6-Q6)</f>
        <v>-9389000</v>
      </c>
      <c r="S6" s="288" t="str">
        <f t="shared" ref="S6:S69" si="2">IF(O6="","",IF((P6+Q6)=0,"Ok",IF(OR(P6=0,Q6=0),"Erro",P6/Q6)))</f>
        <v>Erro</v>
      </c>
      <c r="V6" s="13"/>
    </row>
    <row r="7" spans="2:22">
      <c r="B7" t="s">
        <v>801</v>
      </c>
      <c r="C7" s="187">
        <f>IF(B7="","",IF(LEN(B7)&gt;9,SUMIFS(Options!$H$3:$H$28,Options!$B$3:$B$28,Check!B7),SUMIFS('Master P&amp;L'!$H$11:$H$88,'Master P&amp;L'!$B$11:$B$88,Check!B7)))</f>
        <v>4500</v>
      </c>
      <c r="D7" s="187">
        <f>IF(B7="","",SUMIFS(Input_APM!N:N,Input_APM!L:L,Check!B7,Input_APM!M:M,Check!$F$1))</f>
        <v>3943</v>
      </c>
      <c r="E7" s="175">
        <f>IF(B7="","",C7-M7)</f>
        <v>290</v>
      </c>
      <c r="F7" s="187">
        <f>IF(B7="","",SUMIFS(Input_APM!N:N,Input_APM!M:M,Check!$F$1,Input_APM!L:L,Check!B7))</f>
        <v>3943</v>
      </c>
      <c r="G7" s="187">
        <f>IF(B7="","",SUMIFS(Input_APM!N:N,Input_APM!M:M,Check!$G$1,Input_APM!L:L,Check!B7))</f>
        <v>0</v>
      </c>
      <c r="H7" s="173">
        <f>IF(B7="","",F7-G7)</f>
        <v>3943</v>
      </c>
      <c r="I7" s="173">
        <f>SUMIFS(Input_APM!N:N,Input_APM!L:L,Check!B7)</f>
        <v>3943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267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4210</v>
      </c>
      <c r="O7" t="s">
        <v>7</v>
      </c>
      <c r="P7" s="173">
        <f>IF(O7="","",IF(OR(LEFT(O7,4)="Cash",LEFT(O7,4)="Prov"),0,SUMIFS(Input_APM!N:N,Input_APM!L:L,Check!O7)))</f>
        <v>9393</v>
      </c>
      <c r="Q7" s="21">
        <f>IF(O7="","",IF(LEN(O7)&gt;9,SUMIFS(Options!$H$3:$H$28,Options!$B$3:$B$28,Check!O7),SUMIFS('Master P&amp;L'!$H$11:$H$88,'Master P&amp;L'!$B$11:$B$88,Check!O7)))</f>
        <v>10000</v>
      </c>
      <c r="R7" s="173">
        <f t="shared" si="1"/>
        <v>-607</v>
      </c>
      <c r="S7" s="288">
        <f t="shared" si="2"/>
        <v>0.93930000000000002</v>
      </c>
      <c r="V7" s="13"/>
    </row>
    <row r="8" spans="2:22">
      <c r="B8" t="s">
        <v>7</v>
      </c>
      <c r="C8" s="187">
        <f>IF(B8="","",IF(LEN(B8)&gt;9,SUMIFS(Options!$H$3:$H$28,Options!$B$3:$B$28,Check!B8),SUMIFS('Master P&amp;L'!$H$11:$H$88,'Master P&amp;L'!$B$11:$B$88,Check!B8)))</f>
        <v>10000</v>
      </c>
      <c r="D8" s="187">
        <f>IF(B8="","",SUMIFS(Input_APM!N:N,Input_APM!L:L,Check!B8,Input_APM!M:M,Check!$F$1))</f>
        <v>9393</v>
      </c>
      <c r="E8" s="175">
        <f>IF(B8="","",C8-M8)</f>
        <v>0</v>
      </c>
      <c r="F8" s="187">
        <f>IF(B8="","",SUMIFS(Input_APM!N:N,Input_APM!M:M,Check!$F$1,Input_APM!L:L,Check!B8))</f>
        <v>9393</v>
      </c>
      <c r="G8" s="187">
        <f>IF(B8="","",SUMIFS(Input_APM!N:N,Input_APM!M:M,Check!$G$1,Input_APM!L:L,Check!B8))</f>
        <v>0</v>
      </c>
      <c r="H8" s="173">
        <f t="shared" si="0"/>
        <v>9393</v>
      </c>
      <c r="I8" s="173">
        <f>SUMIFS(Input_APM!N:N,Input_APM!L:L,Check!B8)</f>
        <v>9393</v>
      </c>
      <c r="J8" s="175">
        <f t="shared" si="3"/>
        <v>0</v>
      </c>
      <c r="K8" s="21">
        <f>IF(B8="","",SUMIFS('Input_APM (Zenith)'!N:N,'Input_APM (Zenith)'!L:L,Check!B8,'Input_APM (Zenith)'!M:M,Check!$F$1))</f>
        <v>607</v>
      </c>
      <c r="L8" s="21">
        <f>IF(B8="","",SUMIFS('Input_APM (Zenith)'!N:N,'Input_APM (Zenith)'!L:L,Check!B8,'Input_APM (Zenith)'!M:M,Check!$G$1))</f>
        <v>0</v>
      </c>
      <c r="M8" s="193">
        <f t="shared" si="4"/>
        <v>10000</v>
      </c>
      <c r="O8" t="s">
        <v>886</v>
      </c>
      <c r="P8" s="173">
        <f>IF(O8="","",IF(OR(LEFT(O8,4)="Cash",LEFT(O8,4)="Prov"),0,SUMIFS(Input_APM!N:N,Input_APM!L:L,Check!O8)))</f>
        <v>1874</v>
      </c>
      <c r="Q8" s="21">
        <f>IF(O8="","",IF(LEN(O8)&gt;9,SUMIFS(Options!$H$3:$H$28,Options!$B$3:$B$28,Check!O8),SUMIFS('Master P&amp;L'!$H$11:$H$88,'Master P&amp;L'!$B$11:$B$88,Check!O8)))</f>
        <v>2000</v>
      </c>
      <c r="R8" s="173">
        <f t="shared" si="1"/>
        <v>-126</v>
      </c>
      <c r="S8" s="288">
        <f t="shared" si="2"/>
        <v>0.93700000000000006</v>
      </c>
      <c r="V8" s="13"/>
    </row>
    <row r="9" spans="2:22">
      <c r="B9" t="s">
        <v>574</v>
      </c>
      <c r="C9" s="187">
        <f>IF(B9="","",IF(LEN(B9)&gt;9,SUMIFS(Options!$H$3:$H$28,Options!$B$3:$B$28,Check!B9),SUMIFS('Master P&amp;L'!$H$11:$H$88,'Master P&amp;L'!$B$11:$B$88,Check!B9)))</f>
        <v>-15</v>
      </c>
      <c r="D9" s="187">
        <f>IF(B9="","",SUMIFS(Input_APM!N:N,Input_APM!L:L,Check!B9,Input_APM!M:M,Check!$F$1))</f>
        <v>0</v>
      </c>
      <c r="E9" s="175">
        <f>IF(B9="","",C9-M9)</f>
        <v>-15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1192</v>
      </c>
      <c r="P9" s="173">
        <f>IF(O9="","",IF(OR(LEFT(O9,4)="Cash",LEFT(O9,4)="Prov"),0,SUMIFS(Input_APM!N:N,Input_APM!L:L,Check!O9)))</f>
        <v>469</v>
      </c>
      <c r="Q9" s="21">
        <f>IF(O9="","",IF(LEN(O9)&gt;9,SUMIFS(Options!$H$3:$H$28,Options!$B$3:$B$28,Check!O9),SUMIFS('Master P&amp;L'!$H$11:$H$88,'Master P&amp;L'!$B$11:$B$88,Check!O9)))</f>
        <v>500</v>
      </c>
      <c r="R9" s="173">
        <f t="shared" si="1"/>
        <v>-31</v>
      </c>
      <c r="S9" s="288">
        <f t="shared" si="2"/>
        <v>0.93799999999999994</v>
      </c>
      <c r="V9" s="13"/>
    </row>
    <row r="10" spans="2:22">
      <c r="B10" t="s">
        <v>808</v>
      </c>
      <c r="C10" s="187">
        <f>IF(B10="","",IF(LEN(B10)&gt;9,SUMIFS(Options!$H$3:$H$28,Options!$B$3:$B$28,Check!B10),SUMIFS('Master P&amp;L'!$H$11:$H$88,'Master P&amp;L'!$B$11:$B$88,Check!B10)))</f>
        <v>2000</v>
      </c>
      <c r="D10" s="187">
        <f>IF(B10="","",SUMIFS(Input_APM!N:N,Input_APM!L:L,Check!B10,Input_APM!M:M,Check!$F$1))</f>
        <v>4670</v>
      </c>
      <c r="E10" s="173">
        <f t="shared" ref="E10:E65" si="5">IF(B10="","",C10-M10)</f>
        <v>-3000</v>
      </c>
      <c r="F10" s="187">
        <f>IF(B10="","",SUMIFS(Input_APM!N:N,Input_APM!M:M,Check!$F$1,Input_APM!L:L,Check!B10))</f>
        <v>4670</v>
      </c>
      <c r="G10" s="187">
        <f>IF(B10="","",SUMIFS(Input_APM!N:N,Input_APM!M:M,Check!$G$1,Input_APM!L:L,Check!B10))</f>
        <v>0</v>
      </c>
      <c r="H10" s="173">
        <f t="shared" si="0"/>
        <v>4670</v>
      </c>
      <c r="I10" s="173">
        <f>SUMIFS(Input_APM!N:N,Input_APM!L:L,Check!B10)</f>
        <v>4670</v>
      </c>
      <c r="J10" s="175">
        <f t="shared" si="3"/>
        <v>0</v>
      </c>
      <c r="K10" s="21">
        <f>IF(B10="","",SUMIFS('Input_APM (Zenith)'!N:N,'Input_APM (Zenith)'!L:L,Check!B10,'Input_APM (Zenith)'!M:M,Check!$F$1))</f>
        <v>330</v>
      </c>
      <c r="L10" s="21">
        <f>IF(B10="","",SUMIFS('Input_APM (Zenith)'!N:N,'Input_APM (Zenith)'!L:L,Check!B10,'Input_APM (Zenith)'!M:M,Check!$G$1))</f>
        <v>0</v>
      </c>
      <c r="M10" s="193">
        <f t="shared" si="4"/>
        <v>5000</v>
      </c>
      <c r="O10" t="s">
        <v>84</v>
      </c>
      <c r="P10" s="173">
        <f>IF(O10="","",IF(OR(LEFT(O10,4)="Cash",LEFT(O10,4)="Prov"),0,SUMIFS(Input_APM!N:N,Input_APM!L:L,Check!O10)))</f>
        <v>15493</v>
      </c>
      <c r="Q10" s="21">
        <f>IF(O10="","",IF(LEN(O10)&gt;9,SUMIFS(Options!$H$3:$H$28,Options!$B$3:$B$28,Check!O10),SUMIFS('Master P&amp;L'!$H$11:$H$88,'Master P&amp;L'!$B$11:$B$88,Check!O10)))</f>
        <v>16400</v>
      </c>
      <c r="R10" s="173">
        <f t="shared" si="1"/>
        <v>-907</v>
      </c>
      <c r="S10" s="288">
        <f t="shared" si="2"/>
        <v>0.94469512195121952</v>
      </c>
      <c r="V10" s="13"/>
    </row>
    <row r="11" spans="2:22">
      <c r="B11" t="s">
        <v>29</v>
      </c>
      <c r="C11" s="187">
        <f>IF(B11="","",IF(LEN(B11)&gt;9,SUMIFS(Options!$H$3:$H$28,Options!$B$3:$B$28,Check!B11),SUMIFS('Master P&amp;L'!$H$11:$H$88,'Master P&amp;L'!$B$11:$B$88,Check!B11)))</f>
        <v>8100</v>
      </c>
      <c r="D11" s="187">
        <f>IF(B11="","",SUMIFS(Input_APM!N:N,Input_APM!L:L,Check!B11,Input_APM!M:M,Check!$F$1))</f>
        <v>7610</v>
      </c>
      <c r="E11" s="173">
        <f t="shared" si="5"/>
        <v>0</v>
      </c>
      <c r="F11" s="187">
        <f>IF(B11="","",SUMIFS(Input_APM!N:N,Input_APM!M:M,Check!$F$1,Input_APM!L:L,Check!B11))</f>
        <v>7610</v>
      </c>
      <c r="G11" s="187">
        <f>IF(B11="","",SUMIFS(Input_APM!N:N,Input_APM!M:M,Check!$G$1,Input_APM!L:L,Check!B11))</f>
        <v>0</v>
      </c>
      <c r="H11" s="173">
        <f t="shared" si="0"/>
        <v>7610</v>
      </c>
      <c r="I11" s="173">
        <f>SUMIFS(Input_APM!N:N,Input_APM!L:L,Check!B11)</f>
        <v>7610</v>
      </c>
      <c r="J11" s="175">
        <f t="shared" si="3"/>
        <v>0</v>
      </c>
      <c r="K11" s="21">
        <f>IF(B11="","",SUMIFS('Input_APM (Zenith)'!N:N,'Input_APM (Zenith)'!L:L,Check!B11,'Input_APM (Zenith)'!M:M,Check!$F$1))</f>
        <v>490</v>
      </c>
      <c r="L11" s="21">
        <f>IF(B11="","",SUMIFS('Input_APM (Zenith)'!N:N,'Input_APM (Zenith)'!L:L,Check!B11,'Input_APM (Zenith)'!M:M,Check!$G$1))</f>
        <v>0</v>
      </c>
      <c r="M11" s="193">
        <f t="shared" si="4"/>
        <v>8100</v>
      </c>
      <c r="O11" t="s">
        <v>766</v>
      </c>
      <c r="P11" s="173">
        <f>IF(O11="","",IF(OR(LEFT(O11,4)="Cash",LEFT(O11,4)="Prov"),0,SUMIFS(Input_APM!N:N,Input_APM!L:L,Check!O11)))</f>
        <v>114</v>
      </c>
      <c r="Q11" s="21">
        <f>IF(O11="","",IF(LEN(O11)&gt;9,SUMIFS(Options!$H$3:$H$28,Options!$B$3:$B$28,Check!O11),SUMIFS('Master P&amp;L'!$H$11:$H$88,'Master P&amp;L'!$B$11:$B$88,Check!O11)))</f>
        <v>120</v>
      </c>
      <c r="R11" s="173">
        <f t="shared" si="1"/>
        <v>-6</v>
      </c>
      <c r="S11" s="288">
        <f t="shared" si="2"/>
        <v>0.95</v>
      </c>
      <c r="V11" s="13"/>
    </row>
    <row r="12" spans="2:22">
      <c r="B12" t="s">
        <v>1104</v>
      </c>
      <c r="C12" s="187">
        <f>IF(B12="","",IF(LEN(B12)&gt;9,SUMIFS(Options!$H$3:$H$28,Options!$B$3:$B$28,Check!B12),SUMIFS('Master P&amp;L'!$H$11:$H$88,'Master P&amp;L'!$B$11:$B$88,Check!B12)))</f>
        <v>0</v>
      </c>
      <c r="D12" s="187">
        <f>IF(B12="","",SUMIFS(Input_APM!N:N,Input_APM!L:L,Check!B12,Input_APM!M:M,Check!$F$1))</f>
        <v>0</v>
      </c>
      <c r="E12" s="173">
        <f t="shared" si="5"/>
        <v>0</v>
      </c>
      <c r="F12" s="187">
        <f>IF(B12="","",SUMIFS(Input_APM!N:N,Input_APM!M:M,Check!$F$1,Input_APM!L:L,Check!B12))</f>
        <v>0</v>
      </c>
      <c r="G12" s="187">
        <f>IF(B12="","",SUMIFS(Input_APM!N:N,Input_APM!M:M,Check!$G$1,Input_APM!L:L,Check!B12))</f>
        <v>0</v>
      </c>
      <c r="H12" s="173">
        <f t="shared" si="0"/>
        <v>0</v>
      </c>
      <c r="I12" s="173">
        <f>SUMIFS(Input_APM!N:N,Input_APM!L:L,Check!B12)</f>
        <v>0</v>
      </c>
      <c r="J12" s="175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193">
        <f t="shared" si="4"/>
        <v>0</v>
      </c>
      <c r="O12" t="s">
        <v>334</v>
      </c>
      <c r="P12" s="173">
        <f>IF(O12="","",IF(OR(LEFT(O12,4)="Cash",LEFT(O12,4)="Prov"),0,SUMIFS(Input_APM!N:N,Input_APM!L:L,Check!O12)))</f>
        <v>3445</v>
      </c>
      <c r="Q12" s="21">
        <f>IF(O12="","",IF(LEN(O12)&gt;9,SUMIFS(Options!$H$3:$H$28,Options!$B$3:$B$28,Check!O12),SUMIFS('Master P&amp;L'!$H$11:$H$88,'Master P&amp;L'!$B$11:$B$88,Check!O12)))</f>
        <v>3678</v>
      </c>
      <c r="R12" s="173">
        <f t="shared" si="1"/>
        <v>-233</v>
      </c>
      <c r="S12" s="288">
        <f t="shared" si="2"/>
        <v>0.93665035345296355</v>
      </c>
      <c r="V12" s="13"/>
    </row>
    <row r="13" spans="2:22">
      <c r="B13" t="s">
        <v>426</v>
      </c>
      <c r="C13" s="187">
        <f>IF(B13="","",IF(LEN(B13)&gt;9,SUMIFS(Options!$H$3:$H$28,Options!$B$3:$B$28,Check!B13),SUMIFS('Master P&amp;L'!$H$11:$H$88,'Master P&amp;L'!$B$11:$B$88,Check!B13)))</f>
        <v>38496</v>
      </c>
      <c r="D13" s="187">
        <f>IF(B13="","",SUMIFS(Input_APM!N:N,Input_APM!L:L,Check!B13,Input_APM!M:M,Check!$F$1))</f>
        <v>28499</v>
      </c>
      <c r="E13" s="175">
        <f t="shared" si="5"/>
        <v>8000</v>
      </c>
      <c r="F13" s="187">
        <f>IF(B13="","",SUMIFS(Input_APM!N:N,Input_APM!M:M,Check!$F$1,Input_APM!L:L,Check!B13))</f>
        <v>28499</v>
      </c>
      <c r="G13" s="187">
        <f>IF(B13="","",SUMIFS(Input_APM!N:N,Input_APM!M:M,Check!$G$1,Input_APM!L:L,Check!B13))</f>
        <v>0</v>
      </c>
      <c r="H13" s="173">
        <f t="shared" si="0"/>
        <v>28499</v>
      </c>
      <c r="I13" s="173">
        <f>SUMIFS(Input_APM!N:N,Input_APM!L:L,Check!B13)</f>
        <v>28499</v>
      </c>
      <c r="J13" s="175">
        <f t="shared" si="3"/>
        <v>0</v>
      </c>
      <c r="K13" s="21">
        <f>IF(B13="","",SUMIFS('Input_APM (Zenith)'!N:N,'Input_APM (Zenith)'!L:L,Check!B13,'Input_APM (Zenith)'!M:M,Check!$F$1))</f>
        <v>1997</v>
      </c>
      <c r="L13" s="21">
        <f>IF(B13="","",SUMIFS('Input_APM (Zenith)'!N:N,'Input_APM (Zenith)'!L:L,Check!B13,'Input_APM (Zenith)'!M:M,Check!$G$1))</f>
        <v>0</v>
      </c>
      <c r="M13" s="193">
        <f t="shared" si="4"/>
        <v>30496</v>
      </c>
      <c r="O13" t="s">
        <v>801</v>
      </c>
      <c r="P13" s="173">
        <f>IF(O13="","",IF(OR(LEFT(O13,4)="Cash",LEFT(O13,4)="Prov"),0,SUMIFS(Input_APM!N:N,Input_APM!L:L,Check!O13)))</f>
        <v>3943</v>
      </c>
      <c r="Q13" s="21">
        <f>IF(O13="","",IF(LEN(O13)&gt;9,SUMIFS(Options!$H$3:$H$28,Options!$B$3:$B$28,Check!O13),SUMIFS('Master P&amp;L'!$H$11:$H$88,'Master P&amp;L'!$B$11:$B$88,Check!O13)))</f>
        <v>4500</v>
      </c>
      <c r="R13" s="173">
        <f t="shared" si="1"/>
        <v>-557</v>
      </c>
      <c r="S13" s="288">
        <f t="shared" si="2"/>
        <v>0.87622222222222224</v>
      </c>
      <c r="V13" s="13"/>
    </row>
    <row r="14" spans="2:22">
      <c r="B14" t="s">
        <v>433</v>
      </c>
      <c r="C14" s="187">
        <f>IF(B14="","",IF(LEN(B14)&gt;9,SUMIFS(Options!$H$3:$H$28,Options!$B$3:$B$28,Check!B14),SUMIFS('Master P&amp;L'!$H$11:$H$88,'Master P&amp;L'!$B$11:$B$88,Check!B14)))</f>
        <v>1563</v>
      </c>
      <c r="D14" s="187">
        <f>IF(B14="","",SUMIFS(Input_APM!N:N,Input_APM!L:L,Check!B14,Input_APM!M:M,Check!$F$1))</f>
        <v>655</v>
      </c>
      <c r="E14" s="173">
        <f t="shared" si="5"/>
        <v>856</v>
      </c>
      <c r="F14" s="187">
        <f>IF(B14="","",SUMIFS(Input_APM!N:N,Input_APM!M:M,Check!$F$1,Input_APM!L:L,Check!B14))</f>
        <v>655</v>
      </c>
      <c r="G14" s="187">
        <f>IF(B14="","",SUMIFS(Input_APM!N:N,Input_APM!M:M,Check!$G$1,Input_APM!L:L,Check!B14))</f>
        <v>0</v>
      </c>
      <c r="H14" s="173">
        <f t="shared" si="0"/>
        <v>655</v>
      </c>
      <c r="I14" s="173">
        <f>SUMIFS(Input_APM!N:N,Input_APM!L:L,Check!B14)</f>
        <v>655</v>
      </c>
      <c r="J14" s="175">
        <f t="shared" si="3"/>
        <v>0</v>
      </c>
      <c r="K14" s="21">
        <f>IF(B14="","",SUMIFS('Input_APM (Zenith)'!N:N,'Input_APM (Zenith)'!L:L,Check!B14,'Input_APM (Zenith)'!M:M,Check!$F$1))</f>
        <v>52</v>
      </c>
      <c r="L14" s="21">
        <f>IF(B14="","",SUMIFS('Input_APM (Zenith)'!N:N,'Input_APM (Zenith)'!L:L,Check!B14,'Input_APM (Zenith)'!M:M,Check!$G$1))</f>
        <v>0</v>
      </c>
      <c r="M14" s="193">
        <f t="shared" si="4"/>
        <v>707</v>
      </c>
      <c r="O14" t="s">
        <v>221</v>
      </c>
      <c r="P14" s="173">
        <f>IF(O14="","",IF(OR(LEFT(O14,4)="Cash",LEFT(O14,4)="Prov"),0,SUMIFS(Input_APM!N:N,Input_APM!L:L,Check!O14)))</f>
        <v>0</v>
      </c>
      <c r="Q14" s="21">
        <f>IF(O14="","",IF(LEN(O14)&gt;9,SUMIFS(Options!$H$3:$H$28,Options!$B$3:$B$28,Check!O14),SUMIFS('Master P&amp;L'!$H$11:$H$88,'Master P&amp;L'!$B$11:$B$88,Check!O14)))</f>
        <v>0</v>
      </c>
      <c r="R14" s="173">
        <f t="shared" si="1"/>
        <v>0</v>
      </c>
      <c r="S14" s="288" t="str">
        <f t="shared" si="2"/>
        <v>Ok</v>
      </c>
      <c r="V14" s="13"/>
    </row>
    <row r="15" spans="2:22">
      <c r="B15" t="s">
        <v>524</v>
      </c>
      <c r="C15" s="187">
        <f>IF(B15="","",IF(LEN(B15)&gt;9,SUMIFS(Options!$H$3:$H$28,Options!$B$3:$B$28,Check!B15),SUMIFS('Master P&amp;L'!$H$11:$H$88,'Master P&amp;L'!$B$11:$B$88,Check!B15)))</f>
        <v>1468</v>
      </c>
      <c r="D15" s="187">
        <f>IF(B15="","",SUMIFS(Input_APM!N:N,Input_APM!L:L,Check!B15,Input_APM!M:M,Check!$F$1))</f>
        <v>0</v>
      </c>
      <c r="E15" s="175">
        <f t="shared" si="5"/>
        <v>1468</v>
      </c>
      <c r="F15" s="187">
        <f>IF(B15="","",SUMIFS(Input_APM!N:N,Input_APM!M:M,Check!$F$1,Input_APM!L:L,Check!B15))</f>
        <v>0</v>
      </c>
      <c r="G15" s="187">
        <f>IF(B15="","",SUMIFS(Input_APM!N:N,Input_APM!M:M,Check!$G$1,Input_APM!L:L,Check!B15))</f>
        <v>0</v>
      </c>
      <c r="H15" s="173">
        <f t="shared" si="0"/>
        <v>0</v>
      </c>
      <c r="I15" s="173">
        <f>SUMIFS(Input_APM!N:N,Input_APM!L:L,Check!B15)</f>
        <v>0</v>
      </c>
      <c r="J15" s="175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3">
        <f t="shared" si="4"/>
        <v>0</v>
      </c>
      <c r="O15" t="s">
        <v>222</v>
      </c>
      <c r="P15" s="173">
        <f>IF(O15="","",IF(OR(LEFT(O15,4)="Cash",LEFT(O15,4)="Prov"),0,SUMIFS(Input_APM!N:N,Input_APM!L:L,Check!O15)))</f>
        <v>0</v>
      </c>
      <c r="Q15" s="21">
        <f>IF(O15="","",IF(LEN(O15)&gt;9,SUMIFS(Options!$H$3:$H$28,Options!$B$3:$B$28,Check!O15),SUMIFS('Master P&amp;L'!$H$11:$H$88,'Master P&amp;L'!$B$11:$B$88,Check!O15)))</f>
        <v>0</v>
      </c>
      <c r="R15" s="173">
        <f t="shared" si="1"/>
        <v>0</v>
      </c>
      <c r="S15" s="288" t="str">
        <f t="shared" si="2"/>
        <v>Ok</v>
      </c>
      <c r="V15" s="13"/>
    </row>
    <row r="16" spans="2:22">
      <c r="B16" t="s">
        <v>1073</v>
      </c>
      <c r="C16" s="187">
        <f>IF(B16="","",IF(LEN(B16)&gt;9,SUMIFS(Options!$H$3:$H$28,Options!$B$3:$B$28,Check!B16),SUMIFS('Master P&amp;L'!$H$11:$H$88,'Master P&amp;L'!$B$11:$B$88,Check!B16)))</f>
        <v>7080</v>
      </c>
      <c r="D16" s="187">
        <f>IF(B16="","",SUMIFS(Input_APM!N:N,Input_APM!L:L,Check!B16,Input_APM!M:M,Check!$F$1))</f>
        <v>0</v>
      </c>
      <c r="E16" s="173">
        <f t="shared" si="5"/>
        <v>7080</v>
      </c>
      <c r="F16" s="187">
        <f>IF(B16="","",SUMIFS(Input_APM!N:N,Input_APM!M:M,Check!$F$1,Input_APM!L:L,Check!B16))</f>
        <v>0</v>
      </c>
      <c r="G16" s="187">
        <f>IF(B16="","",SUMIFS(Input_APM!N:N,Input_APM!M:M,Check!$G$1,Input_APM!L:L,Check!B16))</f>
        <v>0</v>
      </c>
      <c r="H16" s="173">
        <f t="shared" si="0"/>
        <v>0</v>
      </c>
      <c r="I16" s="173">
        <f>SUMIFS(Input_APM!N:N,Input_APM!L:L,Check!B16)</f>
        <v>0</v>
      </c>
      <c r="J16" s="175">
        <f t="shared" si="3"/>
        <v>0</v>
      </c>
      <c r="K16" s="21">
        <f>IF(B16="","",SUMIFS('Input_APM (Zenith)'!N:N,'Input_APM (Zenith)'!L:L,Check!B16,'Input_APM (Zenith)'!M:M,Check!$F$1))</f>
        <v>0</v>
      </c>
      <c r="L16" s="21">
        <f>IF(B16="","",SUMIFS('Input_APM (Zenith)'!N:N,'Input_APM (Zenith)'!L:L,Check!B16,'Input_APM (Zenith)'!M:M,Check!$G$1))</f>
        <v>0</v>
      </c>
      <c r="M16" s="193">
        <f t="shared" si="4"/>
        <v>0</v>
      </c>
      <c r="O16" t="s">
        <v>223</v>
      </c>
      <c r="P16" s="173">
        <f>IF(O16="","",IF(OR(LEFT(O16,4)="Cash",LEFT(O16,4)="Prov"),0,SUMIFS(Input_APM!N:N,Input_APM!L:L,Check!O16)))</f>
        <v>0</v>
      </c>
      <c r="Q16" s="21">
        <f>IF(O16="","",IF(LEN(O16)&gt;9,SUMIFS(Options!$H$3:$H$28,Options!$B$3:$B$28,Check!O16),SUMIFS('Master P&amp;L'!$H$11:$H$88,'Master P&amp;L'!$B$11:$B$88,Check!O16)))</f>
        <v>0</v>
      </c>
      <c r="R16" s="173">
        <f t="shared" si="1"/>
        <v>0</v>
      </c>
      <c r="S16" s="288" t="str">
        <f t="shared" si="2"/>
        <v>Ok</v>
      </c>
      <c r="V16" s="13"/>
    </row>
    <row r="17" spans="2:22">
      <c r="B17" t="s">
        <v>1182</v>
      </c>
      <c r="C17" s="187">
        <f>IF(B17="","",IF(LEN(B17)&gt;9,SUMIFS(Options!$H$3:$H$28,Options!$B$3:$B$28,Check!B17),SUMIFS('Master P&amp;L'!$H$11:$H$88,'Master P&amp;L'!$B$11:$B$88,Check!B17)))</f>
        <v>4400</v>
      </c>
      <c r="D17" s="187">
        <f>IF(B17="","",SUMIFS(Input_APM!N:N,Input_APM!L:L,Check!B17,Input_APM!M:M,Check!$F$1))</f>
        <v>0</v>
      </c>
      <c r="E17" s="175">
        <f t="shared" si="5"/>
        <v>4400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787</v>
      </c>
      <c r="P17" s="173">
        <f>IF(O17="","",IF(OR(LEFT(O17,4)="Cash",LEFT(O17,4)="Prov"),0,SUMIFS(Input_APM!N:N,Input_APM!L:L,Check!O17)))</f>
        <v>0</v>
      </c>
      <c r="Q17" s="21">
        <f>IF(O17="","",IF(LEN(O17)&gt;9,SUMIFS(Options!$H$3:$H$28,Options!$B$3:$B$28,Check!O17),SUMIFS('Master P&amp;L'!$H$11:$H$88,'Master P&amp;L'!$B$11:$B$88,Check!O17)))</f>
        <v>0</v>
      </c>
      <c r="R17" s="173">
        <f t="shared" si="1"/>
        <v>0</v>
      </c>
      <c r="S17" s="288" t="str">
        <f t="shared" si="2"/>
        <v>Ok</v>
      </c>
      <c r="V17" s="13"/>
    </row>
    <row r="18" spans="2:22">
      <c r="B18" t="s">
        <v>434</v>
      </c>
      <c r="C18" s="187">
        <f>IF(B18="","",IF(LEN(B18)&gt;9,SUMIFS(Options!$H$3:$H$28,Options!$B$3:$B$28,Check!B18),SUMIFS('Master P&amp;L'!$H$11:$H$88,'Master P&amp;L'!$B$11:$B$88,Check!B18)))</f>
        <v>17950</v>
      </c>
      <c r="D18" s="187">
        <f>IF(B18="","",SUMIFS(Input_APM!N:N,Input_APM!L:L,Check!B18,Input_APM!M:M,Check!$F$1))</f>
        <v>0</v>
      </c>
      <c r="E18" s="175">
        <f t="shared" si="5"/>
        <v>17950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224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IF(O18="","",IF(LEN(O18)&gt;9,SUMIFS(Options!$H$3:$H$28,Options!$B$3:$B$28,Check!O18),SUMIFS('Master P&amp;L'!$H$11:$H$88,'Master P&amp;L'!$B$11:$B$88,Check!O18)))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44</v>
      </c>
      <c r="C19" s="187">
        <f>IF(B19="","",IF(LEN(B19)&gt;9,SUMIFS(Options!$H$3:$H$28,Options!$B$3:$B$28,Check!B19),SUMIFS('Master P&amp;L'!$H$11:$H$88,'Master P&amp;L'!$B$11:$B$88,Check!B19)))</f>
        <v>-5000</v>
      </c>
      <c r="D19" s="187">
        <f>IF(B19="","",SUMIFS(Input_APM!N:N,Input_APM!L:L,Check!B19,Input_APM!M:M,Check!$F$1))</f>
        <v>-1879</v>
      </c>
      <c r="E19" s="175">
        <f t="shared" si="5"/>
        <v>-3000</v>
      </c>
      <c r="F19" s="187">
        <f>IF(B19="","",SUMIFS(Input_APM!N:N,Input_APM!M:M,Check!$F$1,Input_APM!L:L,Check!B19))</f>
        <v>-1879</v>
      </c>
      <c r="G19" s="187">
        <f>IF(B19="","",SUMIFS(Input_APM!N:N,Input_APM!M:M,Check!$G$1,Input_APM!L:L,Check!B19))</f>
        <v>0</v>
      </c>
      <c r="H19" s="173">
        <f t="shared" si="0"/>
        <v>-1879</v>
      </c>
      <c r="I19" s="173">
        <f>SUMIFS(Input_APM!N:N,Input_APM!L:L,Check!B19)</f>
        <v>-1879</v>
      </c>
      <c r="J19" s="175">
        <f t="shared" si="3"/>
        <v>0</v>
      </c>
      <c r="K19" s="21">
        <f>IF(B19="","",SUMIFS('Input_APM (Zenith)'!N:N,'Input_APM (Zenith)'!L:L,Check!B19,'Input_APM (Zenith)'!M:M,Check!$F$1))</f>
        <v>-121</v>
      </c>
      <c r="L19" s="21">
        <f>IF(B19="","",SUMIFS('Input_APM (Zenith)'!N:N,'Input_APM (Zenith)'!L:L,Check!B19,'Input_APM (Zenith)'!M:M,Check!$G$1))</f>
        <v>0</v>
      </c>
      <c r="M19" s="193">
        <f t="shared" si="4"/>
        <v>-2000</v>
      </c>
      <c r="O19" t="s">
        <v>225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IF(O19="","",IF(LEN(O19)&gt;9,SUMIFS(Options!$H$3:$H$28,Options!$B$3:$B$28,Check!O19),SUMIFS('Master P&amp;L'!$H$11:$H$88,'Master P&amp;L'!$B$11:$B$88,Check!O19)))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84</v>
      </c>
      <c r="C20" s="187">
        <f>IF(B20="","",IF(LEN(B20)&gt;9,SUMIFS(Options!$H$3:$H$28,Options!$B$3:$B$28,Check!B20),SUMIFS('Master P&amp;L'!$H$11:$H$88,'Master P&amp;L'!$B$11:$B$88,Check!B20)))</f>
        <v>16400</v>
      </c>
      <c r="D20" s="187">
        <f>IF(B20="","",SUMIFS(Input_APM!N:N,Input_APM!L:L,Check!B20,Input_APM!M:M,Check!$F$1))</f>
        <v>15493</v>
      </c>
      <c r="E20" s="175">
        <f>IF(B20="","",C20-M20)</f>
        <v>-100</v>
      </c>
      <c r="F20" s="187">
        <f>IF(B20="","",SUMIFS(Input_APM!N:N,Input_APM!M:M,Check!$F$1,Input_APM!L:L,Check!B20))</f>
        <v>15493</v>
      </c>
      <c r="G20" s="187">
        <f>IF(B20="","",SUMIFS(Input_APM!N:N,Input_APM!M:M,Check!$G$1,Input_APM!L:L,Check!B20))</f>
        <v>0</v>
      </c>
      <c r="H20" s="173">
        <f t="shared" si="0"/>
        <v>15493</v>
      </c>
      <c r="I20" s="173">
        <f>SUMIFS(Input_APM!N:N,Input_APM!L:L,Check!B20)</f>
        <v>15493</v>
      </c>
      <c r="J20" s="175">
        <f t="shared" si="3"/>
        <v>0</v>
      </c>
      <c r="K20" s="21">
        <f>IF(B20="","",SUMIFS('Input_APM (Zenith)'!N:N,'Input_APM (Zenith)'!L:L,Check!B20,'Input_APM (Zenith)'!M:M,Check!$F$1))</f>
        <v>1007</v>
      </c>
      <c r="L20" s="21">
        <f>IF(B20="","",SUMIFS('Input_APM (Zenith)'!N:N,'Input_APM (Zenith)'!L:L,Check!B20,'Input_APM (Zenith)'!M:M,Check!$G$1))</f>
        <v>0</v>
      </c>
      <c r="M20" s="193">
        <f t="shared" si="4"/>
        <v>16500</v>
      </c>
      <c r="O20" t="s">
        <v>226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IF(O20="","",IF(LEN(O20)&gt;9,SUMIFS(Options!$H$3:$H$28,Options!$B$3:$B$28,Check!O20),SUMIFS('Master P&amp;L'!$H$11:$H$88,'Master P&amp;L'!$B$11:$B$88,Check!O20)))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343</v>
      </c>
      <c r="C21" s="187">
        <f>IF(B21="","",IF(LEN(B21)&gt;9,SUMIFS(Options!$H$3:$H$28,Options!$B$3:$B$28,Check!B21),SUMIFS('Master P&amp;L'!$H$11:$H$88,'Master P&amp;L'!$B$11:$B$88,Check!B21)))</f>
        <v>-1000</v>
      </c>
      <c r="D21" s="187">
        <f>IF(B21="","",SUMIFS(Input_APM!N:N,Input_APM!L:L,Check!B21,Input_APM!M:M,Check!$F$1))</f>
        <v>2818</v>
      </c>
      <c r="E21" s="173">
        <f t="shared" si="5"/>
        <v>-4000</v>
      </c>
      <c r="F21" s="187">
        <f>IF(B21="","",SUMIFS(Input_APM!N:N,Input_APM!M:M,Check!$F$1,Input_APM!L:L,Check!B21))</f>
        <v>2818</v>
      </c>
      <c r="G21" s="187">
        <f>IF(B21="","",SUMIFS(Input_APM!N:N,Input_APM!M:M,Check!$G$1,Input_APM!L:L,Check!B21))</f>
        <v>0</v>
      </c>
      <c r="H21" s="173">
        <f t="shared" si="0"/>
        <v>2818</v>
      </c>
      <c r="I21" s="173">
        <f>SUMIFS(Input_APM!N:N,Input_APM!L:L,Check!B21)</f>
        <v>2818</v>
      </c>
      <c r="J21" s="175">
        <f t="shared" si="3"/>
        <v>0</v>
      </c>
      <c r="K21" s="21">
        <f>IF(B21="","",SUMIFS('Input_APM (Zenith)'!N:N,'Input_APM (Zenith)'!L:L,Check!B21,'Input_APM (Zenith)'!M:M,Check!$F$1))</f>
        <v>182</v>
      </c>
      <c r="L21" s="21">
        <f>IF(B21="","",SUMIFS('Input_APM (Zenith)'!N:N,'Input_APM (Zenith)'!L:L,Check!B21,'Input_APM (Zenith)'!M:M,Check!$G$1))</f>
        <v>0</v>
      </c>
      <c r="M21" s="193">
        <f t="shared" si="4"/>
        <v>3000</v>
      </c>
      <c r="O21" t="s">
        <v>227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IF(O21="","",IF(LEN(O21)&gt;9,SUMIFS(Options!$H$3:$H$28,Options!$B$3:$B$28,Check!O21),SUMIFS('Master P&amp;L'!$H$11:$H$88,'Master P&amp;L'!$B$11:$B$88,Check!O21)))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42</v>
      </c>
      <c r="C22" s="187">
        <f>IF(B22="","",IF(LEN(B22)&gt;9,SUMIFS(Options!$H$3:$H$28,Options!$B$3:$B$28,Check!B22),SUMIFS('Master P&amp;L'!$H$11:$H$88,'Master P&amp;L'!$B$11:$B$88,Check!B22)))</f>
        <v>52700</v>
      </c>
      <c r="D22" s="187">
        <f>IF(B22="","",SUMIFS(Input_APM!N:N,Input_APM!L:L,Check!B22,Input_APM!M:M,Check!$F$1))</f>
        <v>36561</v>
      </c>
      <c r="E22" s="173">
        <f t="shared" si="5"/>
        <v>13673</v>
      </c>
      <c r="F22" s="187">
        <f>IF(B22="","",SUMIFS(Input_APM!N:N,Input_APM!M:M,Check!$F$1,Input_APM!L:L,Check!B22))</f>
        <v>36561</v>
      </c>
      <c r="G22" s="187">
        <f>IF(B22="","",SUMIFS(Input_APM!N:N,Input_APM!M:M,Check!$G$1,Input_APM!L:L,Check!B22))</f>
        <v>0</v>
      </c>
      <c r="H22" s="173">
        <f t="shared" si="0"/>
        <v>36561</v>
      </c>
      <c r="I22" s="173">
        <f>SUMIFS(Input_APM!N:N,Input_APM!L:L,Check!B22)</f>
        <v>36561</v>
      </c>
      <c r="J22" s="175">
        <f t="shared" si="3"/>
        <v>0</v>
      </c>
      <c r="K22" s="21">
        <f>IF(B22="","",SUMIFS('Input_APM (Zenith)'!N:N,'Input_APM (Zenith)'!L:L,Check!B22,'Input_APM (Zenith)'!M:M,Check!$F$1))</f>
        <v>2466</v>
      </c>
      <c r="L22" s="21">
        <f>IF(B22="","",SUMIFS('Input_APM (Zenith)'!N:N,'Input_APM (Zenith)'!L:L,Check!B22,'Input_APM (Zenith)'!M:M,Check!$G$1))</f>
        <v>0</v>
      </c>
      <c r="M22" s="193">
        <f t="shared" si="4"/>
        <v>39027</v>
      </c>
      <c r="O22" t="s">
        <v>228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IF(O22="","",IF(LEN(O22)&gt;9,SUMIFS(Options!$H$3:$H$28,Options!$B$3:$B$28,Check!O22),SUMIFS('Master P&amp;L'!$H$11:$H$88,'Master P&amp;L'!$B$11:$B$88,Check!O22)))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85</v>
      </c>
      <c r="C23" s="187">
        <f>IF(B23="","",IF(LEN(B23)&gt;9,SUMIFS(Options!$H$3:$H$28,Options!$B$3:$B$28,Check!B23),SUMIFS('Master P&amp;L'!$H$11:$H$88,'Master P&amp;L'!$B$11:$B$88,Check!B23)))</f>
        <v>-5600</v>
      </c>
      <c r="D23" s="187">
        <f>IF(B23="","",SUMIFS(Input_APM!N:N,Input_APM!L:L,Check!B23,Input_APM!M:M,Check!$F$1))</f>
        <v>-5262</v>
      </c>
      <c r="E23" s="173">
        <f t="shared" si="5"/>
        <v>0</v>
      </c>
      <c r="F23" s="187">
        <f>IF(B23="","",SUMIFS(Input_APM!N:N,Input_APM!M:M,Check!$F$1,Input_APM!L:L,Check!B23))</f>
        <v>-5262</v>
      </c>
      <c r="G23" s="187">
        <f>IF(B23="","",SUMIFS(Input_APM!N:N,Input_APM!M:M,Check!$G$1,Input_APM!L:L,Check!B23))</f>
        <v>0</v>
      </c>
      <c r="H23" s="173">
        <f t="shared" si="0"/>
        <v>-5262</v>
      </c>
      <c r="I23" s="173">
        <f>SUMIFS(Input_APM!N:N,Input_APM!L:L,Check!B23)</f>
        <v>-5262</v>
      </c>
      <c r="J23" s="175">
        <f t="shared" si="3"/>
        <v>0</v>
      </c>
      <c r="K23" s="21">
        <f>IF(B23="","",SUMIFS('Input_APM (Zenith)'!N:N,'Input_APM (Zenith)'!L:L,Check!B23,'Input_APM (Zenith)'!M:M,Check!$F$1))</f>
        <v>-338</v>
      </c>
      <c r="L23" s="21">
        <f>IF(B23="","",SUMIFS('Input_APM (Zenith)'!N:N,'Input_APM (Zenith)'!L:L,Check!B23,'Input_APM (Zenith)'!M:M,Check!$G$1))</f>
        <v>0</v>
      </c>
      <c r="M23" s="193">
        <f t="shared" si="4"/>
        <v>-5600</v>
      </c>
      <c r="O23" t="s">
        <v>572</v>
      </c>
      <c r="P23" s="173">
        <f>IF(O23="","",IF(OR(LEFT(O23,4)="Cash",LEFT(O23,4)="Prov"),0,SUMIFS(Input_APM!N:N,Input_APM!L:L,Check!O23)))</f>
        <v>4625000</v>
      </c>
      <c r="Q23" s="21">
        <f>IF(O23="","",IF(LEN(O23)&gt;9,SUMIFS(Options!$H$3:$H$28,Options!$B$3:$B$28,Check!O23),SUMIFS('Master P&amp;L'!$H$11:$H$88,'Master P&amp;L'!$B$11:$B$88,Check!O23)))</f>
        <v>0</v>
      </c>
      <c r="R23" s="173">
        <f t="shared" si="1"/>
        <v>4625000</v>
      </c>
      <c r="S23" s="288" t="str">
        <f t="shared" si="2"/>
        <v>Erro</v>
      </c>
      <c r="V23" s="13"/>
    </row>
    <row r="24" spans="2:22">
      <c r="B24" t="s">
        <v>729</v>
      </c>
      <c r="C24" s="187">
        <f>IF(B24="","",IF(LEN(B24)&gt;9,SUMIFS(Options!$H$3:$H$28,Options!$B$3:$B$28,Check!B24),SUMIFS('Master P&amp;L'!$H$11:$H$88,'Master P&amp;L'!$B$11:$B$88,Check!B24)))</f>
        <v>4000</v>
      </c>
      <c r="D24" s="187">
        <f>IF(B24="","",SUMIFS(Input_APM!N:N,Input_APM!L:L,Check!B24,Input_APM!M:M,Check!$F$1))</f>
        <v>4682</v>
      </c>
      <c r="E24" s="173">
        <f t="shared" si="5"/>
        <v>-986</v>
      </c>
      <c r="F24" s="187">
        <f>IF(B24="","",SUMIFS(Input_APM!N:N,Input_APM!M:M,Check!$F$1,Input_APM!L:L,Check!B24))</f>
        <v>4682</v>
      </c>
      <c r="G24" s="187">
        <f>IF(B24="","",SUMIFS(Input_APM!N:N,Input_APM!M:M,Check!$G$1,Input_APM!L:L,Check!B24))</f>
        <v>0</v>
      </c>
      <c r="H24" s="173">
        <f t="shared" si="0"/>
        <v>4682</v>
      </c>
      <c r="I24" s="173">
        <f>SUMIFS(Input_APM!N:N,Input_APM!L:L,Check!B24)</f>
        <v>4682</v>
      </c>
      <c r="J24" s="175">
        <f t="shared" si="3"/>
        <v>0</v>
      </c>
      <c r="K24" s="21">
        <f>IF(B24="","",SUMIFS('Input_APM (Zenith)'!N:N,'Input_APM (Zenith)'!L:L,Check!B24,'Input_APM (Zenith)'!M:M,Check!$F$1))</f>
        <v>304</v>
      </c>
      <c r="L24" s="21">
        <f>IF(B24="","",SUMIFS('Input_APM (Zenith)'!N:N,'Input_APM (Zenith)'!L:L,Check!B24,'Input_APM (Zenith)'!M:M,Check!$G$1))</f>
        <v>0</v>
      </c>
      <c r="M24" s="193">
        <f t="shared" si="4"/>
        <v>4986</v>
      </c>
      <c r="O24" t="s">
        <v>1195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IF(O24="","",IF(LEN(O24)&gt;9,SUMIFS(Options!$H$3:$H$28,Options!$B$3:$B$28,Check!O24),SUMIFS('Master P&amp;L'!$H$11:$H$88,'Master P&amp;L'!$B$11:$B$88,Check!O24)))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991</v>
      </c>
      <c r="C25" s="187">
        <f>IF(B25="","",IF(LEN(B25)&gt;9,SUMIFS(Options!$H$3:$H$28,Options!$B$3:$B$28,Check!B25),SUMIFS('Master P&amp;L'!$H$11:$H$88,'Master P&amp;L'!$B$11:$B$88,Check!B25)))</f>
        <v>30560</v>
      </c>
      <c r="D25" s="187">
        <f>IF(B25="","",SUMIFS(Input_APM!N:N,Input_APM!L:L,Check!B25,Input_APM!M:M,Check!$F$1))</f>
        <v>29519</v>
      </c>
      <c r="E25" s="173">
        <f t="shared" si="5"/>
        <v>-907</v>
      </c>
      <c r="F25" s="187">
        <f>IF(B25="","",SUMIFS(Input_APM!N:N,Input_APM!M:M,Check!$F$1,Input_APM!L:L,Check!B25))</f>
        <v>29519</v>
      </c>
      <c r="G25" s="187">
        <f>IF(B25="","",SUMIFS(Input_APM!N:N,Input_APM!M:M,Check!$G$1,Input_APM!L:L,Check!B25))</f>
        <v>0</v>
      </c>
      <c r="H25" s="173">
        <f t="shared" si="0"/>
        <v>29519</v>
      </c>
      <c r="I25" s="173">
        <f>SUMIFS(Input_APM!N:N,Input_APM!L:L,Check!B25)</f>
        <v>29519</v>
      </c>
      <c r="J25" s="175">
        <f t="shared" si="3"/>
        <v>0</v>
      </c>
      <c r="K25" s="21">
        <f>IF(B25="","",SUMIFS('Input_APM (Zenith)'!N:N,'Input_APM (Zenith)'!L:L,Check!B25,'Input_APM (Zenith)'!M:M,Check!$F$1))</f>
        <v>1948</v>
      </c>
      <c r="L25" s="21">
        <f>IF(B25="","",SUMIFS('Input_APM (Zenith)'!N:N,'Input_APM (Zenith)'!L:L,Check!B25,'Input_APM (Zenith)'!M:M,Check!$G$1))</f>
        <v>0</v>
      </c>
      <c r="M25" s="193">
        <f t="shared" si="4"/>
        <v>31467</v>
      </c>
      <c r="O25" t="s">
        <v>991</v>
      </c>
      <c r="P25" s="173">
        <f>IF(O25="","",IF(OR(LEFT(O25,4)="Cash",LEFT(O25,4)="Prov"),0,SUMIFS(Input_APM!N:N,Input_APM!L:L,Check!O25)))</f>
        <v>29519</v>
      </c>
      <c r="Q25" s="21">
        <f>IF(O25="","",IF(LEN(O25)&gt;9,SUMIFS(Options!$H$3:$H$28,Options!$B$3:$B$28,Check!O25),SUMIFS('Master P&amp;L'!$H$11:$H$88,'Master P&amp;L'!$B$11:$B$88,Check!O25)))</f>
        <v>30560</v>
      </c>
      <c r="R25" s="173">
        <f t="shared" si="1"/>
        <v>-1041</v>
      </c>
      <c r="S25" s="288">
        <f t="shared" si="2"/>
        <v>0.9659358638743456</v>
      </c>
      <c r="V25" s="13"/>
    </row>
    <row r="26" spans="2:22">
      <c r="B26" t="s">
        <v>791</v>
      </c>
      <c r="C26" s="187">
        <f>IF(B26="","",IF(LEN(B26)&gt;9,SUMIFS(Options!$H$3:$H$28,Options!$B$3:$B$28,Check!B26),SUMIFS('Master P&amp;L'!$H$11:$H$88,'Master P&amp;L'!$B$11:$B$88,Check!B26)))</f>
        <v>30000</v>
      </c>
      <c r="D26" s="187">
        <f>IF(B26="","",SUMIFS(Input_APM!N:N,Input_APM!L:L,Check!B26,Input_APM!M:M,Check!$F$1))</f>
        <v>28071</v>
      </c>
      <c r="E26" s="175">
        <f>IF(B26="","",C26-M26)</f>
        <v>0</v>
      </c>
      <c r="F26" s="187">
        <f>IF(B26="","",SUMIFS(Input_APM!N:N,Input_APM!M:M,Check!$F$1,Input_APM!L:L,Check!B26))</f>
        <v>28071</v>
      </c>
      <c r="G26" s="187">
        <f>IF(B26="","",SUMIFS(Input_APM!N:N,Input_APM!M:M,Check!$G$1,Input_APM!L:L,Check!B26))</f>
        <v>0</v>
      </c>
      <c r="H26" s="173">
        <f t="shared" si="0"/>
        <v>28071</v>
      </c>
      <c r="I26" s="173">
        <f>SUMIFS(Input_APM!N:N,Input_APM!L:L,Check!B26)</f>
        <v>28071</v>
      </c>
      <c r="J26" s="175">
        <f t="shared" si="3"/>
        <v>0</v>
      </c>
      <c r="K26" s="21">
        <f>IF(B26="","",SUMIFS('Input_APM (Zenith)'!N:N,'Input_APM (Zenith)'!L:L,Check!B26,'Input_APM (Zenith)'!M:M,Check!$F$1))</f>
        <v>1929</v>
      </c>
      <c r="L26" s="21">
        <f>IF(B26="","",SUMIFS('Input_APM (Zenith)'!N:N,'Input_APM (Zenith)'!L:L,Check!B26,'Input_APM (Zenith)'!M:M,Check!$G$1))</f>
        <v>0</v>
      </c>
      <c r="M26" s="193">
        <f t="shared" si="4"/>
        <v>30000</v>
      </c>
      <c r="O26" t="s">
        <v>1193</v>
      </c>
      <c r="P26" s="173">
        <f>IF(O26="","",IF(OR(LEFT(O26,4)="Cash",LEFT(O26,4)="Prov"),0,SUMIFS(Input_APM!N:N,Input_APM!L:L,Check!O26)))</f>
        <v>-940</v>
      </c>
      <c r="Q26" s="21">
        <f>IF(O26="","",IF(LEN(O26)&gt;9,SUMIFS(Options!$H$3:$H$28,Options!$B$3:$B$28,Check!O26),SUMIFS('Master P&amp;L'!$H$11:$H$88,'Master P&amp;L'!$B$11:$B$88,Check!O26)))</f>
        <v>-1000</v>
      </c>
      <c r="R26" s="173">
        <f t="shared" si="1"/>
        <v>60</v>
      </c>
      <c r="S26" s="288">
        <f t="shared" si="2"/>
        <v>0.94</v>
      </c>
      <c r="V26" s="13"/>
    </row>
    <row r="27" spans="2:22">
      <c r="B27" t="s">
        <v>1177</v>
      </c>
      <c r="C27" s="187">
        <f>IF(B27="","",IF(LEN(B27)&gt;9,SUMIFS(Options!$H$3:$H$28,Options!$B$3:$B$28,Check!B27),SUMIFS('Master P&amp;L'!$H$11:$H$88,'Master P&amp;L'!$B$11:$B$88,Check!B27)))</f>
        <v>2700</v>
      </c>
      <c r="D27" s="187">
        <f>IF(B27="","",SUMIFS(Input_APM!N:N,Input_APM!L:L,Check!B27,Input_APM!M:M,Check!$F$1))</f>
        <v>1973</v>
      </c>
      <c r="E27" s="175">
        <f t="shared" si="5"/>
        <v>600</v>
      </c>
      <c r="F27" s="187">
        <f>IF(B27="","",SUMIFS(Input_APM!N:N,Input_APM!M:M,Check!$F$1,Input_APM!L:L,Check!B27))</f>
        <v>1973</v>
      </c>
      <c r="G27" s="187">
        <f>IF(B27="","",SUMIFS(Input_APM!N:N,Input_APM!M:M,Check!$G$1,Input_APM!L:L,Check!B27))</f>
        <v>0</v>
      </c>
      <c r="H27" s="173">
        <f t="shared" si="0"/>
        <v>1973</v>
      </c>
      <c r="I27" s="173">
        <f>SUMIFS(Input_APM!N:N,Input_APM!L:L,Check!B27)</f>
        <v>1973</v>
      </c>
      <c r="J27" s="175">
        <f t="shared" si="3"/>
        <v>0</v>
      </c>
      <c r="K27" s="21">
        <f>IF(B27="","",SUMIFS('Input_APM (Zenith)'!N:N,'Input_APM (Zenith)'!L:L,Check!B27,'Input_APM (Zenith)'!M:M,Check!$F$1))</f>
        <v>127</v>
      </c>
      <c r="L27" s="21">
        <f>IF(B27="","",SUMIFS('Input_APM (Zenith)'!N:N,'Input_APM (Zenith)'!L:L,Check!B27,'Input_APM (Zenith)'!M:M,Check!$G$1))</f>
        <v>0</v>
      </c>
      <c r="M27" s="193">
        <f t="shared" si="4"/>
        <v>2100</v>
      </c>
      <c r="O27" t="s">
        <v>1194</v>
      </c>
      <c r="P27" s="173">
        <f>IF(O27="","",IF(OR(LEFT(O27,4)="Cash",LEFT(O27,4)="Prov"),0,SUMIFS(Input_APM!N:N,Input_APM!L:L,Check!O27)))</f>
        <v>940</v>
      </c>
      <c r="Q27" s="21">
        <f>IF(O27="","",IF(LEN(O27)&gt;9,SUMIFS(Options!$H$3:$H$28,Options!$B$3:$B$28,Check!O27),SUMIFS('Master P&amp;L'!$H$11:$H$88,'Master P&amp;L'!$B$11:$B$88,Check!O27)))</f>
        <v>1000</v>
      </c>
      <c r="R27" s="173">
        <f t="shared" si="1"/>
        <v>-60</v>
      </c>
      <c r="S27" s="288">
        <f t="shared" si="2"/>
        <v>0.94</v>
      </c>
      <c r="V27" s="13"/>
    </row>
    <row r="28" spans="2:22">
      <c r="B28" t="s">
        <v>1178</v>
      </c>
      <c r="C28" s="187">
        <f>IF(B28="","",IF(LEN(B28)&gt;9,SUMIFS(Options!$H$3:$H$28,Options!$B$3:$B$28,Check!B28),SUMIFS('Master P&amp;L'!$H$11:$H$88,'Master P&amp;L'!$B$11:$B$88,Check!B28)))</f>
        <v>965</v>
      </c>
      <c r="D28" s="187">
        <f>IF(B28="","",SUMIFS(Input_APM!N:N,Input_APM!L:L,Check!B28,Input_APM!M:M,Check!$F$1))</f>
        <v>906</v>
      </c>
      <c r="E28" s="175">
        <f>IF(B28="","",C28-M28)</f>
        <v>0</v>
      </c>
      <c r="F28" s="187">
        <f>IF(B28="","",SUMIFS(Input_APM!N:N,Input_APM!M:M,Check!$F$1,Input_APM!L:L,Check!B28))</f>
        <v>906</v>
      </c>
      <c r="G28" s="187">
        <f>IF(B28="","",SUMIFS(Input_APM!N:N,Input_APM!M:M,Check!$G$1,Input_APM!L:L,Check!B28))</f>
        <v>0</v>
      </c>
      <c r="H28" s="173">
        <f t="shared" si="0"/>
        <v>906</v>
      </c>
      <c r="I28" s="173">
        <f>SUMIFS(Input_APM!N:N,Input_APM!L:L,Check!B28)</f>
        <v>906</v>
      </c>
      <c r="J28" s="175">
        <f t="shared" si="3"/>
        <v>0</v>
      </c>
      <c r="K28" s="21">
        <f>IF(B28="","",SUMIFS('Input_APM (Zenith)'!N:N,'Input_APM (Zenith)'!L:L,Check!B28,'Input_APM (Zenith)'!M:M,Check!$F$1))</f>
        <v>59</v>
      </c>
      <c r="L28" s="21">
        <f>IF(B28="","",SUMIFS('Input_APM (Zenith)'!N:N,'Input_APM (Zenith)'!L:L,Check!B28,'Input_APM (Zenith)'!M:M,Check!$G$1))</f>
        <v>0</v>
      </c>
      <c r="M28" s="193">
        <f t="shared" si="4"/>
        <v>965</v>
      </c>
      <c r="O28" t="s">
        <v>1196</v>
      </c>
      <c r="P28" s="173">
        <f>IF(O28="","",IF(OR(LEFT(O28,4)="Cash",LEFT(O28,4)="Prov"),0,SUMIFS(Input_APM!N:N,Input_APM!L:L,Check!O28)))</f>
        <v>0</v>
      </c>
      <c r="Q28" s="21">
        <f>IF(O28="","",IF(LEN(O28)&gt;9,SUMIFS(Options!$H$3:$H$28,Options!$B$3:$B$28,Check!O28),SUMIFS('Master P&amp;L'!$H$11:$H$88,'Master P&amp;L'!$B$11:$B$88,Check!O28)))</f>
        <v>0</v>
      </c>
      <c r="R28" s="173">
        <f t="shared" si="1"/>
        <v>0</v>
      </c>
      <c r="S28" s="288" t="str">
        <f t="shared" si="2"/>
        <v>Ok</v>
      </c>
      <c r="V28" s="13"/>
    </row>
    <row r="29" spans="2:22">
      <c r="B29" t="s">
        <v>1190</v>
      </c>
      <c r="C29" s="187">
        <f>IF(B29="","",IF(LEN(B29)&gt;9,SUMIFS(Options!$H$3:$H$28,Options!$B$3:$B$28,Check!B29),SUMIFS('Master P&amp;L'!$H$11:$H$88,'Master P&amp;L'!$B$11:$B$88,Check!B29)))</f>
        <v>2000</v>
      </c>
      <c r="D29" s="187">
        <f>IF(B29="","",SUMIFS(Input_APM!N:N,Input_APM!L:L,Check!B29,Input_APM!M:M,Check!$F$1))</f>
        <v>939</v>
      </c>
      <c r="E29" s="175">
        <f t="shared" si="5"/>
        <v>1000</v>
      </c>
      <c r="F29" s="187">
        <f>IF(B29="","",SUMIFS(Input_APM!N:N,Input_APM!M:M,Check!$F$1,Input_APM!L:L,Check!B29))</f>
        <v>939</v>
      </c>
      <c r="G29" s="187">
        <f>IF(B29="","",SUMIFS(Input_APM!N:N,Input_APM!M:M,Check!$G$1,Input_APM!L:L,Check!B29))</f>
        <v>0</v>
      </c>
      <c r="H29" s="173">
        <f t="shared" si="0"/>
        <v>939</v>
      </c>
      <c r="I29" s="173">
        <f>SUMIFS(Input_APM!N:N,Input_APM!L:L,Check!B29)</f>
        <v>939</v>
      </c>
      <c r="J29" s="175">
        <f t="shared" si="3"/>
        <v>0</v>
      </c>
      <c r="K29" s="21">
        <f>IF(B29="","",SUMIFS('Input_APM (Zenith)'!N:N,'Input_APM (Zenith)'!L:L,Check!B29,'Input_APM (Zenith)'!M:M,Check!$F$1))</f>
        <v>61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1000</v>
      </c>
      <c r="O29" t="s">
        <v>1190</v>
      </c>
      <c r="P29" s="173">
        <f>IF(O29="","",IF(OR(LEFT(O29,4)="Cash",LEFT(O29,4)="Prov"),0,SUMIFS(Input_APM!N:N,Input_APM!L:L,Check!O29)))</f>
        <v>939</v>
      </c>
      <c r="Q29" s="21">
        <f>IF(O29="","",IF(LEN(O29)&gt;9,SUMIFS(Options!$H$3:$H$28,Options!$B$3:$B$28,Check!O29),SUMIFS('Master P&amp;L'!$H$11:$H$88,'Master P&amp;L'!$B$11:$B$88,Check!O29)))</f>
        <v>2000</v>
      </c>
      <c r="R29" s="173">
        <f t="shared" si="1"/>
        <v>-1061</v>
      </c>
      <c r="S29" s="288">
        <f t="shared" si="2"/>
        <v>0.46949999999999997</v>
      </c>
      <c r="V29" s="13"/>
    </row>
    <row r="30" spans="2:22">
      <c r="B30" t="s">
        <v>1096</v>
      </c>
      <c r="C30" s="187">
        <f>IF(B30="","",IF(LEN(B30)&gt;9,SUMIFS(Options!$H$3:$H$28,Options!$B$3:$B$28,Check!B30),SUMIFS('Master P&amp;L'!$H$11:$H$88,'Master P&amp;L'!$B$11:$B$88,Check!B30)))</f>
        <v>53300</v>
      </c>
      <c r="D30" s="187">
        <f>IF(B30="","",SUMIFS(Input_APM!N:N,Input_APM!L:L,Check!B30,Input_APM!M:M,Check!$F$1))</f>
        <v>20008</v>
      </c>
      <c r="E30" s="175">
        <f t="shared" si="5"/>
        <v>32000</v>
      </c>
      <c r="F30" s="187">
        <f>IF(B30="","",SUMIFS(Input_APM!N:N,Input_APM!M:M,Check!$F$1,Input_APM!L:L,Check!B30))</f>
        <v>20008</v>
      </c>
      <c r="G30" s="187">
        <f>IF(B30="","",SUMIFS(Input_APM!N:N,Input_APM!M:M,Check!$G$1,Input_APM!L:L,Check!B30))</f>
        <v>0</v>
      </c>
      <c r="H30" s="173">
        <f t="shared" si="0"/>
        <v>20008</v>
      </c>
      <c r="I30" s="173">
        <f>SUMIFS(Input_APM!N:N,Input_APM!L:L,Check!B30)</f>
        <v>20008</v>
      </c>
      <c r="J30" s="175">
        <f t="shared" si="3"/>
        <v>0</v>
      </c>
      <c r="K30" s="21">
        <f>IF(B30="","",SUMIFS('Input_APM (Zenith)'!N:N,'Input_APM (Zenith)'!L:L,Check!B30,'Input_APM (Zenith)'!M:M,Check!$F$1))</f>
        <v>1292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21300</v>
      </c>
      <c r="O30" t="s">
        <v>426</v>
      </c>
      <c r="P30" s="173">
        <f>IF(O30="","",IF(OR(LEFT(O30,4)="Cash",LEFT(O30,4)="Prov"),0,SUMIFS(Input_APM!N:N,Input_APM!L:L,Check!O30)))</f>
        <v>28499</v>
      </c>
      <c r="Q30" s="21">
        <f>IF(O30="","",IF(LEN(O30)&gt;9,SUMIFS(Options!$H$3:$H$28,Options!$B$3:$B$28,Check!O30),SUMIFS('Master P&amp;L'!$H$11:$H$88,'Master P&amp;L'!$B$11:$B$88,Check!O30)))</f>
        <v>38496</v>
      </c>
      <c r="R30" s="173">
        <f t="shared" si="1"/>
        <v>-9997</v>
      </c>
      <c r="S30" s="288">
        <f t="shared" si="2"/>
        <v>0.74031068162926017</v>
      </c>
      <c r="V30" s="13"/>
    </row>
    <row r="31" spans="2:22">
      <c r="B31" t="s">
        <v>78</v>
      </c>
      <c r="C31" s="187">
        <f>IF(B31="","",IF(LEN(B31)&gt;9,SUMIFS(Options!$H$3:$H$28,Options!$B$3:$B$28,Check!B31),SUMIFS('Master P&amp;L'!$H$11:$H$88,'Master P&amp;L'!$B$11:$B$88,Check!B31)))</f>
        <v>33738</v>
      </c>
      <c r="D31" s="187">
        <f>IF(B31="","",SUMIFS(Input_APM!N:N,Input_APM!L:L,Check!B31,Input_APM!M:M,Check!$F$1))</f>
        <v>0</v>
      </c>
      <c r="E31" s="175">
        <f>IF(B31="","",C31-M31)</f>
        <v>33738</v>
      </c>
      <c r="F31" s="187">
        <f>IF(B31="","",SUMIFS(Input_APM!N:N,Input_APM!M:M,Check!$F$1,Input_APM!L:L,Check!B31))</f>
        <v>0</v>
      </c>
      <c r="G31" s="187">
        <f>IF(B31="","",SUMIFS(Input_APM!N:N,Input_APM!M:M,Check!$G$1,Input_APM!L:L,Check!B31))</f>
        <v>0</v>
      </c>
      <c r="H31" s="173">
        <f t="shared" si="0"/>
        <v>0</v>
      </c>
      <c r="I31" s="173">
        <f>SUMIFS(Input_APM!N:N,Input_APM!L:L,Check!B31)</f>
        <v>0</v>
      </c>
      <c r="J31" s="175">
        <f t="shared" si="3"/>
        <v>0</v>
      </c>
      <c r="K31" s="21">
        <f>IF(B31="","",SUMIFS('Input_APM (Zenith)'!N:N,'Input_APM (Zenith)'!L:L,Check!B31,'Input_APM (Zenith)'!M:M,Check!$F$1))</f>
        <v>0</v>
      </c>
      <c r="L31" s="21">
        <f>IF(B31="","",SUMIFS('Input_APM (Zenith)'!N:N,'Input_APM (Zenith)'!L:L,Check!B31,'Input_APM (Zenith)'!M:M,Check!$G$1))</f>
        <v>0</v>
      </c>
      <c r="M31" s="193">
        <f t="shared" si="4"/>
        <v>0</v>
      </c>
      <c r="O31" t="s">
        <v>799</v>
      </c>
      <c r="P31" s="173">
        <f>IF(O31="","",IF(OR(LEFT(O31,4)="Cash",LEFT(O31,4)="Prov"),0,SUMIFS(Input_APM!N:N,Input_APM!L:L,Check!O31)))</f>
        <v>25358</v>
      </c>
      <c r="Q31" s="21">
        <f>IF(O31="","",IF(LEN(O31)&gt;9,SUMIFS(Options!$H$3:$H$28,Options!$B$3:$B$28,Check!O31),SUMIFS('Master P&amp;L'!$H$11:$H$88,'Master P&amp;L'!$B$11:$B$88,Check!O31)))</f>
        <v>0</v>
      </c>
      <c r="R31" s="173">
        <f t="shared" si="1"/>
        <v>25358</v>
      </c>
      <c r="S31" s="288" t="str">
        <f t="shared" si="2"/>
        <v>Erro</v>
      </c>
      <c r="V31" s="13"/>
    </row>
    <row r="32" spans="2:22">
      <c r="B32" t="s">
        <v>36</v>
      </c>
      <c r="C32" s="187">
        <f>IF(B32="","",IF(LEN(B32)&gt;9,SUMIFS(Options!$H$3:$H$28,Options!$B$3:$B$28,Check!B32),SUMIFS('Master P&amp;L'!$H$11:$H$88,'Master P&amp;L'!$B$11:$B$88,Check!B32)))</f>
        <v>23500</v>
      </c>
      <c r="D32" s="187">
        <f>IF(B32="","",SUMIFS(Input_APM!N:N,Input_APM!L:L,Check!B32,Input_APM!M:M,Check!$F$1))</f>
        <v>21977</v>
      </c>
      <c r="E32" s="175">
        <f t="shared" si="5"/>
        <v>0</v>
      </c>
      <c r="F32" s="187">
        <f>IF(B32="","",SUMIFS(Input_APM!N:N,Input_APM!M:M,Check!$F$1,Input_APM!L:L,Check!B32))</f>
        <v>21977</v>
      </c>
      <c r="G32" s="187">
        <f>IF(B32="","",SUMIFS(Input_APM!N:N,Input_APM!M:M,Check!$G$1,Input_APM!L:L,Check!B32))</f>
        <v>0</v>
      </c>
      <c r="H32" s="173">
        <f t="shared" si="0"/>
        <v>21977</v>
      </c>
      <c r="I32" s="173">
        <f>SUMIFS(Input_APM!N:N,Input_APM!L:L,Check!B32)</f>
        <v>21977</v>
      </c>
      <c r="J32" s="175">
        <f t="shared" si="3"/>
        <v>0</v>
      </c>
      <c r="K32" s="21">
        <f>IF(B32="","",SUMIFS('Input_APM (Zenith)'!N:N,'Input_APM (Zenith)'!L:L,Check!B32,'Input_APM (Zenith)'!M:M,Check!$F$1))</f>
        <v>1523</v>
      </c>
      <c r="L32" s="21">
        <f>IF(B32="","",SUMIFS('Input_APM (Zenith)'!N:N,'Input_APM (Zenith)'!L:L,Check!B32,'Input_APM (Zenith)'!M:M,Check!$G$1))</f>
        <v>0</v>
      </c>
      <c r="M32" s="193">
        <f t="shared" si="4"/>
        <v>23500</v>
      </c>
      <c r="O32" t="s">
        <v>915</v>
      </c>
      <c r="P32" s="173">
        <f>IF(O32="","",IF(OR(LEFT(O32,4)="Cash",LEFT(O32,4)="Prov"),0,SUMIFS(Input_APM!N:N,Input_APM!L:L,Check!O32)))</f>
        <v>797</v>
      </c>
      <c r="Q32" s="21">
        <f>IF(O32="","",IF(LEN(O32)&gt;9,SUMIFS(Options!$H$3:$H$28,Options!$B$3:$B$28,Check!O32),SUMIFS('Master P&amp;L'!$H$11:$H$88,'Master P&amp;L'!$B$11:$B$88,Check!O32)))</f>
        <v>0</v>
      </c>
      <c r="R32" s="173">
        <f t="shared" si="1"/>
        <v>797</v>
      </c>
      <c r="S32" s="288" t="str">
        <f t="shared" si="2"/>
        <v>Erro</v>
      </c>
      <c r="V32" s="13"/>
    </row>
    <row r="33" spans="1:22">
      <c r="B33" t="s">
        <v>6</v>
      </c>
      <c r="C33" s="187">
        <f>IF(B33="","",IF(LEN(B33)&gt;9,SUMIFS(Options!$H$3:$H$28,Options!$B$3:$B$28,Check!B33),SUMIFS('Master P&amp;L'!$H$11:$H$88,'Master P&amp;L'!$B$11:$B$88,Check!B33)))</f>
        <v>15000</v>
      </c>
      <c r="D33" s="187">
        <f>IF(B33="","",SUMIFS(Input_APM!N:N,Input_APM!L:L,Check!B33,Input_APM!M:M,Check!$F$1))</f>
        <v>14082</v>
      </c>
      <c r="E33" s="173">
        <f t="shared" si="5"/>
        <v>0</v>
      </c>
      <c r="F33" s="187">
        <f>IF(B33="","",SUMIFS(Input_APM!N:N,Input_APM!M:M,Check!$F$1,Input_APM!L:L,Check!B33))</f>
        <v>14082</v>
      </c>
      <c r="G33" s="187">
        <f>IF(B33="","",SUMIFS(Input_APM!N:N,Input_APM!M:M,Check!$G$1,Input_APM!L:L,Check!B33))</f>
        <v>0</v>
      </c>
      <c r="H33" s="173">
        <f t="shared" si="0"/>
        <v>14082</v>
      </c>
      <c r="I33" s="173">
        <f>SUMIFS(Input_APM!N:N,Input_APM!L:L,Check!B33)</f>
        <v>14082</v>
      </c>
      <c r="J33" s="175">
        <f t="shared" si="3"/>
        <v>0</v>
      </c>
      <c r="K33" s="21">
        <f>IF(B33="","",SUMIFS('Input_APM (Zenith)'!N:N,'Input_APM (Zenith)'!L:L,Check!B33,'Input_APM (Zenith)'!M:M,Check!$F$1))</f>
        <v>918</v>
      </c>
      <c r="L33" s="21">
        <f>IF(B33="","",SUMIFS('Input_APM (Zenith)'!N:N,'Input_APM (Zenith)'!L:L,Check!B33,'Input_APM (Zenith)'!M:M,Check!$G$1))</f>
        <v>0</v>
      </c>
      <c r="M33" s="193">
        <f t="shared" si="4"/>
        <v>15000</v>
      </c>
      <c r="O33" t="s">
        <v>916</v>
      </c>
      <c r="P33" s="173">
        <f>IF(O33="","",IF(OR(LEFT(O33,4)="Cash",LEFT(O33,4)="Prov"),0,SUMIFS(Input_APM!N:N,Input_APM!L:L,Check!O33)))</f>
        <v>-797</v>
      </c>
      <c r="Q33" s="21">
        <f>IF(O33="","",IF(LEN(O33)&gt;9,SUMIFS(Options!$H$3:$H$28,Options!$B$3:$B$28,Check!O33),SUMIFS('Master P&amp;L'!$H$11:$H$88,'Master P&amp;L'!$B$11:$B$88,Check!O33)))</f>
        <v>0</v>
      </c>
      <c r="R33" s="173">
        <f t="shared" si="1"/>
        <v>-797</v>
      </c>
      <c r="S33" s="288" t="str">
        <f t="shared" si="2"/>
        <v>Erro</v>
      </c>
      <c r="V33" s="13"/>
    </row>
    <row r="34" spans="1:22">
      <c r="B34" t="s">
        <v>917</v>
      </c>
      <c r="C34" s="187">
        <f>IF(B34="","",IF(LEN(B34)&gt;9,SUMIFS(Options!$H$3:$H$28,Options!$B$3:$B$28,Check!B34),SUMIFS('Master P&amp;L'!$H$11:$H$88,'Master P&amp;L'!$B$11:$B$88,Check!B34)))</f>
        <v>-10300</v>
      </c>
      <c r="D34" s="187">
        <f>IF(B34="","",SUMIFS(Input_APM!N:N,Input_APM!L:L,Check!B34,Input_APM!M:M,Check!$F$1))</f>
        <v>-6554</v>
      </c>
      <c r="E34" s="173">
        <f t="shared" si="5"/>
        <v>-3300</v>
      </c>
      <c r="F34" s="187">
        <f>IF(B34="","",SUMIFS(Input_APM!N:N,Input_APM!M:M,Check!$F$1,Input_APM!L:L,Check!B34))</f>
        <v>-6554</v>
      </c>
      <c r="G34" s="187">
        <f>IF(B34="","",SUMIFS(Input_APM!N:N,Input_APM!M:M,Check!$G$1,Input_APM!L:L,Check!B34))</f>
        <v>0</v>
      </c>
      <c r="H34" s="173">
        <f t="shared" si="0"/>
        <v>-6554</v>
      </c>
      <c r="I34" s="173">
        <f>SUMIFS(Input_APM!N:N,Input_APM!L:L,Check!B34)</f>
        <v>-6554</v>
      </c>
      <c r="J34" s="175">
        <f t="shared" si="3"/>
        <v>0</v>
      </c>
      <c r="K34" s="21">
        <f>IF(B34="","",SUMIFS('Input_APM (Zenith)'!N:N,'Input_APM (Zenith)'!L:L,Check!B34,'Input_APM (Zenith)'!M:M,Check!$F$1))</f>
        <v>-446</v>
      </c>
      <c r="L34" s="21">
        <f>IF(B34="","",SUMIFS('Input_APM (Zenith)'!N:N,'Input_APM (Zenith)'!L:L,Check!B34,'Input_APM (Zenith)'!M:M,Check!$G$1))</f>
        <v>0</v>
      </c>
      <c r="M34" s="193">
        <f t="shared" si="4"/>
        <v>-7000</v>
      </c>
      <c r="O34" t="s">
        <v>1178</v>
      </c>
      <c r="P34" s="173">
        <f>IF(O34="","",IF(OR(LEFT(O34,4)="Cash",LEFT(O34,4)="Prov"),0,SUMIFS(Input_APM!N:N,Input_APM!L:L,Check!O34)))</f>
        <v>906</v>
      </c>
      <c r="Q34" s="21">
        <f>IF(O34="","",IF(LEN(O34)&gt;9,SUMIFS(Options!$H$3:$H$28,Options!$B$3:$B$28,Check!O34),SUMIFS('Master P&amp;L'!$H$11:$H$88,'Master P&amp;L'!$B$11:$B$88,Check!O34)))</f>
        <v>965</v>
      </c>
      <c r="R34" s="173">
        <f t="shared" si="1"/>
        <v>-59</v>
      </c>
      <c r="S34" s="288">
        <f t="shared" si="2"/>
        <v>0.93886010362694305</v>
      </c>
      <c r="V34" s="13"/>
    </row>
    <row r="35" spans="1:22">
      <c r="B35" t="s">
        <v>4</v>
      </c>
      <c r="C35" s="187">
        <f>IF(B35="","",IF(LEN(B35)&gt;9,SUMIFS(Options!$H$3:$H$28,Options!$B$3:$B$28,Check!B35),SUMIFS('Master P&amp;L'!$H$11:$H$88,'Master P&amp;L'!$B$11:$B$88,Check!B35)))</f>
        <v>-27500</v>
      </c>
      <c r="D35" s="187">
        <f>IF(B35="","",SUMIFS(Input_APM!N:N,Input_APM!L:L,Check!B35,Input_APM!M:M,Check!$F$1))</f>
        <v>-25765</v>
      </c>
      <c r="E35" s="175">
        <f t="shared" si="5"/>
        <v>0</v>
      </c>
      <c r="F35" s="187">
        <f>IF(B35="","",SUMIFS(Input_APM!N:N,Input_APM!M:M,Check!$F$1,Input_APM!L:L,Check!B35))</f>
        <v>-25765</v>
      </c>
      <c r="G35" s="187">
        <f>IF(B35="","",SUMIFS(Input_APM!N:N,Input_APM!M:M,Check!$G$1,Input_APM!L:L,Check!B35))</f>
        <v>0</v>
      </c>
      <c r="H35" s="173">
        <f t="shared" si="0"/>
        <v>-25765</v>
      </c>
      <c r="I35" s="173">
        <f>SUMIFS(Input_APM!N:N,Input_APM!L:L,Check!B35)</f>
        <v>-25765</v>
      </c>
      <c r="J35" s="175">
        <f t="shared" si="3"/>
        <v>0</v>
      </c>
      <c r="K35" s="21">
        <f>IF(B35="","",SUMIFS('Input_APM (Zenith)'!N:N,'Input_APM (Zenith)'!L:L,Check!B35,'Input_APM (Zenith)'!M:M,Check!$F$1))</f>
        <v>-1735</v>
      </c>
      <c r="L35" s="21">
        <f>IF(B35="","",SUMIFS('Input_APM (Zenith)'!N:N,'Input_APM (Zenith)'!L:L,Check!B35,'Input_APM (Zenith)'!M:M,Check!$G$1))</f>
        <v>0</v>
      </c>
      <c r="M35" s="193">
        <f t="shared" si="4"/>
        <v>-27500</v>
      </c>
      <c r="O35" t="s">
        <v>808</v>
      </c>
      <c r="P35" s="173">
        <f>IF(O35="","",IF(OR(LEFT(O35,4)="Cash",LEFT(O35,4)="Prov"),0,SUMIFS(Input_APM!N:N,Input_APM!L:L,Check!O35)))</f>
        <v>4670</v>
      </c>
      <c r="Q35" s="21">
        <f>IF(O35="","",IF(LEN(O35)&gt;9,SUMIFS(Options!$H$3:$H$28,Options!$B$3:$B$28,Check!O35),SUMIFS('Master P&amp;L'!$H$11:$H$88,'Master P&amp;L'!$B$11:$B$88,Check!O35)))</f>
        <v>2000</v>
      </c>
      <c r="R35" s="173">
        <f t="shared" si="1"/>
        <v>2670</v>
      </c>
      <c r="S35" s="288">
        <f t="shared" si="2"/>
        <v>2.335</v>
      </c>
      <c r="V35" s="13"/>
    </row>
    <row r="36" spans="1:22">
      <c r="B36" t="s">
        <v>886</v>
      </c>
      <c r="C36" s="187">
        <f>IF(B36="","",IF(LEN(B36)&gt;9,SUMIFS(Options!$H$3:$H$28,Options!$B$3:$B$28,Check!B36),SUMIFS('Master P&amp;L'!$H$11:$H$88,'Master P&amp;L'!$B$11:$B$88,Check!B36)))</f>
        <v>2000</v>
      </c>
      <c r="D36" s="187">
        <f>IF(B36="","",SUMIFS(Input_APM!N:N,Input_APM!L:L,Check!B36,Input_APM!M:M,Check!$F$1))</f>
        <v>1874</v>
      </c>
      <c r="E36" s="175">
        <f>IF(B36="","",C36-M36)</f>
        <v>0</v>
      </c>
      <c r="F36" s="187">
        <f>IF(B36="","",SUMIFS(Input_APM!N:N,Input_APM!M:M,Check!$F$1,Input_APM!L:L,Check!B36))</f>
        <v>1874</v>
      </c>
      <c r="G36" s="187">
        <f>IF(B36="","",SUMIFS(Input_APM!N:N,Input_APM!M:M,Check!$G$1,Input_APM!L:L,Check!B36))</f>
        <v>0</v>
      </c>
      <c r="H36" s="173">
        <f t="shared" si="0"/>
        <v>1874</v>
      </c>
      <c r="I36" s="173">
        <f>SUMIFS(Input_APM!N:N,Input_APM!L:L,Check!B36)</f>
        <v>1874</v>
      </c>
      <c r="J36" s="175">
        <f t="shared" si="3"/>
        <v>0</v>
      </c>
      <c r="K36" s="21">
        <f>IF(B36="","",SUMIFS('Input_APM (Zenith)'!N:N,'Input_APM (Zenith)'!L:L,Check!B36,'Input_APM (Zenith)'!M:M,Check!$F$1))</f>
        <v>126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2000</v>
      </c>
      <c r="O36" t="s">
        <v>562</v>
      </c>
      <c r="P36" s="173">
        <f>IF(O36="","",IF(OR(LEFT(O36,4)="Cash",LEFT(O36,4)="Prov"),0,SUMIFS(Input_APM!N:N,Input_APM!L:L,Check!O36)))</f>
        <v>276451</v>
      </c>
      <c r="Q36" s="21">
        <f>IF(O36="","",IF(LEN(O36)&gt;9,SUMIFS(Options!$H$3:$H$28,Options!$B$3:$B$28,Check!O36),SUMIFS('Master P&amp;L'!$H$11:$H$88,'Master P&amp;L'!$B$11:$B$88,Check!O36)))</f>
        <v>0</v>
      </c>
      <c r="R36" s="173">
        <f t="shared" si="1"/>
        <v>276451</v>
      </c>
      <c r="S36" s="288" t="str">
        <f t="shared" si="2"/>
        <v>Erro</v>
      </c>
      <c r="V36" s="13"/>
    </row>
    <row r="37" spans="1:22">
      <c r="B37" t="s">
        <v>1192</v>
      </c>
      <c r="C37" s="187">
        <f>IF(B37="","",IF(LEN(B37)&gt;9,SUMIFS(Options!$H$3:$H$28,Options!$B$3:$B$28,Check!B37),SUMIFS('Master P&amp;L'!$H$11:$H$88,'Master P&amp;L'!$B$11:$B$88,Check!B37)))</f>
        <v>500</v>
      </c>
      <c r="D37" s="187">
        <f>IF(B37="","",SUMIFS(Input_APM!N:N,Input_APM!L:L,Check!B37,Input_APM!M:M,Check!$F$1))</f>
        <v>469</v>
      </c>
      <c r="E37" s="175">
        <f>IF(B37="","",C37-M37)</f>
        <v>0</v>
      </c>
      <c r="F37" s="187">
        <f>IF(B37="","",SUMIFS(Input_APM!N:N,Input_APM!M:M,Check!$F$1,Input_APM!L:L,Check!B37))</f>
        <v>469</v>
      </c>
      <c r="G37" s="187">
        <f>IF(B37="","",SUMIFS(Input_APM!N:N,Input_APM!M:M,Check!$G$1,Input_APM!L:L,Check!B37))</f>
        <v>0</v>
      </c>
      <c r="H37" s="173">
        <f t="shared" si="0"/>
        <v>469</v>
      </c>
      <c r="I37" s="173">
        <f>SUMIFS(Input_APM!N:N,Input_APM!L:L,Check!B37)</f>
        <v>469</v>
      </c>
      <c r="J37" s="175">
        <f t="shared" si="3"/>
        <v>0</v>
      </c>
      <c r="K37" s="21">
        <f>IF(B37="","",SUMIFS('Input_APM (Zenith)'!N:N,'Input_APM (Zenith)'!L:L,Check!B37,'Input_APM (Zenith)'!M:M,Check!$F$1))</f>
        <v>31</v>
      </c>
      <c r="L37" s="21">
        <f>IF(B37="","",SUMIFS('Input_APM (Zenith)'!N:N,'Input_APM (Zenith)'!L:L,Check!B37,'Input_APM (Zenith)'!M:M,Check!$G$1))</f>
        <v>0</v>
      </c>
      <c r="M37" s="193">
        <f t="shared" si="4"/>
        <v>500</v>
      </c>
      <c r="O37" t="s">
        <v>563</v>
      </c>
      <c r="P37" s="173">
        <f>IF(O37="","",IF(OR(LEFT(O37,4)="Cash",LEFT(O37,4)="Prov"),0,SUMIFS(Input_APM!N:N,Input_APM!L:L,Check!O37)))</f>
        <v>-276451</v>
      </c>
      <c r="Q37" s="21">
        <f>IF(O37="","",IF(LEN(O37)&gt;9,SUMIFS(Options!$H$3:$H$28,Options!$B$3:$B$28,Check!O37),SUMIFS('Master P&amp;L'!$H$11:$H$88,'Master P&amp;L'!$B$11:$B$88,Check!O37)))</f>
        <v>0</v>
      </c>
      <c r="R37" s="173">
        <f t="shared" si="1"/>
        <v>-276451</v>
      </c>
      <c r="S37" s="288" t="str">
        <f t="shared" si="2"/>
        <v>Erro</v>
      </c>
      <c r="V37" s="13"/>
    </row>
    <row r="38" spans="1:22">
      <c r="B38" t="s">
        <v>766</v>
      </c>
      <c r="C38" s="187">
        <f>IF(B38="","",IF(LEN(B38)&gt;9,SUMIFS(Options!$H$3:$H$28,Options!$B$3:$B$28,Check!B38),SUMIFS('Master P&amp;L'!$H$11:$H$88,'Master P&amp;L'!$B$11:$B$88,Check!B38)))</f>
        <v>120</v>
      </c>
      <c r="D38" s="187">
        <f>IF(B38="","",SUMIFS(Input_APM!N:N,Input_APM!L:L,Check!B38,Input_APM!M:M,Check!$F$1))</f>
        <v>114</v>
      </c>
      <c r="E38" s="173">
        <f t="shared" si="5"/>
        <v>0</v>
      </c>
      <c r="F38" s="187">
        <f>IF(B38="","",SUMIFS(Input_APM!N:N,Input_APM!M:M,Check!$F$1,Input_APM!L:L,Check!B38))</f>
        <v>114</v>
      </c>
      <c r="G38" s="187">
        <f>IF(B38="","",SUMIFS(Input_APM!N:N,Input_APM!M:M,Check!$G$1,Input_APM!L:L,Check!B38))</f>
        <v>0</v>
      </c>
      <c r="H38" s="173">
        <f t="shared" si="0"/>
        <v>114</v>
      </c>
      <c r="I38" s="173">
        <f>SUMIFS(Input_APM!N:N,Input_APM!L:L,Check!B38)</f>
        <v>114</v>
      </c>
      <c r="J38" s="175">
        <f t="shared" si="3"/>
        <v>0</v>
      </c>
      <c r="K38" s="21">
        <f>IF(B38="","",SUMIFS('Input_APM (Zenith)'!N:N,'Input_APM (Zenith)'!L:L,Check!B38,'Input_APM (Zenith)'!M:M,Check!$F$1))</f>
        <v>6</v>
      </c>
      <c r="L38" s="21">
        <f>IF(B38="","",SUMIFS('Input_APM (Zenith)'!N:N,'Input_APM (Zenith)'!L:L,Check!B38,'Input_APM (Zenith)'!M:M,Check!$G$1))</f>
        <v>0</v>
      </c>
      <c r="M38" s="193">
        <f t="shared" si="4"/>
        <v>120</v>
      </c>
      <c r="O38" t="s">
        <v>343</v>
      </c>
      <c r="P38" s="173">
        <f>IF(O38="","",IF(OR(LEFT(O38,4)="Cash",LEFT(O38,4)="Prov"),0,SUMIFS(Input_APM!N:N,Input_APM!L:L,Check!O38)))</f>
        <v>2818</v>
      </c>
      <c r="Q38" s="21">
        <f>IF(O38="","",IF(LEN(O38)&gt;9,SUMIFS(Options!$H$3:$H$28,Options!$B$3:$B$28,Check!O38),SUMIFS('Master P&amp;L'!$H$11:$H$88,'Master P&amp;L'!$B$11:$B$88,Check!O38)))</f>
        <v>-1000</v>
      </c>
      <c r="R38" s="173">
        <f t="shared" si="1"/>
        <v>3818</v>
      </c>
      <c r="S38" s="288">
        <f t="shared" si="2"/>
        <v>-2.8180000000000001</v>
      </c>
      <c r="V38" s="13"/>
    </row>
    <row r="39" spans="1:22">
      <c r="B39" t="s">
        <v>1029</v>
      </c>
      <c r="C39" s="187">
        <f>IF(B39="","",IF(LEN(B39)&gt;9,SUMIFS(Options!$H$3:$H$28,Options!$B$3:$B$28,Check!B39),SUMIFS('Master P&amp;L'!$H$11:$H$88,'Master P&amp;L'!$B$11:$B$88,Check!B39)))</f>
        <v>150</v>
      </c>
      <c r="D39" s="187">
        <f>IF(B39="","",SUMIFS(Input_APM!N:N,Input_APM!L:L,Check!B39,Input_APM!M:M,Check!$F$1))</f>
        <v>142</v>
      </c>
      <c r="E39" s="173">
        <f t="shared" si="5"/>
        <v>0</v>
      </c>
      <c r="F39" s="187">
        <f>IF(B39="","",SUMIFS(Input_APM!N:N,Input_APM!M:M,Check!$F$1,Input_APM!L:L,Check!B39))</f>
        <v>142</v>
      </c>
      <c r="G39" s="187">
        <f>IF(B39="","",SUMIFS(Input_APM!N:N,Input_APM!M:M,Check!$G$1,Input_APM!L:L,Check!B39))</f>
        <v>0</v>
      </c>
      <c r="H39" s="173">
        <f t="shared" si="0"/>
        <v>142</v>
      </c>
      <c r="I39" s="173">
        <f>SUMIFS(Input_APM!N:N,Input_APM!L:L,Check!B39)</f>
        <v>142</v>
      </c>
      <c r="J39" s="175">
        <f t="shared" si="3"/>
        <v>0</v>
      </c>
      <c r="K39" s="21">
        <f>IF(B39="","",SUMIFS('Input_APM (Zenith)'!N:N,'Input_APM (Zenith)'!L:L,Check!B39,'Input_APM (Zenith)'!M:M,Check!$F$1))</f>
        <v>8</v>
      </c>
      <c r="L39" s="21">
        <f>IF(B39="","",SUMIFS('Input_APM (Zenith)'!N:N,'Input_APM (Zenith)'!L:L,Check!B39,'Input_APM (Zenith)'!M:M,Check!$G$1))</f>
        <v>0</v>
      </c>
      <c r="M39" s="193">
        <f t="shared" si="4"/>
        <v>150</v>
      </c>
      <c r="O39" t="s">
        <v>971</v>
      </c>
      <c r="P39" s="173">
        <f>IF(O39="","",IF(OR(LEFT(O39,4)="Cash",LEFT(O39,4)="Prov"),0,SUMIFS(Input_APM!N:N,Input_APM!L:L,Check!O39)))</f>
        <v>284</v>
      </c>
      <c r="Q39" s="21">
        <f>IF(O39="","",IF(LEN(O39)&gt;9,SUMIFS(Options!$H$3:$H$28,Options!$B$3:$B$28,Check!O39),SUMIFS('Master P&amp;L'!$H$11:$H$88,'Master P&amp;L'!$B$11:$B$88,Check!O39)))</f>
        <v>300</v>
      </c>
      <c r="R39" s="173">
        <f t="shared" si="1"/>
        <v>-16</v>
      </c>
      <c r="S39" s="288">
        <f t="shared" si="2"/>
        <v>0.94666666666666666</v>
      </c>
      <c r="V39" s="13"/>
    </row>
    <row r="40" spans="1:22">
      <c r="B40" t="s">
        <v>1194</v>
      </c>
      <c r="C40" s="187">
        <f>IF(B40="","",IF(LEN(B40)&gt;9,SUMIFS(Options!$H$3:$H$28,Options!$B$3:$B$28,Check!B40),SUMIFS('Master P&amp;L'!$H$11:$H$88,'Master P&amp;L'!$B$11:$B$88,Check!B40)))</f>
        <v>1000</v>
      </c>
      <c r="D40" s="187">
        <f>IF(B40="","",SUMIFS(Input_APM!N:N,Input_APM!L:L,Check!B40,Input_APM!M:M,Check!$F$1))</f>
        <v>940</v>
      </c>
      <c r="E40" s="175">
        <f t="shared" si="5"/>
        <v>0</v>
      </c>
      <c r="F40" s="187">
        <f>IF(B40="","",SUMIFS(Input_APM!N:N,Input_APM!M:M,Check!$F$1,Input_APM!L:L,Check!B40))</f>
        <v>940</v>
      </c>
      <c r="G40" s="187">
        <f>IF(B40="","",SUMIFS(Input_APM!N:N,Input_APM!M:M,Check!$G$1,Input_APM!L:L,Check!B40))</f>
        <v>0</v>
      </c>
      <c r="H40" s="173">
        <f t="shared" si="0"/>
        <v>940</v>
      </c>
      <c r="I40" s="173">
        <f>SUMIFS(Input_APM!N:N,Input_APM!L:L,Check!B40)</f>
        <v>940</v>
      </c>
      <c r="J40" s="175">
        <f t="shared" si="3"/>
        <v>0</v>
      </c>
      <c r="K40" s="21">
        <f>IF(B40="","",SUMIFS('Input_APM (Zenith)'!N:N,'Input_APM (Zenith)'!L:L,Check!B40,'Input_APM (Zenith)'!M:M,Check!$F$1))</f>
        <v>60</v>
      </c>
      <c r="L40" s="21">
        <f>IF(B40="","",SUMIFS('Input_APM (Zenith)'!N:N,'Input_APM (Zenith)'!L:L,Check!B40,'Input_APM (Zenith)'!M:M,Check!$G$1))</f>
        <v>0</v>
      </c>
      <c r="M40" s="193">
        <f t="shared" si="4"/>
        <v>1000</v>
      </c>
      <c r="O40" t="s">
        <v>972</v>
      </c>
      <c r="P40" s="173">
        <f>IF(O40="","",IF(OR(LEFT(O40,4)="Cash",LEFT(O40,4)="Prov"),0,SUMIFS(Input_APM!N:N,Input_APM!L:L,Check!O40)))</f>
        <v>0</v>
      </c>
      <c r="Q40" s="21">
        <f>IF(O40="","",IF(LEN(O40)&gt;9,SUMIFS(Options!$H$3:$H$28,Options!$B$3:$B$28,Check!O40),SUMIFS('Master P&amp;L'!$H$11:$H$88,'Master P&amp;L'!$B$11:$B$88,Check!O40)))</f>
        <v>0</v>
      </c>
      <c r="R40" s="173">
        <f t="shared" si="1"/>
        <v>0</v>
      </c>
      <c r="S40" s="288" t="str">
        <f t="shared" si="2"/>
        <v>Ok</v>
      </c>
      <c r="V40" s="13"/>
    </row>
    <row r="41" spans="1:22">
      <c r="B41" t="s">
        <v>1193</v>
      </c>
      <c r="C41" s="187">
        <f>IF(B41="","",IF(LEN(B41)&gt;9,SUMIFS(Options!$H$3:$H$28,Options!$B$3:$B$28,Check!B41),SUMIFS('Master P&amp;L'!$H$11:$H$88,'Master P&amp;L'!$B$11:$B$88,Check!B41)))</f>
        <v>-1000</v>
      </c>
      <c r="D41" s="187">
        <f>IF(B41="","",SUMIFS(Input_APM!N:N,Input_APM!L:L,Check!B41,Input_APM!M:M,Check!$F$1))</f>
        <v>-940</v>
      </c>
      <c r="E41" s="173">
        <f t="shared" si="5"/>
        <v>0</v>
      </c>
      <c r="F41" s="187">
        <f>IF(B41="","",SUMIFS(Input_APM!N:N,Input_APM!M:M,Check!$F$1,Input_APM!L:L,Check!B41))</f>
        <v>-940</v>
      </c>
      <c r="G41" s="187">
        <f>IF(B41="","",SUMIFS(Input_APM!N:N,Input_APM!M:M,Check!$G$1,Input_APM!L:L,Check!B41))</f>
        <v>0</v>
      </c>
      <c r="H41" s="173">
        <f t="shared" si="0"/>
        <v>-940</v>
      </c>
      <c r="I41" s="173">
        <f>SUMIFS(Input_APM!N:N,Input_APM!L:L,Check!B41)</f>
        <v>-940</v>
      </c>
      <c r="J41" s="175">
        <f t="shared" si="3"/>
        <v>0</v>
      </c>
      <c r="K41" s="21">
        <f>IF(B41="","",SUMIFS('Input_APM (Zenith)'!N:N,'Input_APM (Zenith)'!L:L,Check!B41,'Input_APM (Zenith)'!M:M,Check!$F$1))</f>
        <v>-60</v>
      </c>
      <c r="L41" s="21">
        <f>IF(B41="","",SUMIFS('Input_APM (Zenith)'!N:N,'Input_APM (Zenith)'!L:L,Check!B41,'Input_APM (Zenith)'!M:M,Check!$G$1))</f>
        <v>0</v>
      </c>
      <c r="M41" s="193">
        <f t="shared" si="4"/>
        <v>-1000</v>
      </c>
      <c r="O41" t="s">
        <v>970</v>
      </c>
      <c r="P41" s="173">
        <f>IF(O41="","",IF(OR(LEFT(O41,4)="Cash",LEFT(O41,4)="Prov"),0,SUMIFS(Input_APM!N:N,Input_APM!L:L,Check!O41)))</f>
        <v>-47</v>
      </c>
      <c r="Q41" s="21">
        <f>IF(O41="","",IF(LEN(O41)&gt;9,SUMIFS(Options!$H$3:$H$28,Options!$B$3:$B$28,Check!O41),SUMIFS('Master P&amp;L'!$H$11:$H$88,'Master P&amp;L'!$B$11:$B$88,Check!O41)))</f>
        <v>0</v>
      </c>
      <c r="R41" s="173">
        <f t="shared" si="1"/>
        <v>-47</v>
      </c>
      <c r="S41" s="288" t="str">
        <f t="shared" si="2"/>
        <v>Erro</v>
      </c>
      <c r="V41" s="13"/>
    </row>
    <row r="42" spans="1:22">
      <c r="B42" t="s">
        <v>1102</v>
      </c>
      <c r="C42" s="187">
        <f>IF(B42="","",IF(LEN(B42)&gt;9,SUMIFS(Options!$H$3:$H$28,Options!$B$3:$B$28,Check!B42),SUMIFS('Master P&amp;L'!$H$11:$H$88,'Master P&amp;L'!$B$11:$B$88,Check!B42)))</f>
        <v>-300</v>
      </c>
      <c r="D42" s="187">
        <f>IF(B42="","",SUMIFS(Input_APM!N:N,Input_APM!L:L,Check!B42,Input_APM!M:M,Check!$F$1))</f>
        <v>-188</v>
      </c>
      <c r="E42" s="175">
        <f t="shared" si="5"/>
        <v>-100</v>
      </c>
      <c r="F42" s="187">
        <f>IF(B42="","",SUMIFS(Input_APM!N:N,Input_APM!M:M,Check!$F$1,Input_APM!L:L,Check!B42))</f>
        <v>-188</v>
      </c>
      <c r="G42" s="187">
        <f>IF(B42="","",SUMIFS(Input_APM!N:N,Input_APM!M:M,Check!$G$1,Input_APM!L:L,Check!B42))</f>
        <v>0</v>
      </c>
      <c r="H42" s="173">
        <f t="shared" si="0"/>
        <v>-188</v>
      </c>
      <c r="I42" s="173">
        <f>SUMIFS(Input_APM!N:N,Input_APM!L:L,Check!B42)</f>
        <v>-188</v>
      </c>
      <c r="J42" s="175">
        <f t="shared" si="3"/>
        <v>0</v>
      </c>
      <c r="K42" s="21">
        <f>IF(B42="","",SUMIFS('Input_APM (Zenith)'!N:N,'Input_APM (Zenith)'!L:L,Check!B42,'Input_APM (Zenith)'!M:M,Check!$F$1))</f>
        <v>-12</v>
      </c>
      <c r="L42" s="21">
        <f>IF(B42="","",SUMIFS('Input_APM (Zenith)'!N:N,'Input_APM (Zenith)'!L:L,Check!B42,'Input_APM (Zenith)'!M:M,Check!$G$1))</f>
        <v>0</v>
      </c>
      <c r="M42" s="193">
        <f t="shared" si="4"/>
        <v>-200</v>
      </c>
      <c r="O42" t="s">
        <v>6</v>
      </c>
      <c r="P42" s="173">
        <f>IF(O42="","",IF(OR(LEFT(O42,4)="Cash",LEFT(O42,4)="Prov"),0,SUMIFS(Input_APM!N:N,Input_APM!L:L,Check!O42)))</f>
        <v>14082</v>
      </c>
      <c r="Q42" s="21">
        <f>IF(O42="","",IF(LEN(O42)&gt;9,SUMIFS(Options!$H$3:$H$28,Options!$B$3:$B$28,Check!O42),SUMIFS('Master P&amp;L'!$H$11:$H$88,'Master P&amp;L'!$B$11:$B$88,Check!O42)))</f>
        <v>15000</v>
      </c>
      <c r="R42" s="173">
        <f t="shared" si="1"/>
        <v>-918</v>
      </c>
      <c r="S42" s="288">
        <f t="shared" si="2"/>
        <v>0.93879999999999997</v>
      </c>
      <c r="V42" s="13"/>
    </row>
    <row r="43" spans="1:22">
      <c r="A43" t="s">
        <v>442</v>
      </c>
      <c r="B43" t="s">
        <v>1103</v>
      </c>
      <c r="C43" s="187">
        <f>IF(B43="","",IF(LEN(B43)&gt;9,SUMIFS(Options!$H$3:$H$28,Options!$B$3:$B$28,Check!B43),SUMIFS('Master P&amp;L'!$H$11:$H$88,'Master P&amp;L'!$B$11:$B$88,Check!B43)))</f>
        <v>-100</v>
      </c>
      <c r="D43" s="187">
        <f>IF(B43="","",SUMIFS(Input_APM!N:N,Input_APM!L:L,Check!B43,Input_APM!M:M,Check!$F$1))</f>
        <v>-188</v>
      </c>
      <c r="E43" s="173">
        <f t="shared" si="5"/>
        <v>100</v>
      </c>
      <c r="F43" s="187">
        <f>IF(B43="","",SUMIFS(Input_APM!N:N,Input_APM!M:M,Check!$F$1,Input_APM!L:L,Check!B43))</f>
        <v>-188</v>
      </c>
      <c r="G43" s="187">
        <f>IF(B43="","",SUMIFS(Input_APM!N:N,Input_APM!M:M,Check!$G$1,Input_APM!L:L,Check!B43))</f>
        <v>0</v>
      </c>
      <c r="H43" s="173">
        <f t="shared" si="0"/>
        <v>-188</v>
      </c>
      <c r="I43" s="173">
        <f>SUMIFS(Input_APM!N:N,Input_APM!L:L,Check!B43)</f>
        <v>-188</v>
      </c>
      <c r="J43" s="175">
        <f t="shared" si="3"/>
        <v>0</v>
      </c>
      <c r="K43" s="21">
        <f>IF(B43="","",SUMIFS('Input_APM (Zenith)'!N:N,'Input_APM (Zenith)'!L:L,Check!B43,'Input_APM (Zenith)'!M:M,Check!$F$1))</f>
        <v>-12</v>
      </c>
      <c r="L43" s="21">
        <f>IF(B43="","",SUMIFS('Input_APM (Zenith)'!N:N,'Input_APM (Zenith)'!L:L,Check!B43,'Input_APM (Zenith)'!M:M,Check!$G$1))</f>
        <v>0</v>
      </c>
      <c r="M43" s="173">
        <f t="shared" si="4"/>
        <v>-200</v>
      </c>
      <c r="O43" t="s">
        <v>917</v>
      </c>
      <c r="P43" s="173">
        <f>IF(O43="","",IF(OR(LEFT(O43,4)="Cash",LEFT(O43,4)="Prov"),0,SUMIFS(Input_APM!N:N,Input_APM!L:L,Check!O43)))</f>
        <v>-6554</v>
      </c>
      <c r="Q43" s="21">
        <f>IF(O43="","",IF(LEN(O43)&gt;9,SUMIFS(Options!$H$3:$H$28,Options!$B$3:$B$28,Check!O43),SUMIFS('Master P&amp;L'!$H$11:$H$88,'Master P&amp;L'!$B$11:$B$88,Check!O43)))</f>
        <v>-10300</v>
      </c>
      <c r="R43" s="173">
        <f t="shared" si="1"/>
        <v>3746</v>
      </c>
      <c r="S43" s="288">
        <f t="shared" si="2"/>
        <v>0.63631067961165044</v>
      </c>
      <c r="V43" s="13"/>
    </row>
    <row r="44" spans="1:22">
      <c r="B44" t="s">
        <v>1074</v>
      </c>
      <c r="C44" s="187">
        <f>IF(B44="","",IF(LEN(B44)&gt;9,SUMIFS(Options!$H$3:$H$28,Options!$B$3:$B$28,Check!B44),SUMIFS('Master P&amp;L'!$H$11:$H$88,'Master P&amp;L'!$B$11:$B$88,Check!B44)))</f>
        <v>170</v>
      </c>
      <c r="D44" s="187">
        <f>IF(B44="","",SUMIFS(Input_APM!N:N,Input_APM!L:L,Check!B44,Input_APM!M:M,Check!$F$1))</f>
        <v>161</v>
      </c>
      <c r="E44" s="173">
        <f>IF(B44="","",C44-M44)</f>
        <v>0</v>
      </c>
      <c r="F44" s="187">
        <f>IF(B44="","",SUMIFS(Input_APM!N:N,Input_APM!M:M,Check!$F$1,Input_APM!L:L,Check!B44))</f>
        <v>161</v>
      </c>
      <c r="G44" s="187">
        <f>IF(B44="","",SUMIFS(Input_APM!N:N,Input_APM!M:M,Check!$G$1,Input_APM!L:L,Check!B44))</f>
        <v>0</v>
      </c>
      <c r="H44" s="173">
        <f t="shared" si="0"/>
        <v>161</v>
      </c>
      <c r="I44" s="173">
        <f>SUMIFS(Input_APM!N:N,Input_APM!L:L,Check!B44)</f>
        <v>161</v>
      </c>
      <c r="J44" s="175">
        <f t="shared" si="3"/>
        <v>0</v>
      </c>
      <c r="K44" s="21">
        <f>IF(B44="","",SUMIFS('Input_APM (Zenith)'!N:N,'Input_APM (Zenith)'!L:L,Check!B44,'Input_APM (Zenith)'!M:M,Check!$F$1))</f>
        <v>9</v>
      </c>
      <c r="L44" s="21">
        <f>IF(B44="","",SUMIFS('Input_APM (Zenith)'!N:N,'Input_APM (Zenith)'!L:L,Check!B44,'Input_APM (Zenith)'!M:M,Check!$G$1))</f>
        <v>0</v>
      </c>
      <c r="M44" s="173">
        <f t="shared" si="4"/>
        <v>170</v>
      </c>
      <c r="O44" t="s">
        <v>947</v>
      </c>
      <c r="P44" s="173">
        <f>IF(O44="","",IF(OR(LEFT(O44,4)="Cash",LEFT(O44,4)="Prov"),0,SUMIFS(Input_APM!N:N,Input_APM!L:L,Check!O44)))</f>
        <v>10349446</v>
      </c>
      <c r="Q44" s="21">
        <f>IF(O44="","",IF(LEN(O44)&gt;9,SUMIFS(Options!$H$3:$H$28,Options!$B$3:$B$28,Check!O44),SUMIFS('Master P&amp;L'!$H$11:$H$88,'Master P&amp;L'!$B$11:$B$88,Check!O44)))</f>
        <v>0</v>
      </c>
      <c r="R44" s="173">
        <f t="shared" si="1"/>
        <v>10349446</v>
      </c>
      <c r="S44" s="288" t="str">
        <f t="shared" si="2"/>
        <v>Erro</v>
      </c>
      <c r="V44" s="13"/>
    </row>
    <row r="45" spans="1:22">
      <c r="B45" t="s">
        <v>1188</v>
      </c>
      <c r="C45" s="187">
        <f>IF(B45="","",IF(LEN(B45)&gt;9,SUMIFS(Options!$H$3:$H$28,Options!$B$3:$B$28,Check!B45),SUMIFS('Master P&amp;L'!$H$11:$H$88,'Master P&amp;L'!$B$11:$B$88,Check!B45)))</f>
        <v>150</v>
      </c>
      <c r="D45" s="187">
        <f>IF(B45="","",SUMIFS(Input_APM!N:N,Input_APM!L:L,Check!B45,Input_APM!M:M,Check!$F$1))</f>
        <v>71</v>
      </c>
      <c r="E45" s="173">
        <f t="shared" si="5"/>
        <v>75</v>
      </c>
      <c r="F45" s="187">
        <f>IF(B45="","",SUMIFS(Input_APM!N:N,Input_APM!M:M,Check!$F$1,Input_APM!L:L,Check!B45))</f>
        <v>71</v>
      </c>
      <c r="G45" s="187">
        <f>IF(B45="","",SUMIFS(Input_APM!N:N,Input_APM!M:M,Check!$G$1,Input_APM!L:L,Check!B45))</f>
        <v>0</v>
      </c>
      <c r="H45" s="173">
        <f t="shared" si="0"/>
        <v>71</v>
      </c>
      <c r="I45" s="173">
        <f>SUMIFS(Input_APM!N:N,Input_APM!L:L,Check!B45)</f>
        <v>71</v>
      </c>
      <c r="J45" s="175">
        <f t="shared" si="3"/>
        <v>0</v>
      </c>
      <c r="K45" s="21">
        <f>IF(B45="","",SUMIFS('Input_APM (Zenith)'!N:N,'Input_APM (Zenith)'!L:L,Check!B45,'Input_APM (Zenith)'!M:M,Check!$F$1))</f>
        <v>4</v>
      </c>
      <c r="L45" s="21">
        <f>IF(B45="","",SUMIFS('Input_APM (Zenith)'!N:N,'Input_APM (Zenith)'!L:L,Check!B45,'Input_APM (Zenith)'!M:M,Check!$G$1))</f>
        <v>0</v>
      </c>
      <c r="M45" s="173">
        <f t="shared" si="4"/>
        <v>75</v>
      </c>
      <c r="O45" t="s">
        <v>729</v>
      </c>
      <c r="P45" s="173">
        <f>IF(O45="","",IF(OR(LEFT(O45,4)="Cash",LEFT(O45,4)="Prov"),0,SUMIFS(Input_APM!N:N,Input_APM!L:L,Check!O45)))</f>
        <v>4682</v>
      </c>
      <c r="Q45" s="21">
        <f>IF(O45="","",IF(LEN(O45)&gt;9,SUMIFS(Options!$H$3:$H$28,Options!$B$3:$B$28,Check!O45),SUMIFS('Master P&amp;L'!$H$11:$H$88,'Master P&amp;L'!$B$11:$B$88,Check!O45)))</f>
        <v>4000</v>
      </c>
      <c r="R45" s="173">
        <f t="shared" si="1"/>
        <v>682</v>
      </c>
      <c r="S45" s="288">
        <f t="shared" si="2"/>
        <v>1.1705000000000001</v>
      </c>
      <c r="V45" s="13"/>
    </row>
    <row r="46" spans="1:22">
      <c r="B46" t="s">
        <v>1189</v>
      </c>
      <c r="C46" s="187">
        <f>IF(B46="","",IF(LEN(B46)&gt;9,SUMIFS(Options!$H$3:$H$28,Options!$B$3:$B$28,Check!B46),SUMIFS('Master P&amp;L'!$H$11:$H$88,'Master P&amp;L'!$B$11:$B$88,Check!B46)))</f>
        <v>-150</v>
      </c>
      <c r="D46" s="187">
        <f>IF(B46="","",SUMIFS(Input_APM!N:N,Input_APM!L:L,Check!B46,Input_APM!M:M,Check!$F$1))</f>
        <v>-71</v>
      </c>
      <c r="E46" s="175">
        <f t="shared" si="5"/>
        <v>-75</v>
      </c>
      <c r="F46" s="187">
        <f>IF(B46="","",SUMIFS(Input_APM!N:N,Input_APM!M:M,Check!$F$1,Input_APM!L:L,Check!B46))</f>
        <v>-71</v>
      </c>
      <c r="G46" s="187">
        <f>IF(B46="","",SUMIFS(Input_APM!N:N,Input_APM!M:M,Check!$G$1,Input_APM!L:L,Check!B46))</f>
        <v>0</v>
      </c>
      <c r="H46" s="173">
        <f t="shared" si="0"/>
        <v>-71</v>
      </c>
      <c r="I46" s="173">
        <f>SUMIFS(Input_APM!N:N,Input_APM!L:L,Check!B46)</f>
        <v>-71</v>
      </c>
      <c r="J46" s="175">
        <f t="shared" si="3"/>
        <v>0</v>
      </c>
      <c r="K46" s="21">
        <f>IF(B46="","",SUMIFS('Input_APM (Zenith)'!N:N,'Input_APM (Zenith)'!L:L,Check!B46,'Input_APM (Zenith)'!M:M,Check!$F$1))</f>
        <v>-4</v>
      </c>
      <c r="L46" s="21">
        <f>IF(B46="","",SUMIFS('Input_APM (Zenith)'!N:N,'Input_APM (Zenith)'!L:L,Check!B46,'Input_APM (Zenith)'!M:M,Check!$G$1))</f>
        <v>0</v>
      </c>
      <c r="M46" s="173">
        <f t="shared" si="4"/>
        <v>-75</v>
      </c>
      <c r="O46" t="s">
        <v>1188</v>
      </c>
      <c r="P46" s="173">
        <f>IF(O46="","",IF(OR(LEFT(O46,4)="Cash",LEFT(O46,4)="Prov"),0,SUMIFS(Input_APM!N:N,Input_APM!L:L,Check!O46)))</f>
        <v>71</v>
      </c>
      <c r="Q46" s="21">
        <f>IF(O46="","",IF(LEN(O46)&gt;9,SUMIFS(Options!$H$3:$H$28,Options!$B$3:$B$28,Check!O46),SUMIFS('Master P&amp;L'!$H$11:$H$88,'Master P&amp;L'!$B$11:$B$88,Check!O46)))</f>
        <v>150</v>
      </c>
      <c r="R46" s="173">
        <f t="shared" si="1"/>
        <v>-79</v>
      </c>
      <c r="S46" s="288">
        <f t="shared" si="2"/>
        <v>0.47333333333333333</v>
      </c>
      <c r="V46" s="13"/>
    </row>
    <row r="47" spans="1:22">
      <c r="B47" t="s">
        <v>925</v>
      </c>
      <c r="C47" s="187">
        <f>IF(B47="","",IF(LEN(B47)&gt;9,SUMIFS(Options!$H$3:$H$28,Options!$B$3:$B$28,Check!B47),SUMIFS('Master P&amp;L'!$H$11:$H$88,'Master P&amp;L'!$B$11:$B$88,Check!B47)))</f>
        <v>450</v>
      </c>
      <c r="D47" s="187">
        <f>IF(B47="","",SUMIFS(Input_APM!N:N,Input_APM!L:L,Check!B47,Input_APM!M:M,Check!$F$1))</f>
        <v>422</v>
      </c>
      <c r="E47" s="175">
        <f t="shared" si="5"/>
        <v>0</v>
      </c>
      <c r="F47" s="187">
        <f>IF(B47="","",SUMIFS(Input_APM!N:N,Input_APM!M:M,Check!$F$1,Input_APM!L:L,Check!B47))</f>
        <v>422</v>
      </c>
      <c r="G47" s="187">
        <f>IF(B47="","",SUMIFS(Input_APM!N:N,Input_APM!M:M,Check!$G$1,Input_APM!L:L,Check!B47))</f>
        <v>0</v>
      </c>
      <c r="H47" s="173">
        <f t="shared" si="0"/>
        <v>422</v>
      </c>
      <c r="I47" s="173">
        <f>SUMIFS(Input_APM!N:N,Input_APM!L:L,Check!B47)</f>
        <v>422</v>
      </c>
      <c r="J47" s="175">
        <f t="shared" si="3"/>
        <v>0</v>
      </c>
      <c r="K47" s="21">
        <f>IF(B47="","",SUMIFS('Input_APM (Zenith)'!N:N,'Input_APM (Zenith)'!L:L,Check!B47,'Input_APM (Zenith)'!M:M,Check!$F$1))</f>
        <v>28</v>
      </c>
      <c r="L47" s="21">
        <f>IF(B47="","",SUMIFS('Input_APM (Zenith)'!N:N,'Input_APM (Zenith)'!L:L,Check!B47,'Input_APM (Zenith)'!M:M,Check!$G$1))</f>
        <v>0</v>
      </c>
      <c r="M47" s="173">
        <f t="shared" si="4"/>
        <v>450</v>
      </c>
      <c r="O47" t="s">
        <v>1189</v>
      </c>
      <c r="P47" s="173">
        <f>IF(O47="","",IF(OR(LEFT(O47,4)="Cash",LEFT(O47,4)="Prov"),0,SUMIFS(Input_APM!N:N,Input_APM!L:L,Check!O47)))</f>
        <v>-71</v>
      </c>
      <c r="Q47" s="21">
        <f>IF(O47="","",IF(LEN(O47)&gt;9,SUMIFS(Options!$H$3:$H$28,Options!$B$3:$B$28,Check!O47),SUMIFS('Master P&amp;L'!$H$11:$H$88,'Master P&amp;L'!$B$11:$B$88,Check!O47)))</f>
        <v>-150</v>
      </c>
      <c r="R47" s="173">
        <f t="shared" si="1"/>
        <v>79</v>
      </c>
      <c r="S47" s="288">
        <f t="shared" si="2"/>
        <v>0.47333333333333333</v>
      </c>
    </row>
    <row r="48" spans="1:22">
      <c r="B48" t="s">
        <v>1101</v>
      </c>
      <c r="C48" s="187">
        <f>IF(B48="","",IF(LEN(B48)&gt;9,SUMIFS(Options!$H$3:$H$28,Options!$B$3:$B$28,Check!B48),SUMIFS('Master P&amp;L'!$H$11:$H$88,'Master P&amp;L'!$B$11:$B$88,Check!B48)))</f>
        <v>-450</v>
      </c>
      <c r="D48" s="187">
        <f>IF(B48="","",SUMIFS(Input_APM!N:N,Input_APM!L:L,Check!B48,Input_APM!M:M,Check!$F$1))</f>
        <v>-422</v>
      </c>
      <c r="E48" s="175">
        <f t="shared" si="5"/>
        <v>0</v>
      </c>
      <c r="F48" s="187">
        <f>IF(B48="","",SUMIFS(Input_APM!N:N,Input_APM!M:M,Check!$F$1,Input_APM!L:L,Check!B48))</f>
        <v>-422</v>
      </c>
      <c r="G48" s="187">
        <f>IF(B48="","",SUMIFS(Input_APM!N:N,Input_APM!M:M,Check!$G$1,Input_APM!L:L,Check!B48))</f>
        <v>0</v>
      </c>
      <c r="H48" s="173">
        <f t="shared" si="0"/>
        <v>-422</v>
      </c>
      <c r="I48" s="173">
        <f>SUMIFS(Input_APM!N:N,Input_APM!L:L,Check!B48)</f>
        <v>-422</v>
      </c>
      <c r="J48" s="175">
        <f t="shared" si="3"/>
        <v>0</v>
      </c>
      <c r="K48" s="21">
        <f>IF(B48="","",SUMIFS('Input_APM (Zenith)'!N:N,'Input_APM (Zenith)'!L:L,Check!B48,'Input_APM (Zenith)'!M:M,Check!$F$1))</f>
        <v>-28</v>
      </c>
      <c r="L48" s="21">
        <f>IF(B48="","",SUMIFS('Input_APM (Zenith)'!N:N,'Input_APM (Zenith)'!L:L,Check!B48,'Input_APM (Zenith)'!M:M,Check!$G$1))</f>
        <v>0</v>
      </c>
      <c r="M48" s="173">
        <f t="shared" si="4"/>
        <v>-450</v>
      </c>
      <c r="O48" t="s">
        <v>340</v>
      </c>
      <c r="P48" s="173">
        <f>IF(O48="","",IF(OR(LEFT(O48,4)="Cash",LEFT(O48,4)="Prov"),0,SUMIFS(Input_APM!N:N,Input_APM!L:L,Check!O48)))</f>
        <v>0</v>
      </c>
      <c r="Q48" s="21">
        <f>IF(O48="","",IF(LEN(O48)&gt;9,SUMIFS(Options!$H$3:$H$28,Options!$B$3:$B$28,Check!O48),SUMIFS('Master P&amp;L'!$H$11:$H$88,'Master P&amp;L'!$B$11:$B$88,Check!O48)))</f>
        <v>0</v>
      </c>
      <c r="R48" s="173">
        <f t="shared" si="1"/>
        <v>0</v>
      </c>
      <c r="S48" s="288" t="str">
        <f t="shared" si="2"/>
        <v>Ok</v>
      </c>
    </row>
    <row r="49" spans="1:19">
      <c r="B49" t="s">
        <v>971</v>
      </c>
      <c r="C49" s="187">
        <f>IF(B49="","",IF(LEN(B49)&gt;9,SUMIFS(Options!$H$3:$H$28,Options!$B$3:$B$28,Check!B49),SUMIFS('Master P&amp;L'!$H$11:$H$88,'Master P&amp;L'!$B$11:$B$88,Check!B49)))</f>
        <v>300</v>
      </c>
      <c r="D49" s="187">
        <f>IF(B49="","",SUMIFS(Input_APM!N:N,Input_APM!L:L,Check!B49,Input_APM!M:M,Check!$F$1))</f>
        <v>284</v>
      </c>
      <c r="E49" s="175">
        <f t="shared" si="5"/>
        <v>0</v>
      </c>
      <c r="F49" s="187">
        <f>IF(B49="","",SUMIFS(Input_APM!N:N,Input_APM!M:M,Check!$F$1,Input_APM!L:L,Check!B49))</f>
        <v>284</v>
      </c>
      <c r="G49" s="187">
        <f>IF(B49="","",SUMIFS(Input_APM!N:N,Input_APM!M:M,Check!$G$1,Input_APM!L:L,Check!B49))</f>
        <v>0</v>
      </c>
      <c r="H49" s="173">
        <f t="shared" si="0"/>
        <v>284</v>
      </c>
      <c r="I49" s="173">
        <f>SUMIFS(Input_APM!N:N,Input_APM!L:L,Check!B49)</f>
        <v>284</v>
      </c>
      <c r="J49" s="175">
        <f t="shared" si="3"/>
        <v>0</v>
      </c>
      <c r="K49" s="21">
        <f>IF(B49="","",SUMIFS('Input_APM (Zenith)'!N:N,'Input_APM (Zenith)'!L:L,Check!B49,'Input_APM (Zenith)'!M:M,Check!$F$1))</f>
        <v>16</v>
      </c>
      <c r="L49" s="21">
        <f>IF(B49="","",SUMIFS('Input_APM (Zenith)'!N:N,'Input_APM (Zenith)'!L:L,Check!B49,'Input_APM (Zenith)'!M:M,Check!$G$1))</f>
        <v>0</v>
      </c>
      <c r="M49" s="173">
        <f t="shared" si="4"/>
        <v>300</v>
      </c>
      <c r="O49" t="s">
        <v>1123</v>
      </c>
      <c r="P49" s="173">
        <f>IF(O49="","",IF(OR(LEFT(O49,4)="Cash",LEFT(O49,4)="Prov"),0,SUMIFS(Input_APM!N:N,Input_APM!L:L,Check!O49)))</f>
        <v>0</v>
      </c>
      <c r="Q49" s="21">
        <f>IF(O49="","",IF(LEN(O49)&gt;9,SUMIFS(Options!$H$3:$H$28,Options!$B$3:$B$28,Check!O49),SUMIFS('Master P&amp;L'!$H$11:$H$88,'Master P&amp;L'!$B$11:$B$88,Check!O49)))</f>
        <v>0</v>
      </c>
      <c r="R49" s="173">
        <f t="shared" si="1"/>
        <v>0</v>
      </c>
      <c r="S49" s="288" t="str">
        <f t="shared" si="2"/>
        <v>Ok</v>
      </c>
    </row>
    <row r="50" spans="1:19">
      <c r="A50" t="s">
        <v>442</v>
      </c>
      <c r="B50" t="s">
        <v>970</v>
      </c>
      <c r="C50" s="187">
        <f>IF(B50="","",IF(LEN(B50)&gt;9,SUMIFS(Options!$H$3:$H$28,Options!$B$3:$B$28,Check!B50),SUMIFS('Master P&amp;L'!$H$11:$H$88,'Master P&amp;L'!$B$11:$B$88,Check!B50)))</f>
        <v>0</v>
      </c>
      <c r="D50" s="187">
        <f>IF(B50="","",SUMIFS(Input_APM!N:N,Input_APM!L:L,Check!B50,Input_APM!M:M,Check!$F$1))</f>
        <v>-47</v>
      </c>
      <c r="E50" s="175">
        <f t="shared" si="5"/>
        <v>50</v>
      </c>
      <c r="F50" s="187">
        <f>IF(B50="","",SUMIFS(Input_APM!N:N,Input_APM!M:M,Check!$F$1,Input_APM!L:L,Check!B50))</f>
        <v>-47</v>
      </c>
      <c r="G50" s="187">
        <f>IF(B50="","",SUMIFS(Input_APM!N:N,Input_APM!M:M,Check!$G$1,Input_APM!L:L,Check!B50))</f>
        <v>0</v>
      </c>
      <c r="H50" s="173">
        <f t="shared" si="0"/>
        <v>-47</v>
      </c>
      <c r="I50" s="173">
        <f>SUMIFS(Input_APM!N:N,Input_APM!L:L,Check!B50)</f>
        <v>-47</v>
      </c>
      <c r="J50" s="175">
        <f t="shared" si="3"/>
        <v>0</v>
      </c>
      <c r="K50" s="21">
        <f>IF(B50="","",SUMIFS('Input_APM (Zenith)'!N:N,'Input_APM (Zenith)'!L:L,Check!B50,'Input_APM (Zenith)'!M:M,Check!$F$1))</f>
        <v>-3</v>
      </c>
      <c r="L50" s="21">
        <f>IF(B50="","",SUMIFS('Input_APM (Zenith)'!N:N,'Input_APM (Zenith)'!L:L,Check!B50,'Input_APM (Zenith)'!M:M,Check!$G$1))</f>
        <v>0</v>
      </c>
      <c r="M50" s="173">
        <f t="shared" si="4"/>
        <v>-50</v>
      </c>
      <c r="O50" t="s">
        <v>1043</v>
      </c>
      <c r="P50" s="173">
        <f>IF(O50="","",IF(OR(LEFT(O50,4)="Cash",LEFT(O50,4)="Prov"),0,SUMIFS(Input_APM!N:N,Input_APM!L:L,Check!O50)))</f>
        <v>-9372000</v>
      </c>
      <c r="Q50" s="21">
        <f>IF(O50="","",IF(LEN(O50)&gt;9,SUMIFS(Options!$H$3:$H$28,Options!$B$3:$B$28,Check!O50),SUMIFS('Master P&amp;L'!$H$11:$H$88,'Master P&amp;L'!$B$11:$B$88,Check!O50)))</f>
        <v>0</v>
      </c>
      <c r="R50" s="173">
        <f t="shared" si="1"/>
        <v>-9372000</v>
      </c>
      <c r="S50" s="288" t="str">
        <f t="shared" si="2"/>
        <v>Erro</v>
      </c>
    </row>
    <row r="51" spans="1:19">
      <c r="B51" t="s">
        <v>887</v>
      </c>
      <c r="C51" s="187">
        <f>IF(B51="","",IF(LEN(B51)&gt;9,SUMIFS(Options!$H$3:$H$28,Options!$B$3:$B$28,Check!B51),SUMIFS('Master P&amp;L'!$H$11:$H$88,'Master P&amp;L'!$B$11:$B$88,Check!B51)))</f>
        <v>1550</v>
      </c>
      <c r="D51" s="187">
        <f>IF(B51="","",SUMIFS(Input_APM!N:N,Input_APM!L:L,Check!B51,Input_APM!M:M,Check!$F$1))</f>
        <v>1453</v>
      </c>
      <c r="E51" s="175">
        <f t="shared" si="5"/>
        <v>0</v>
      </c>
      <c r="F51" s="187">
        <f>IF(B51="","",SUMIFS(Input_APM!N:N,Input_APM!M:M,Check!$F$1,Input_APM!L:L,Check!B51))</f>
        <v>1453</v>
      </c>
      <c r="G51" s="187">
        <f>IF(B51="","",SUMIFS(Input_APM!N:N,Input_APM!M:M,Check!$G$1,Input_APM!L:L,Check!B51))</f>
        <v>0</v>
      </c>
      <c r="H51" s="173">
        <f t="shared" si="0"/>
        <v>1453</v>
      </c>
      <c r="I51" s="173">
        <f>SUMIFS(Input_APM!N:N,Input_APM!L:L,Check!B51)</f>
        <v>1453</v>
      </c>
      <c r="J51" s="175">
        <f t="shared" si="3"/>
        <v>0</v>
      </c>
      <c r="K51" s="21">
        <f>IF(B51="","",SUMIFS('Input_APM (Zenith)'!N:N,'Input_APM (Zenith)'!L:L,Check!B51,'Input_APM (Zenith)'!M:M,Check!$F$1))</f>
        <v>97</v>
      </c>
      <c r="L51" s="21">
        <f>IF(B51="","",SUMIFS('Input_APM (Zenith)'!N:N,'Input_APM (Zenith)'!L:L,Check!B51,'Input_APM (Zenith)'!M:M,Check!$G$1))</f>
        <v>0</v>
      </c>
      <c r="M51" s="173">
        <f t="shared" si="4"/>
        <v>1550</v>
      </c>
      <c r="O51" t="s">
        <v>29</v>
      </c>
      <c r="P51" s="173">
        <f>IF(O51="","",IF(OR(LEFT(O51,4)="Cash",LEFT(O51,4)="Prov"),0,SUMIFS(Input_APM!N:N,Input_APM!L:L,Check!O51)))</f>
        <v>7610</v>
      </c>
      <c r="Q51" s="21">
        <f>IF(O51="","",IF(LEN(O51)&gt;9,SUMIFS(Options!$H$3:$H$28,Options!$B$3:$B$28,Check!O51),SUMIFS('Master P&amp;L'!$H$11:$H$88,'Master P&amp;L'!$B$11:$B$88,Check!O51)))</f>
        <v>8100</v>
      </c>
      <c r="R51" s="173">
        <f t="shared" si="1"/>
        <v>-490</v>
      </c>
      <c r="S51" s="288">
        <f t="shared" si="2"/>
        <v>0.93950617283950622</v>
      </c>
    </row>
    <row r="52" spans="1:19">
      <c r="B52" t="s">
        <v>888</v>
      </c>
      <c r="C52" s="187">
        <f>IF(B52="","",IF(LEN(B52)&gt;9,SUMIFS(Options!$H$3:$H$28,Options!$B$3:$B$28,Check!B52),SUMIFS('Master P&amp;L'!$H$11:$H$88,'Master P&amp;L'!$B$11:$B$88,Check!B52)))</f>
        <v>-1275</v>
      </c>
      <c r="D52" s="187">
        <f>IF(B52="","",SUMIFS(Input_APM!N:N,Input_APM!L:L,Check!B52,Input_APM!M:M,Check!$F$1))</f>
        <v>-1195</v>
      </c>
      <c r="E52" s="173">
        <f>IF(B52="","",C52-M52)</f>
        <v>0</v>
      </c>
      <c r="F52" s="187">
        <f>IF(B52="","",SUMIFS(Input_APM!N:N,Input_APM!M:M,Check!$F$1,Input_APM!L:L,Check!B52))</f>
        <v>-1195</v>
      </c>
      <c r="G52" s="187">
        <f>IF(B52="","",SUMIFS(Input_APM!N:N,Input_APM!M:M,Check!$G$1,Input_APM!L:L,Check!B52))</f>
        <v>0</v>
      </c>
      <c r="H52" s="173">
        <f t="shared" si="0"/>
        <v>-1195</v>
      </c>
      <c r="I52" s="173">
        <f>SUMIFS(Input_APM!N:N,Input_APM!L:L,Check!B52)</f>
        <v>-1195</v>
      </c>
      <c r="J52" s="175">
        <f t="shared" si="3"/>
        <v>0</v>
      </c>
      <c r="K52" s="21">
        <f>IF(B52="","",SUMIFS('Input_APM (Zenith)'!N:N,'Input_APM (Zenith)'!L:L,Check!B52,'Input_APM (Zenith)'!M:M,Check!$F$1))</f>
        <v>-80</v>
      </c>
      <c r="L52" s="21">
        <f>IF(B52="","",SUMIFS('Input_APM (Zenith)'!N:N,'Input_APM (Zenith)'!L:L,Check!B52,'Input_APM (Zenith)'!M:M,Check!$G$1))</f>
        <v>0</v>
      </c>
      <c r="M52" s="173">
        <f t="shared" si="4"/>
        <v>-1275</v>
      </c>
      <c r="O52" t="s">
        <v>1074</v>
      </c>
      <c r="P52" s="173">
        <f>IF(O52="","",IF(OR(LEFT(O52,4)="Cash",LEFT(O52,4)="Prov"),0,SUMIFS(Input_APM!N:N,Input_APM!L:L,Check!O52)))</f>
        <v>161</v>
      </c>
      <c r="Q52" s="21">
        <f>IF(O52="","",IF(LEN(O52)&gt;9,SUMIFS(Options!$H$3:$H$28,Options!$B$3:$B$28,Check!O52),SUMIFS('Master P&amp;L'!$H$11:$H$88,'Master P&amp;L'!$B$11:$B$88,Check!O52)))</f>
        <v>170</v>
      </c>
      <c r="R52" s="173">
        <f t="shared" si="1"/>
        <v>-9</v>
      </c>
      <c r="S52" s="288">
        <f t="shared" si="2"/>
        <v>0.94705882352941173</v>
      </c>
    </row>
    <row r="53" spans="1:19">
      <c r="B53"/>
      <c r="C53" s="187" t="str">
        <f>IF(B53="","",IF(LEN(B53)&gt;9,SUMIFS(Options!$H$3:$H$28,Options!$B$3:$B$28,Check!B53),SUMIFS('Master P&amp;L'!$H$11:$H$88,'Master P&amp;L'!$B$11:$B$88,Check!B53)))</f>
        <v/>
      </c>
      <c r="D53" s="187" t="str">
        <f>IF(B53="","",SUMIFS(Input_APM!N:N,Input_APM!L:L,Check!B53,Input_APM!M:M,Check!$F$1))</f>
        <v/>
      </c>
      <c r="E53" s="173" t="str">
        <f>IF(B53="","",C53-M53)</f>
        <v/>
      </c>
      <c r="F53" s="187" t="str">
        <f>IF(B53="","",SUMIFS(Input_APM!N:N,Input_APM!M:M,Check!$F$1,Input_APM!L:L,Check!B53))</f>
        <v/>
      </c>
      <c r="G53" s="187" t="str">
        <f>IF(B53="","",SUMIFS(Input_APM!N:N,Input_APM!M:M,Check!$G$1,Input_APM!L:L,Check!B53))</f>
        <v/>
      </c>
      <c r="H53" s="173" t="str">
        <f t="shared" si="0"/>
        <v/>
      </c>
      <c r="I53" s="173">
        <f>SUMIFS(Input_APM!N:N,Input_APM!L:L,Check!B53)</f>
        <v>0</v>
      </c>
      <c r="J53" s="175" t="str">
        <f t="shared" si="3"/>
        <v/>
      </c>
      <c r="K53" s="21" t="str">
        <f>IF(B53="","",SUMIFS('Input_APM (Zenith)'!N:N,'Input_APM (Zenith)'!L:L,Check!B53,'Input_APM (Zenith)'!M:M,Check!$F$1))</f>
        <v/>
      </c>
      <c r="L53" s="21" t="str">
        <f>IF(B53="","",SUMIFS('Input_APM (Zenith)'!N:N,'Input_APM (Zenith)'!L:L,Check!B53,'Input_APM (Zenith)'!M:M,Check!$G$1))</f>
        <v/>
      </c>
      <c r="M53" s="173" t="str">
        <f>IF(B53="","",F53+G53+K53+L53)</f>
        <v/>
      </c>
      <c r="O53" t="s">
        <v>85</v>
      </c>
      <c r="P53" s="173">
        <f>IF(O53="","",IF(OR(LEFT(O53,4)="Cash",LEFT(O53,4)="Prov"),0,SUMIFS(Input_APM!N:N,Input_APM!L:L,Check!O53)))</f>
        <v>-5262</v>
      </c>
      <c r="Q53" s="21">
        <f>IF(O53="","",IF(LEN(O53)&gt;9,SUMIFS(Options!$H$3:$H$28,Options!$B$3:$B$28,Check!O53),SUMIFS('Master P&amp;L'!$H$11:$H$88,'Master P&amp;L'!$B$11:$B$88,Check!O53)))</f>
        <v>-5600</v>
      </c>
      <c r="R53" s="173">
        <f t="shared" si="1"/>
        <v>338</v>
      </c>
      <c r="S53" s="288">
        <f t="shared" si="2"/>
        <v>0.93964285714285711</v>
      </c>
    </row>
    <row r="54" spans="1:19">
      <c r="B54"/>
      <c r="C54" s="187" t="str">
        <f>IF(B54="","",IF(LEN(B54)&gt;9,SUMIFS(Options!$H$3:$H$28,Options!$B$3:$B$28,Check!B54),SUMIFS('Master P&amp;L'!$H$11:$H$88,'Master P&amp;L'!$B$11:$B$88,Check!B54)))</f>
        <v/>
      </c>
      <c r="D54" s="187" t="str">
        <f>IF(B54="","",SUMIFS(Input_APM!N:N,Input_APM!L:L,Check!B54,Input_APM!M:M,Check!$F$1))</f>
        <v/>
      </c>
      <c r="E54" s="175" t="str">
        <f t="shared" si="5"/>
        <v/>
      </c>
      <c r="F54" s="187" t="str">
        <f>IF(B54="","",SUMIFS(Input_APM!N:N,Input_APM!M:M,Check!$F$1,Input_APM!L:L,Check!B54))</f>
        <v/>
      </c>
      <c r="G54" s="187" t="str">
        <f>IF(B54="","",SUMIFS(Input_APM!N:N,Input_APM!M:M,Check!$G$1,Input_APM!L:L,Check!B54))</f>
        <v/>
      </c>
      <c r="H54" s="173" t="str">
        <f t="shared" si="0"/>
        <v/>
      </c>
      <c r="I54" s="173">
        <f>SUMIFS(Input_APM!N:N,Input_APM!L:L,Check!B54)</f>
        <v>0</v>
      </c>
      <c r="J54" s="175" t="str">
        <f t="shared" si="3"/>
        <v/>
      </c>
      <c r="K54" s="21" t="str">
        <f>IF(B54="","",SUMIFS('Input_APM (Zenith)'!N:N,'Input_APM (Zenith)'!L:L,Check!B54,'Input_APM (Zenith)'!M:M,Check!$F$1))</f>
        <v/>
      </c>
      <c r="L54" s="21" t="str">
        <f>IF(B54="","",SUMIFS('Input_APM (Zenith)'!N:N,'Input_APM (Zenith)'!L:L,Check!B54,'Input_APM (Zenith)'!M:M,Check!$G$1))</f>
        <v/>
      </c>
      <c r="M54" s="173" t="str">
        <f t="shared" si="4"/>
        <v/>
      </c>
      <c r="O54" t="s">
        <v>1101</v>
      </c>
      <c r="P54" s="173">
        <f>IF(O54="","",IF(OR(LEFT(O54,4)="Cash",LEFT(O54,4)="Prov"),0,SUMIFS(Input_APM!N:N,Input_APM!L:L,Check!O54)))</f>
        <v>-422</v>
      </c>
      <c r="Q54" s="21">
        <f>IF(O54="","",IF(LEN(O54)&gt;9,SUMIFS(Options!$H$3:$H$28,Options!$B$3:$B$28,Check!O54),SUMIFS('Master P&amp;L'!$H$11:$H$88,'Master P&amp;L'!$B$11:$B$88,Check!O54)))</f>
        <v>-450</v>
      </c>
      <c r="R54" s="173">
        <f t="shared" si="1"/>
        <v>28</v>
      </c>
      <c r="S54" s="288">
        <f t="shared" si="2"/>
        <v>0.93777777777777782</v>
      </c>
    </row>
    <row r="55" spans="1:19">
      <c r="B55"/>
      <c r="C55" s="187" t="str">
        <f>IF(B55="","",IF(LEN(B55)&gt;9,SUMIFS(Options!$H$3:$H$28,Options!$B$3:$B$28,Check!B55),SUMIFS('Master P&amp;L'!$H$11:$H$88,'Master P&amp;L'!$B$11:$B$88,Check!B55)))</f>
        <v/>
      </c>
      <c r="D55" s="187" t="str">
        <f>IF(B55="","",SUMIFS(Input_APM!N:N,Input_APM!L:L,Check!B55,Input_APM!M:M,Check!$F$1))</f>
        <v/>
      </c>
      <c r="E55" s="175" t="str">
        <f t="shared" si="5"/>
        <v/>
      </c>
      <c r="F55" s="187" t="str">
        <f>IF(B55="","",SUMIFS(Input_APM!N:N,Input_APM!M:M,Check!$F$1,Input_APM!L:L,Check!B55))</f>
        <v/>
      </c>
      <c r="G55" s="187" t="str">
        <f>IF(B55="","",SUMIFS(Input_APM!N:N,Input_APM!M:M,Check!$G$1,Input_APM!L:L,Check!B55))</f>
        <v/>
      </c>
      <c r="H55" s="173" t="str">
        <f t="shared" si="0"/>
        <v/>
      </c>
      <c r="I55" s="173">
        <f>SUMIFS(Input_APM!N:N,Input_APM!L:L,Check!B55)</f>
        <v>0</v>
      </c>
      <c r="J55" s="175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173" t="str">
        <f t="shared" si="4"/>
        <v/>
      </c>
      <c r="O55" t="s">
        <v>925</v>
      </c>
      <c r="P55" s="173">
        <f>IF(O55="","",IF(OR(LEFT(O55,4)="Cash",LEFT(O55,4)="Prov"),0,SUMIFS(Input_APM!N:N,Input_APM!L:L,Check!O55)))</f>
        <v>422</v>
      </c>
      <c r="Q55" s="21">
        <f>IF(O55="","",IF(LEN(O55)&gt;9,SUMIFS(Options!$H$3:$H$28,Options!$B$3:$B$28,Check!O55),SUMIFS('Master P&amp;L'!$H$11:$H$88,'Master P&amp;L'!$B$11:$B$88,Check!O55)))</f>
        <v>450</v>
      </c>
      <c r="R55" s="173">
        <f t="shared" si="1"/>
        <v>-28</v>
      </c>
      <c r="S55" s="288">
        <f t="shared" si="2"/>
        <v>0.93777777777777782</v>
      </c>
    </row>
    <row r="56" spans="1:19">
      <c r="B56"/>
      <c r="C56" s="187" t="str">
        <f>IF(B56="","",IF(LEN(B56)&gt;9,SUMIFS(Options!$H$3:$H$28,Options!$B$3:$B$28,Check!B56),SUMIFS('Master P&amp;L'!$H$11:$H$88,'Master P&amp;L'!$B$11:$B$88,Check!B56)))</f>
        <v/>
      </c>
      <c r="D56" s="187" t="str">
        <f>IF(B56="","",SUMIFS(Input_APM!N:N,Input_APM!L:L,Check!B56,Input_APM!M:M,Check!$F$1))</f>
        <v/>
      </c>
      <c r="E56" s="175" t="str">
        <f t="shared" si="5"/>
        <v/>
      </c>
      <c r="F56" s="187" t="str">
        <f>IF(B56="","",SUMIFS(Input_APM!N:N,Input_APM!M:M,Check!$F$1,Input_APM!L:L,Check!B56))</f>
        <v/>
      </c>
      <c r="G56" s="187" t="str">
        <f>IF(B56="","",SUMIFS(Input_APM!N:N,Input_APM!M:M,Check!$G$1,Input_APM!L:L,Check!B56))</f>
        <v/>
      </c>
      <c r="H56" s="173" t="str">
        <f t="shared" si="0"/>
        <v/>
      </c>
      <c r="I56" s="173">
        <f>SUMIFS(Input_APM!N:N,Input_APM!L:L,Check!B56)</f>
        <v>0</v>
      </c>
      <c r="J56" s="175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173" t="str">
        <f t="shared" si="4"/>
        <v/>
      </c>
      <c r="O56" t="s">
        <v>1102</v>
      </c>
      <c r="P56" s="173">
        <f>IF(O56="","",IF(OR(LEFT(O56,4)="Cash",LEFT(O56,4)="Prov"),0,SUMIFS(Input_APM!N:N,Input_APM!L:L,Check!O56)))</f>
        <v>-188</v>
      </c>
      <c r="Q56" s="21">
        <f>IF(O56="","",IF(LEN(O56)&gt;9,SUMIFS(Options!$H$3:$H$28,Options!$B$3:$B$28,Check!O56),SUMIFS('Master P&amp;L'!$H$11:$H$88,'Master P&amp;L'!$B$11:$B$88,Check!O56)))</f>
        <v>-300</v>
      </c>
      <c r="R56" s="173">
        <f t="shared" si="1"/>
        <v>112</v>
      </c>
      <c r="S56" s="288">
        <f t="shared" si="2"/>
        <v>0.62666666666666671</v>
      </c>
    </row>
    <row r="57" spans="1:19">
      <c r="B57"/>
      <c r="C57" s="187" t="str">
        <f>IF(B57="","",IF(LEN(B57)&gt;9,SUMIFS(Options!$H$3:$H$28,Options!$B$3:$B$28,Check!B57),SUMIFS('Master P&amp;L'!$H$11:$H$88,'Master P&amp;L'!$B$11:$B$88,Check!B57)))</f>
        <v/>
      </c>
      <c r="D57" s="187" t="str">
        <f>IF(B57="","",SUMIFS(Input_APM!N:N,Input_APM!L:L,Check!B57,Input_APM!M:M,Check!$F$1))</f>
        <v/>
      </c>
      <c r="E57" s="175" t="str">
        <f>IF(B57="","",C57-M57)</f>
        <v/>
      </c>
      <c r="F57" s="187" t="str">
        <f>IF(B57="","",SUMIFS(Input_APM!N:N,Input_APM!M:M,Check!$F$1,Input_APM!L:L,Check!B57))</f>
        <v/>
      </c>
      <c r="G57" s="187" t="str">
        <f>IF(B57="","",SUMIFS(Input_APM!N:N,Input_APM!M:M,Check!$G$1,Input_APM!L:L,Check!B57))</f>
        <v/>
      </c>
      <c r="H57" s="173" t="str">
        <f t="shared" si="0"/>
        <v/>
      </c>
      <c r="I57" s="173">
        <f>SUMIFS(Input_APM!N:N,Input_APM!L:L,Check!B57)</f>
        <v>0</v>
      </c>
      <c r="J57" s="175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173" t="str">
        <f t="shared" si="4"/>
        <v/>
      </c>
      <c r="O57" t="s">
        <v>1103</v>
      </c>
      <c r="P57" s="173">
        <f>IF(O57="","",IF(OR(LEFT(O57,4)="Cash",LEFT(O57,4)="Prov"),0,SUMIFS(Input_APM!N:N,Input_APM!L:L,Check!O57)))</f>
        <v>-188</v>
      </c>
      <c r="Q57" s="21">
        <f>IF(O57="","",IF(LEN(O57)&gt;9,SUMIFS(Options!$H$3:$H$28,Options!$B$3:$B$28,Check!O57),SUMIFS('Master P&amp;L'!$H$11:$H$88,'Master P&amp;L'!$B$11:$B$88,Check!O57)))</f>
        <v>-100</v>
      </c>
      <c r="R57" s="173">
        <f t="shared" si="1"/>
        <v>-88</v>
      </c>
      <c r="S57" s="288">
        <f t="shared" si="2"/>
        <v>1.88</v>
      </c>
    </row>
    <row r="58" spans="1:19">
      <c r="B58"/>
      <c r="C58" s="187" t="str">
        <f>IF(B58="","",IF(LEN(B58)&gt;9,SUMIFS(Options!$H$3:$H$28,Options!$B$3:$B$28,Check!B58),SUMIFS('Master P&amp;L'!$H$11:$H$88,'Master P&amp;L'!$B$11:$B$88,Check!B58)))</f>
        <v/>
      </c>
      <c r="D58" s="187" t="str">
        <f>IF(B58="","",SUMIFS(Input_APM!N:N,Input_APM!L:L,Check!B58,Input_APM!M:M,Check!$F$1))</f>
        <v/>
      </c>
      <c r="E58" s="173" t="str">
        <f t="shared" si="5"/>
        <v/>
      </c>
      <c r="F58" s="187" t="str">
        <f>IF(B58="","",SUMIFS(Input_APM!N:N,Input_APM!M:M,Check!$F$1,Input_APM!L:L,Check!B58))</f>
        <v/>
      </c>
      <c r="G58" s="187" t="str">
        <f>IF(B58="","",SUMIFS(Input_APM!N:N,Input_APM!M:M,Check!$G$1,Input_APM!L:L,Check!B58))</f>
        <v/>
      </c>
      <c r="H58" s="173" t="str">
        <f t="shared" si="0"/>
        <v/>
      </c>
      <c r="I58" s="173">
        <f>SUMIFS(Input_APM!N:N,Input_APM!L:L,Check!B58)</f>
        <v>0</v>
      </c>
      <c r="J58" s="175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173" t="str">
        <f t="shared" si="4"/>
        <v/>
      </c>
      <c r="O58" t="s">
        <v>1080</v>
      </c>
      <c r="P58" s="173">
        <f>IF(O58="","",IF(OR(LEFT(O58,4)="Cash",LEFT(O58,4)="Prov"),0,SUMIFS(Input_APM!N:N,Input_APM!L:L,Check!O58)))</f>
        <v>-15</v>
      </c>
      <c r="Q58" s="21">
        <f>IF(O58="","",IF(LEN(O58)&gt;9,SUMIFS(Options!$H$3:$H$28,Options!$B$3:$B$28,Check!O58),SUMIFS('Master P&amp;L'!$H$11:$H$88,'Master P&amp;L'!$B$11:$B$88,Check!O58)))</f>
        <v>0</v>
      </c>
      <c r="R58" s="173">
        <f t="shared" si="1"/>
        <v>-15</v>
      </c>
      <c r="S58" s="288" t="str">
        <f t="shared" si="2"/>
        <v>Erro</v>
      </c>
    </row>
    <row r="59" spans="1:19">
      <c r="B59"/>
      <c r="C59" s="187" t="str">
        <f>IF(B59="","",IF(LEN(B59)&gt;9,SUMIFS(Options!$H$3:$H$28,Options!$B$3:$B$28,Check!B59),SUMIFS('Master P&amp;L'!$H$11:$H$88,'Master P&amp;L'!$B$11:$B$88,Check!B59)))</f>
        <v/>
      </c>
      <c r="D59" s="187" t="str">
        <f>IF(B59="","",SUMIFS(Input_APM!N:N,Input_APM!L:L,Check!B59,Input_APM!M:M,Check!$F$1))</f>
        <v/>
      </c>
      <c r="E59" s="173" t="str">
        <f t="shared" si="5"/>
        <v/>
      </c>
      <c r="F59" s="187" t="str">
        <f>IF(B59="","",SUMIFS(Input_APM!N:N,Input_APM!M:M,Check!$F$1,Input_APM!L:L,Check!B59))</f>
        <v/>
      </c>
      <c r="G59" s="187" t="str">
        <f>IF(B59="","",SUMIFS(Input_APM!N:N,Input_APM!M:M,Check!$G$1,Input_APM!L:L,Check!B59))</f>
        <v/>
      </c>
      <c r="H59" s="173" t="str">
        <f t="shared" si="0"/>
        <v/>
      </c>
      <c r="I59" s="173">
        <f>SUMIFS(Input_APM!N:N,Input_APM!L:L,Check!B59)</f>
        <v>0</v>
      </c>
      <c r="J59" s="175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173" t="str">
        <f t="shared" si="4"/>
        <v/>
      </c>
      <c r="O59" t="s">
        <v>42</v>
      </c>
      <c r="P59" s="173">
        <f>IF(O59="","",IF(OR(LEFT(O59,4)="Cash",LEFT(O59,4)="Prov"),0,SUMIFS(Input_APM!N:N,Input_APM!L:L,Check!O59)))</f>
        <v>36561</v>
      </c>
      <c r="Q59" s="21">
        <f>IF(O59="","",IF(LEN(O59)&gt;9,SUMIFS(Options!$H$3:$H$28,Options!$B$3:$B$28,Check!O59),SUMIFS('Master P&amp;L'!$H$11:$H$88,'Master P&amp;L'!$B$11:$B$88,Check!O59)))</f>
        <v>52700</v>
      </c>
      <c r="R59" s="173">
        <f t="shared" si="1"/>
        <v>-16139</v>
      </c>
      <c r="S59" s="288">
        <f t="shared" si="2"/>
        <v>0.69375711574952559</v>
      </c>
    </row>
    <row r="60" spans="1:19">
      <c r="B60"/>
      <c r="C60" s="187" t="str">
        <f>IF(B60="","",IF(LEN(B60)&gt;9,SUMIFS(Options!$H$3:$H$28,Options!$B$3:$B$28,Check!B60),SUMIFS('Master P&amp;L'!$H$11:$H$88,'Master P&amp;L'!$B$11:$B$88,Check!B60)))</f>
        <v/>
      </c>
      <c r="D60" s="187" t="str">
        <f>IF(B60="","",SUMIFS(Input_APM!N:N,Input_APM!L:L,Check!B60,Input_APM!M:M,Check!$F$1))</f>
        <v/>
      </c>
      <c r="E60" s="175" t="str">
        <f t="shared" si="5"/>
        <v/>
      </c>
      <c r="F60" s="187" t="str">
        <f>IF(B60="","",SUMIFS(Input_APM!N:N,Input_APM!M:M,Check!$F$1,Input_APM!L:L,Check!B60))</f>
        <v/>
      </c>
      <c r="G60" s="187" t="str">
        <f>IF(B60="","",SUMIFS(Input_APM!N:N,Input_APM!M:M,Check!$G$1,Input_APM!L:L,Check!B60))</f>
        <v/>
      </c>
      <c r="H60" s="173" t="str">
        <f t="shared" si="0"/>
        <v/>
      </c>
      <c r="I60" s="173">
        <f>SUMIFS(Input_APM!N:N,Input_APM!L:L,Check!B60)</f>
        <v>0</v>
      </c>
      <c r="J60" s="175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173" t="str">
        <f t="shared" si="4"/>
        <v/>
      </c>
      <c r="O60" t="s">
        <v>1029</v>
      </c>
      <c r="P60" s="173">
        <f>IF(O60="","",IF(OR(LEFT(O60,4)="Cash",LEFT(O60,4)="Prov"),0,SUMIFS(Input_APM!N:N,Input_APM!L:L,Check!O60)))</f>
        <v>142</v>
      </c>
      <c r="Q60" s="21">
        <f>IF(O60="","",IF(LEN(O60)&gt;9,SUMIFS(Options!$H$3:$H$28,Options!$B$3:$B$28,Check!O60),SUMIFS('Master P&amp;L'!$H$11:$H$88,'Master P&amp;L'!$B$11:$B$88,Check!O60)))</f>
        <v>150</v>
      </c>
      <c r="R60" s="173">
        <f t="shared" si="1"/>
        <v>-8</v>
      </c>
      <c r="S60" s="288">
        <f t="shared" si="2"/>
        <v>0.94666666666666666</v>
      </c>
    </row>
    <row r="61" spans="1:19">
      <c r="B61"/>
      <c r="C61" s="187" t="str">
        <f>IF(B61="","",IF(LEN(B61)&gt;9,SUMIFS(Options!$H$3:$H$28,Options!$B$3:$B$28,Check!B61),SUMIFS('Master P&amp;L'!$H$11:$H$88,'Master P&amp;L'!$B$11:$B$88,Check!B61)))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1044</v>
      </c>
      <c r="P61" s="173">
        <f>IF(O61="","",IF(OR(LEFT(O61,4)="Cash",LEFT(O61,4)="Prov"),0,SUMIFS(Input_APM!N:N,Input_APM!L:L,Check!O61)))</f>
        <v>0</v>
      </c>
      <c r="Q61" s="21">
        <f>IF(O61="","",IF(LEN(O61)&gt;9,SUMIFS(Options!$H$3:$H$28,Options!$B$3:$B$28,Check!O61),SUMIFS('Master P&amp;L'!$H$11:$H$88,'Master P&amp;L'!$B$11:$B$88,Check!O61)))</f>
        <v>0</v>
      </c>
      <c r="R61" s="173">
        <f t="shared" si="1"/>
        <v>0</v>
      </c>
      <c r="S61" s="288" t="str">
        <f t="shared" si="2"/>
        <v>Ok</v>
      </c>
    </row>
    <row r="62" spans="1:19">
      <c r="B62"/>
      <c r="C62" s="187" t="str">
        <f>IF(B62="","",IF(LEN(B62)&gt;9,SUMIFS(Options!$H$3:$H$28,Options!$B$3:$B$28,Check!B62),SUMIFS('Master P&amp;L'!$H$11:$H$88,'Master P&amp;L'!$B$11:$B$88,Check!B62)))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260</v>
      </c>
      <c r="P62" s="173">
        <f>IF(O62="","",IF(OR(LEFT(O62,4)="Cash",LEFT(O62,4)="Prov"),0,SUMIFS(Input_APM!N:N,Input_APM!L:L,Check!O62)))</f>
        <v>0</v>
      </c>
      <c r="Q62" s="21">
        <f>IF(O62="","",IF(LEN(O62)&gt;9,SUMIFS(Options!$H$3:$H$28,Options!$B$3:$B$28,Check!O62),SUMIFS('Master P&amp;L'!$H$11:$H$88,'Master P&amp;L'!$B$11:$B$88,Check!O62)))</f>
        <v>0</v>
      </c>
      <c r="R62" s="173">
        <f t="shared" si="1"/>
        <v>0</v>
      </c>
      <c r="S62" s="288" t="str">
        <f t="shared" si="2"/>
        <v>Ok</v>
      </c>
    </row>
    <row r="63" spans="1:19">
      <c r="B63"/>
      <c r="C63" s="187" t="str">
        <f>IF(B63="","",IF(LEN(B63)&gt;9,SUMIFS(Options!$H$3:$H$28,Options!$B$3:$B$28,Check!B63),SUMIFS('Master P&amp;L'!$H$11:$H$88,'Master P&amp;L'!$B$11:$B$88,Check!B63)))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232</v>
      </c>
      <c r="P63" s="173">
        <f>IF(O63="","",IF(OR(LEFT(O63,4)="Cash",LEFT(O63,4)="Prov"),0,SUMIFS(Input_APM!N:N,Input_APM!L:L,Check!O63)))</f>
        <v>0</v>
      </c>
      <c r="Q63" s="21">
        <f>IF(O63="","",IF(LEN(O63)&gt;9,SUMIFS(Options!$H$3:$H$28,Options!$B$3:$B$28,Check!O63),SUMIFS('Master P&amp;L'!$H$11:$H$88,'Master P&amp;L'!$B$11:$B$88,Check!O63)))</f>
        <v>0</v>
      </c>
      <c r="R63" s="173">
        <f t="shared" si="1"/>
        <v>0</v>
      </c>
      <c r="S63" s="288" t="str">
        <f t="shared" si="2"/>
        <v>Ok</v>
      </c>
    </row>
    <row r="64" spans="1:19">
      <c r="B64"/>
      <c r="C64" s="187" t="str">
        <f>IF(B64="","",IF(LEN(B64)&gt;9,SUMIFS(Options!$H$3:$H$28,Options!$B$3:$B$28,Check!B64),SUMIFS('Master P&amp;L'!$H$11:$H$88,'Master P&amp;L'!$B$11:$B$88,Check!B64)))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1198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IF(O64="","",IF(LEN(O64)&gt;9,SUMIFS(Options!$H$3:$H$28,Options!$B$3:$B$28,Check!O64),SUMIFS('Master P&amp;L'!$H$11:$H$88,'Master P&amp;L'!$B$11:$B$88,Check!O64)))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IF(B65="","",IF(LEN(B65)&gt;9,SUMIFS(Options!$H$3:$H$28,Options!$B$3:$B$28,Check!B65),SUMIFS('Master P&amp;L'!$H$11:$H$88,'Master P&amp;L'!$B$11:$B$88,Check!B65)))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346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IF(O65="","",IF(LEN(O65)&gt;9,SUMIFS(Options!$H$3:$H$28,Options!$B$3:$B$28,Check!O65),SUMIFS('Master P&amp;L'!$H$11:$H$88,'Master P&amp;L'!$B$11:$B$88,Check!O65)))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IF(B66="","",IF(LEN(B66)&gt;9,SUMIFS(Options!$H$3:$H$28,Options!$B$3:$B$28,Check!B66),SUMIFS('Master P&amp;L'!$H$11:$H$88,'Master P&amp;L'!$B$11:$B$88,Check!B66)))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261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IF(O66="","",IF(LEN(O66)&gt;9,SUMIFS(Options!$H$3:$H$28,Options!$B$3:$B$28,Check!O66),SUMIFS('Master P&amp;L'!$H$11:$H$88,'Master P&amp;L'!$B$11:$B$88,Check!O66)))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IF(B67="","",IF(LEN(B67)&gt;9,SUMIFS(Options!$H$3:$H$28,Options!$B$3:$B$28,Check!B67),SUMIFS('Master P&amp;L'!$H$11:$H$88,'Master P&amp;L'!$B$11:$B$88,Check!B67)))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233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IF(O67="","",IF(LEN(O67)&gt;9,SUMIFS(Options!$H$3:$H$28,Options!$B$3:$B$28,Check!O67),SUMIFS('Master P&amp;L'!$H$11:$H$88,'Master P&amp;L'!$B$11:$B$88,Check!O67)))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IF(B68="","",IF(LEN(B68)&gt;9,SUMIFS(Options!$H$3:$H$28,Options!$B$3:$B$28,Check!B68),SUMIFS('Master P&amp;L'!$H$11:$H$88,'Master P&amp;L'!$B$11:$B$88,Check!B68)))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791</v>
      </c>
      <c r="P68" s="173">
        <f>IF(O68="","",IF(OR(LEFT(O68,4)="Cash",LEFT(O68,4)="Prov"),0,SUMIFS(Input_APM!N:N,Input_APM!L:L,Check!O68)))</f>
        <v>28071</v>
      </c>
      <c r="Q68" s="21">
        <f>IF(O68="","",IF(LEN(O68)&gt;9,SUMIFS(Options!$H$3:$H$28,Options!$B$3:$B$28,Check!O68),SUMIFS('Master P&amp;L'!$H$11:$H$88,'Master P&amp;L'!$B$11:$B$88,Check!O68)))</f>
        <v>30000</v>
      </c>
      <c r="R68" s="173">
        <f t="shared" si="1"/>
        <v>-1929</v>
      </c>
      <c r="S68" s="288">
        <f t="shared" si="2"/>
        <v>0.93569999999999998</v>
      </c>
    </row>
    <row r="69" spans="2:19">
      <c r="B69"/>
      <c r="C69" s="187" t="str">
        <f>IF(B69="","",IF(LEN(B69)&gt;9,SUMIFS(Options!$H$3:$H$28,Options!$B$3:$B$28,Check!B69),SUMIFS('Master P&amp;L'!$H$11:$H$88,'Master P&amp;L'!$B$11:$B$88,Check!B69)))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43</v>
      </c>
      <c r="P69" s="173">
        <f>IF(O69="","",IF(OR(LEFT(O69,4)="Cash",LEFT(O69,4)="Prov"),0,SUMIFS(Input_APM!N:N,Input_APM!L:L,Check!O69)))</f>
        <v>0</v>
      </c>
      <c r="Q69" s="21">
        <f>IF(O69="","",IF(LEN(O69)&gt;9,SUMIFS(Options!$H$3:$H$28,Options!$B$3:$B$28,Check!O69),SUMIFS('Master P&amp;L'!$H$11:$H$88,'Master P&amp;L'!$B$11:$B$88,Check!O69)))</f>
        <v>0</v>
      </c>
      <c r="R69" s="173">
        <f t="shared" si="1"/>
        <v>0</v>
      </c>
      <c r="S69" s="288" t="str">
        <f t="shared" si="2"/>
        <v>Ok</v>
      </c>
    </row>
    <row r="70" spans="2:19">
      <c r="B70"/>
      <c r="C70" s="187" t="str">
        <f>IF(B70="","",IF(LEN(B70)&gt;9,SUMIFS(Options!$H$3:$H$28,Options!$B$3:$B$28,Check!B70),SUMIFS('Master P&amp;L'!$H$11:$H$88,'Master P&amp;L'!$B$11:$B$88,Check!B70)))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433</v>
      </c>
      <c r="P70" s="173">
        <f>IF(O70="","",IF(OR(LEFT(O70,4)="Cash",LEFT(O70,4)="Prov"),0,SUMIFS(Input_APM!N:N,Input_APM!L:L,Check!O70)))</f>
        <v>655</v>
      </c>
      <c r="Q70" s="21">
        <f>IF(O70="","",IF(LEN(O70)&gt;9,SUMIFS(Options!$H$3:$H$28,Options!$B$3:$B$28,Check!O70),SUMIFS('Master P&amp;L'!$H$11:$H$88,'Master P&amp;L'!$B$11:$B$88,Check!O70)))</f>
        <v>1563</v>
      </c>
      <c r="R70" s="173">
        <f t="shared" ref="R70:R99" si="10">IF(O70="","",P70-Q70)</f>
        <v>-908</v>
      </c>
      <c r="S70" s="288">
        <f t="shared" ref="S70:S133" si="11">IF(O70="","",IF((P70+Q70)=0,"Ok",IF(OR(P70=0,Q70=0),"Erro",P70/Q70)))</f>
        <v>0.41906589891234802</v>
      </c>
    </row>
    <row r="71" spans="2:19">
      <c r="B71"/>
      <c r="C71" s="187" t="str">
        <f>IF(B71="","",IF(LEN(B71)&gt;9,SUMIFS(Options!$H$3:$H$28,Options!$B$3:$B$28,Check!B71),SUMIFS('Master P&amp;L'!$H$11:$H$88,'Master P&amp;L'!$B$11:$B$88,Check!B71)))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1170</v>
      </c>
      <c r="P71" s="173">
        <f>IF(O71="","",IF(OR(LEFT(O71,4)="Cash",LEFT(O71,4)="Prov"),0,SUMIFS(Input_APM!N:N,Input_APM!L:L,Check!O71)))</f>
        <v>160</v>
      </c>
      <c r="Q71" s="21">
        <f>IF(O71="","",IF(LEN(O71)&gt;9,SUMIFS(Options!$H$3:$H$28,Options!$B$3:$B$28,Check!O71),SUMIFS('Master P&amp;L'!$H$11:$H$88,'Master P&amp;L'!$B$11:$B$88,Check!O71)))</f>
        <v>0</v>
      </c>
      <c r="R71" s="173">
        <f t="shared" si="10"/>
        <v>160</v>
      </c>
      <c r="S71" s="288" t="str">
        <f t="shared" si="11"/>
        <v>Erro</v>
      </c>
    </row>
    <row r="72" spans="2:19">
      <c r="B72"/>
      <c r="C72" s="187" t="str">
        <f>IF(B72="","",IF(LEN(B72)&gt;9,SUMIFS(Options!$H$3:$H$28,Options!$B$3:$B$28,Check!B72),SUMIFS('Master P&amp;L'!$H$11:$H$88,'Master P&amp;L'!$B$11:$B$88,Check!B72)))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969</v>
      </c>
      <c r="P72" s="173">
        <f>IF(O72="","",IF(OR(LEFT(O72,4)="Cash",LEFT(O72,4)="Prov"),0,SUMIFS(Input_APM!N:N,Input_APM!L:L,Check!O72)))</f>
        <v>643</v>
      </c>
      <c r="Q72" s="21">
        <f>IF(O72="","",IF(LEN(O72)&gt;9,SUMIFS(Options!$H$3:$H$28,Options!$B$3:$B$28,Check!O72),SUMIFS('Master P&amp;L'!$H$11:$H$88,'Master P&amp;L'!$B$11:$B$88,Check!O72)))</f>
        <v>0</v>
      </c>
      <c r="R72" s="173">
        <f t="shared" si="10"/>
        <v>643</v>
      </c>
      <c r="S72" s="288" t="str">
        <f t="shared" si="11"/>
        <v>Erro</v>
      </c>
    </row>
    <row r="73" spans="2:19">
      <c r="B73"/>
      <c r="C73" s="187" t="str">
        <f>IF(B73="","",IF(LEN(B73)&gt;9,SUMIFS(Options!$H$3:$H$28,Options!$B$3:$B$28,Check!B73),SUMIFS('Master P&amp;L'!$H$11:$H$88,'Master P&amp;L'!$B$11:$B$88,Check!B73)))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1171</v>
      </c>
      <c r="P73" s="173">
        <f>IF(O73="","",IF(OR(LEFT(O73,4)="Cash",LEFT(O73,4)="Prov"),0,SUMIFS(Input_APM!N:N,Input_APM!L:L,Check!O73)))</f>
        <v>2901</v>
      </c>
      <c r="Q73" s="21">
        <f>IF(O73="","",IF(LEN(O73)&gt;9,SUMIFS(Options!$H$3:$H$28,Options!$B$3:$B$28,Check!O73),SUMIFS('Master P&amp;L'!$H$11:$H$88,'Master P&amp;L'!$B$11:$B$88,Check!O73)))</f>
        <v>0</v>
      </c>
      <c r="R73" s="173">
        <f t="shared" si="10"/>
        <v>2901</v>
      </c>
      <c r="S73" s="288" t="str">
        <f t="shared" si="11"/>
        <v>Erro</v>
      </c>
    </row>
    <row r="74" spans="2:19">
      <c r="B74"/>
      <c r="C74" s="187" t="str">
        <f>IF(B74="","",IF(LEN(B74)&gt;9,SUMIFS(Options!$H$3:$H$28,Options!$B$3:$B$28,Check!B74),SUMIFS('Master P&amp;L'!$H$11:$H$88,'Master P&amp;L'!$B$11:$B$88,Check!B74)))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1172</v>
      </c>
      <c r="P74" s="173">
        <f>IF(O74="","",IF(OR(LEFT(O74,4)="Cash",LEFT(O74,4)="Prov"),0,SUMIFS(Input_APM!N:N,Input_APM!L:L,Check!O74)))</f>
        <v>2901</v>
      </c>
      <c r="Q74" s="21">
        <f>IF(O74="","",IF(LEN(O74)&gt;9,SUMIFS(Options!$H$3:$H$28,Options!$B$3:$B$28,Check!O74),SUMIFS('Master P&amp;L'!$H$11:$H$88,'Master P&amp;L'!$B$11:$B$88,Check!O74)))</f>
        <v>0</v>
      </c>
      <c r="R74" s="173">
        <f t="shared" si="10"/>
        <v>2901</v>
      </c>
      <c r="S74" s="288" t="str">
        <f t="shared" si="11"/>
        <v>Erro</v>
      </c>
    </row>
    <row r="75" spans="2:19">
      <c r="B75"/>
      <c r="C75" s="187" t="str">
        <f>IF(B75="","",IF(LEN(B75)&gt;9,SUMIFS(Options!$H$3:$H$28,Options!$B$3:$B$28,Check!B75),SUMIFS('Master P&amp;L'!$H$11:$H$88,'Master P&amp;L'!$B$11:$B$88,Check!B75)))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1173</v>
      </c>
      <c r="P75" s="173">
        <f>IF(O75="","",IF(OR(LEFT(O75,4)="Cash",LEFT(O75,4)="Prov"),0,SUMIFS(Input_APM!N:N,Input_APM!L:L,Check!O75)))</f>
        <v>845</v>
      </c>
      <c r="Q75" s="21">
        <f>IF(O75="","",IF(LEN(O75)&gt;9,SUMIFS(Options!$H$3:$H$28,Options!$B$3:$B$28,Check!O75),SUMIFS('Master P&amp;L'!$H$11:$H$88,'Master P&amp;L'!$B$11:$B$88,Check!O75)))</f>
        <v>0</v>
      </c>
      <c r="R75" s="173">
        <f t="shared" si="10"/>
        <v>845</v>
      </c>
      <c r="S75" s="288" t="str">
        <f t="shared" si="11"/>
        <v>Erro</v>
      </c>
    </row>
    <row r="76" spans="2:19">
      <c r="B76"/>
      <c r="C76" s="187" t="str">
        <f>IF(B76="","",IF(LEN(B76)&gt;9,SUMIFS(Options!$H$3:$H$28,Options!$B$3:$B$28,Check!B76),SUMIFS('Master P&amp;L'!$H$11:$H$88,'Master P&amp;L'!$B$11:$B$88,Check!B76)))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1199</v>
      </c>
      <c r="P76" s="173">
        <f>IF(O76="","",IF(OR(LEFT(O76,4)="Cash",LEFT(O76,4)="Prov"),0,SUMIFS(Input_APM!N:N,Input_APM!L:L,Check!O76)))</f>
        <v>16860</v>
      </c>
      <c r="Q76" s="21">
        <f>IF(O76="","",IF(LEN(O76)&gt;9,SUMIFS(Options!$H$3:$H$28,Options!$B$3:$B$28,Check!O76),SUMIFS('Master P&amp;L'!$H$11:$H$88,'Master P&amp;L'!$B$11:$B$88,Check!O76)))</f>
        <v>0</v>
      </c>
      <c r="R76" s="173">
        <f t="shared" si="10"/>
        <v>16860</v>
      </c>
      <c r="S76" s="288" t="str">
        <f t="shared" si="11"/>
        <v>Erro</v>
      </c>
    </row>
    <row r="77" spans="2:19">
      <c r="B77"/>
      <c r="C77" s="187" t="str">
        <f>IF(B77="","",IF(LEN(B77)&gt;9,SUMIFS(Options!$H$3:$H$28,Options!$B$3:$B$28,Check!B77),SUMIFS('Master P&amp;L'!$H$11:$H$88,'Master P&amp;L'!$B$11:$B$88,Check!B77)))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1174</v>
      </c>
      <c r="P77" s="173">
        <f>IF(O77="","",IF(OR(LEFT(O77,4)="Cash",LEFT(O77,4)="Prov"),0,SUMIFS(Input_APM!N:N,Input_APM!L:L,Check!O77)))</f>
        <v>268</v>
      </c>
      <c r="Q77" s="21">
        <f>IF(O77="","",IF(LEN(O77)&gt;9,SUMIFS(Options!$H$3:$H$28,Options!$B$3:$B$28,Check!O77),SUMIFS('Master P&amp;L'!$H$11:$H$88,'Master P&amp;L'!$B$11:$B$88,Check!O77)))</f>
        <v>0</v>
      </c>
      <c r="R77" s="173">
        <f t="shared" si="10"/>
        <v>268</v>
      </c>
      <c r="S77" s="288" t="str">
        <f t="shared" si="11"/>
        <v>Erro</v>
      </c>
    </row>
    <row r="78" spans="2:19">
      <c r="B78"/>
      <c r="C78" s="187" t="str">
        <f>IF(B78="","",IF(LEN(B78)&gt;9,SUMIFS(Options!$H$3:$H$28,Options!$B$3:$B$28,Check!B78),SUMIFS('Master P&amp;L'!$H$11:$H$88,'Master P&amp;L'!$B$11:$B$88,Check!B78)))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1175</v>
      </c>
      <c r="P78" s="173">
        <f>IF(O78="","",IF(OR(LEFT(O78,4)="Cash",LEFT(O78,4)="Prov"),0,SUMIFS(Input_APM!N:N,Input_APM!L:L,Check!O78)))</f>
        <v>587</v>
      </c>
      <c r="Q78" s="21">
        <f>IF(O78="","",IF(LEN(O78)&gt;9,SUMIFS(Options!$H$3:$H$28,Options!$B$3:$B$28,Check!O78),SUMIFS('Master P&amp;L'!$H$11:$H$88,'Master P&amp;L'!$B$11:$B$88,Check!O78)))</f>
        <v>0</v>
      </c>
      <c r="R78" s="173">
        <f t="shared" si="10"/>
        <v>587</v>
      </c>
      <c r="S78" s="288" t="str">
        <f t="shared" si="11"/>
        <v>Erro</v>
      </c>
    </row>
    <row r="79" spans="2:19">
      <c r="B79"/>
      <c r="C79" s="187" t="str">
        <f>IF(B79="","",IF(LEN(B79)&gt;9,SUMIFS(Options!$H$3:$H$28,Options!$B$3:$B$28,Check!B79),SUMIFS('Master P&amp;L'!$H$11:$H$88,'Master P&amp;L'!$B$11:$B$88,Check!B79)))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1176</v>
      </c>
      <c r="P79" s="173">
        <f>IF(O79="","",IF(OR(LEFT(O79,4)="Cash",LEFT(O79,4)="Prov"),0,SUMIFS(Input_APM!N:N,Input_APM!L:L,Check!O79)))</f>
        <v>254</v>
      </c>
      <c r="Q79" s="21">
        <f>IF(O79="","",IF(LEN(O79)&gt;9,SUMIFS(Options!$H$3:$H$28,Options!$B$3:$B$28,Check!O79),SUMIFS('Master P&amp;L'!$H$11:$H$88,'Master P&amp;L'!$B$11:$B$88,Check!O79)))</f>
        <v>0</v>
      </c>
      <c r="R79" s="173">
        <f t="shared" si="10"/>
        <v>254</v>
      </c>
      <c r="S79" s="288" t="str">
        <f t="shared" si="11"/>
        <v>Erro</v>
      </c>
    </row>
    <row r="80" spans="2:19">
      <c r="B80"/>
      <c r="C80" s="187" t="str">
        <f>IF(B80="","",IF(LEN(B80)&gt;9,SUMIFS(Options!$H$3:$H$28,Options!$B$3:$B$28,Check!B80),SUMIFS('Master P&amp;L'!$H$11:$H$88,'Master P&amp;L'!$B$11:$B$88,Check!B80)))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1200</v>
      </c>
      <c r="P80" s="173">
        <f>IF(O80="","",IF(OR(LEFT(O80,4)="Cash",LEFT(O80,4)="Prov"),0,SUMIFS(Input_APM!N:N,Input_APM!L:L,Check!O80)))</f>
        <v>271</v>
      </c>
      <c r="Q80" s="21">
        <f>IF(O80="","",IF(LEN(O80)&gt;9,SUMIFS(Options!$H$3:$H$28,Options!$B$3:$B$28,Check!O80),SUMIFS('Master P&amp;L'!$H$11:$H$88,'Master P&amp;L'!$B$11:$B$88,Check!O80)))</f>
        <v>0</v>
      </c>
      <c r="R80" s="173">
        <f t="shared" si="10"/>
        <v>271</v>
      </c>
      <c r="S80" s="288" t="str">
        <f t="shared" si="11"/>
        <v>Erro</v>
      </c>
    </row>
    <row r="81" spans="2:19">
      <c r="B81"/>
      <c r="C81" s="187" t="str">
        <f>IF(B81="","",IF(LEN(B81)&gt;9,SUMIFS(Options!$H$3:$H$28,Options!$B$3:$B$28,Check!B81),SUMIFS('Master P&amp;L'!$H$11:$H$88,'Master P&amp;L'!$B$11:$B$88,Check!B81)))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1046</v>
      </c>
      <c r="P81" s="173">
        <f>IF(O81="","",IF(OR(LEFT(O81,4)="Cash",LEFT(O81,4)="Prov"),0,SUMIFS(Input_APM!N:N,Input_APM!L:L,Check!O81)))</f>
        <v>18292060</v>
      </c>
      <c r="Q81" s="21">
        <f>IF(O81="","",IF(LEN(O81)&gt;9,SUMIFS(Options!$H$3:$H$28,Options!$B$3:$B$28,Check!O81),SUMIFS('Master P&amp;L'!$H$11:$H$88,'Master P&amp;L'!$B$11:$B$88,Check!O81)))</f>
        <v>0</v>
      </c>
      <c r="R81" s="173">
        <f t="shared" si="10"/>
        <v>18292060</v>
      </c>
      <c r="S81" s="288" t="str">
        <f t="shared" si="11"/>
        <v>Erro</v>
      </c>
    </row>
    <row r="82" spans="2:19">
      <c r="B82"/>
      <c r="C82" s="187" t="str">
        <f>IF(B82="","",IF(LEN(B82)&gt;9,SUMIFS(Options!$H$3:$H$28,Options!$B$3:$B$28,Check!B82),SUMIFS('Master P&amp;L'!$H$11:$H$88,'Master P&amp;L'!$B$11:$B$88,Check!B82)))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44</v>
      </c>
      <c r="P82" s="173">
        <f>IF(O82="","",IF(OR(LEFT(O82,4)="Cash",LEFT(O82,4)="Prov"),0,SUMIFS(Input_APM!N:N,Input_APM!L:L,Check!O82)))</f>
        <v>-1879</v>
      </c>
      <c r="Q82" s="21">
        <f>IF(O82="","",IF(LEN(O82)&gt;9,SUMIFS(Options!$H$3:$H$28,Options!$B$3:$B$28,Check!O82),SUMIFS('Master P&amp;L'!$H$11:$H$88,'Master P&amp;L'!$B$11:$B$88,Check!O82)))</f>
        <v>-5000</v>
      </c>
      <c r="R82" s="173">
        <f t="shared" si="10"/>
        <v>3121</v>
      </c>
      <c r="S82" s="288">
        <f t="shared" si="11"/>
        <v>0.37580000000000002</v>
      </c>
    </row>
    <row r="83" spans="2:19">
      <c r="B83"/>
      <c r="C83" s="187" t="str">
        <f>IF(B83="","",IF(LEN(B83)&gt;9,SUMIFS(Options!$H$3:$H$28,Options!$B$3:$B$28,Check!B83),SUMIFS('Master P&amp;L'!$H$11:$H$88,'Master P&amp;L'!$B$11:$B$88,Check!B83)))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887</v>
      </c>
      <c r="P83" s="173">
        <f>IF(O83="","",IF(OR(LEFT(O83,4)="Cash",LEFT(O83,4)="Prov"),0,SUMIFS(Input_APM!N:N,Input_APM!L:L,Check!O83)))</f>
        <v>1453</v>
      </c>
      <c r="Q83" s="21">
        <f>IF(O83="","",IF(LEN(O83)&gt;9,SUMIFS(Options!$H$3:$H$28,Options!$B$3:$B$28,Check!O83),SUMIFS('Master P&amp;L'!$H$11:$H$88,'Master P&amp;L'!$B$11:$B$88,Check!O83)))</f>
        <v>1550</v>
      </c>
      <c r="R83" s="173">
        <f t="shared" si="10"/>
        <v>-97</v>
      </c>
      <c r="S83" s="288">
        <f t="shared" si="11"/>
        <v>0.93741935483870964</v>
      </c>
    </row>
    <row r="84" spans="2:19">
      <c r="B84"/>
      <c r="C84" s="187" t="str">
        <f>IF(B84="","",IF(LEN(B84)&gt;9,SUMIFS(Options!$H$3:$H$28,Options!$B$3:$B$28,Check!B84),SUMIFS('Master P&amp;L'!$H$11:$H$88,'Master P&amp;L'!$B$11:$B$88,Check!B84)))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888</v>
      </c>
      <c r="P84" s="173">
        <f>IF(O84="","",IF(OR(LEFT(O84,4)="Cash",LEFT(O84,4)="Prov"),0,SUMIFS(Input_APM!N:N,Input_APM!L:L,Check!O84)))</f>
        <v>-1195</v>
      </c>
      <c r="Q84" s="21">
        <f>IF(O84="","",IF(LEN(O84)&gt;9,SUMIFS(Options!$H$3:$H$28,Options!$B$3:$B$28,Check!O84),SUMIFS('Master P&amp;L'!$H$11:$H$88,'Master P&amp;L'!$B$11:$B$88,Check!O84)))</f>
        <v>-1275</v>
      </c>
      <c r="R84" s="173">
        <f t="shared" si="10"/>
        <v>80</v>
      </c>
      <c r="S84" s="288">
        <f t="shared" si="11"/>
        <v>0.93725490196078431</v>
      </c>
    </row>
    <row r="85" spans="2:19">
      <c r="B85"/>
      <c r="C85" s="187" t="str">
        <f>IF(B85="","",IF(LEN(B85)&gt;9,SUMIFS(Options!$H$3:$H$28,Options!$B$3:$B$28,Check!B85),SUMIFS('Master P&amp;L'!$H$11:$H$88,'Master P&amp;L'!$B$11:$B$88,Check!B85)))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1096</v>
      </c>
      <c r="P85" s="173">
        <f>IF(O85="","",IF(OR(LEFT(O85,4)="Cash",LEFT(O85,4)="Prov"),0,SUMIFS(Input_APM!N:N,Input_APM!L:L,Check!O85)))</f>
        <v>20008</v>
      </c>
      <c r="Q85" s="21">
        <f>IF(O85="","",IF(LEN(O85)&gt;9,SUMIFS(Options!$H$3:$H$28,Options!$B$3:$B$28,Check!O85),SUMIFS('Master P&amp;L'!$H$11:$H$88,'Master P&amp;L'!$B$11:$B$88,Check!O85)))</f>
        <v>53300</v>
      </c>
      <c r="R85" s="173">
        <f t="shared" si="10"/>
        <v>-33292</v>
      </c>
      <c r="S85" s="288">
        <f t="shared" si="11"/>
        <v>0.37538461538461537</v>
      </c>
    </row>
    <row r="86" spans="2:19">
      <c r="B86"/>
      <c r="C86" s="187" t="str">
        <f>IF(B86="","",IF(LEN(B86)&gt;9,SUMIFS(Options!$H$3:$H$28,Options!$B$3:$B$28,Check!B86),SUMIFS('Master P&amp;L'!$H$11:$H$88,'Master P&amp;L'!$B$11:$B$88,Check!B86)))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36</v>
      </c>
      <c r="P86" s="173">
        <f>IF(O86="","",IF(OR(LEFT(O86,4)="Cash",LEFT(O86,4)="Prov"),0,SUMIFS(Input_APM!N:N,Input_APM!L:L,Check!O86)))</f>
        <v>21977</v>
      </c>
      <c r="Q86" s="21">
        <f>IF(O86="","",IF(LEN(O86)&gt;9,SUMIFS(Options!$H$3:$H$28,Options!$B$3:$B$28,Check!O86),SUMIFS('Master P&amp;L'!$H$11:$H$88,'Master P&amp;L'!$B$11:$B$88,Check!O86)))</f>
        <v>23500</v>
      </c>
      <c r="R86" s="173">
        <f t="shared" si="10"/>
        <v>-1523</v>
      </c>
      <c r="S86" s="288">
        <f t="shared" si="11"/>
        <v>0.93519148936170216</v>
      </c>
    </row>
    <row r="87" spans="2:19">
      <c r="B87"/>
      <c r="C87" s="187" t="str">
        <f>IF(B87="","",IF(LEN(B87)&gt;9,SUMIFS(Options!$H$3:$H$28,Options!$B$3:$B$28,Check!B87),SUMIFS('Master P&amp;L'!$H$11:$H$88,'Master P&amp;L'!$B$11:$B$88,Check!B87)))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4</v>
      </c>
      <c r="P87" s="173">
        <f>IF(O87="","",IF(OR(LEFT(O87,4)="Cash",LEFT(O87,4)="Prov"),0,SUMIFS(Input_APM!N:N,Input_APM!L:L,Check!O87)))</f>
        <v>-25765</v>
      </c>
      <c r="Q87" s="21">
        <f>IF(O87="","",IF(LEN(O87)&gt;9,SUMIFS(Options!$H$3:$H$28,Options!$B$3:$B$28,Check!O87),SUMIFS('Master P&amp;L'!$H$11:$H$88,'Master P&amp;L'!$B$11:$B$88,Check!O87)))</f>
        <v>-27500</v>
      </c>
      <c r="R87" s="173">
        <f t="shared" si="10"/>
        <v>1735</v>
      </c>
      <c r="S87" s="288">
        <f t="shared" si="11"/>
        <v>0.93690909090909091</v>
      </c>
    </row>
    <row r="88" spans="2:19">
      <c r="B88"/>
      <c r="C88" s="187" t="str">
        <f>IF(B88="","",IF(LEN(B88)&gt;9,SUMIFS(Options!$H$3:$H$28,Options!$B$3:$B$28,Check!B88),SUMIFS('Master P&amp;L'!$H$11:$H$88,'Master P&amp;L'!$B$11:$B$88,Check!B88)))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237</v>
      </c>
      <c r="P88" s="173" t="str">
        <f>IF(O88="","",IF(OR(LEFT(O88,4)="Cash",LEFT(O88,4)="Prov"),0,SUMIFS(Input_APM!N:N,Input_APM!L:L,Check!O88)))</f>
        <v/>
      </c>
      <c r="Q88" s="21" t="str">
        <f>IF(O88="","",IF(LEN(O88)&gt;9,SUMIFS(Options!$H$3:$H$28,Options!$B$3:$B$28,Check!O88),SUMIFS('Master P&amp;L'!$H$11:$H$88,'Master P&amp;L'!$B$11:$B$88,Check!O88)))</f>
        <v/>
      </c>
      <c r="R88" s="173" t="str">
        <f t="shared" si="10"/>
        <v/>
      </c>
      <c r="S88" s="288" t="str">
        <f t="shared" si="11"/>
        <v/>
      </c>
    </row>
    <row r="89" spans="2:19">
      <c r="B89"/>
      <c r="C89" s="187" t="str">
        <f>IF(B89="","",IF(LEN(B89)&gt;9,SUMIFS(Options!$H$3:$H$28,Options!$B$3:$B$28,Check!B89),SUMIFS('Master P&amp;L'!$H$11:$H$88,'Master P&amp;L'!$B$11:$B$88,Check!B89)))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/>
      <c r="P89" s="173" t="str">
        <f>IF(O89="","",IF(OR(LEFT(O89,4)="Cash",LEFT(O89,4)="Prov"),0,SUMIFS(Input_APM!N:N,Input_APM!L:L,Check!O89)))</f>
        <v/>
      </c>
      <c r="Q89" s="21" t="str">
        <f>IF(O89="","",IF(LEN(O89)&gt;9,SUMIFS(Options!$H$3:$H$28,Options!$B$3:$B$28,Check!O89),SUMIFS('Master P&amp;L'!$H$11:$H$88,'Master P&amp;L'!$B$11:$B$88,Check!O89)))</f>
        <v/>
      </c>
      <c r="R89" s="173" t="str">
        <f t="shared" si="10"/>
        <v/>
      </c>
      <c r="S89" s="288" t="str">
        <f t="shared" si="11"/>
        <v/>
      </c>
    </row>
    <row r="90" spans="2:19">
      <c r="B90"/>
      <c r="C90" s="187" t="str">
        <f>IF(B90="","",IF(LEN(B90)&gt;9,SUMIFS(Options!$H$3:$H$28,Options!$B$3:$B$28,Check!B90),SUMIFS('Master P&amp;L'!$H$11:$H$88,'Master P&amp;L'!$B$11:$B$88,Check!B90)))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/>
      <c r="P90" s="173" t="str">
        <f>IF(O90="","",IF(OR(LEFT(O90,4)="Cash",LEFT(O90,4)="Prov"),0,SUMIFS(Input_APM!N:N,Input_APM!L:L,Check!O90)))</f>
        <v/>
      </c>
      <c r="Q90" s="21" t="str">
        <f>IF(O90="","",IF(LEN(O90)&gt;9,SUMIFS(Options!$H$3:$H$28,Options!$B$3:$B$28,Check!O90),SUMIFS('Master P&amp;L'!$H$11:$H$88,'Master P&amp;L'!$B$11:$B$88,Check!O90)))</f>
        <v/>
      </c>
      <c r="R90" s="173" t="str">
        <f t="shared" si="10"/>
        <v/>
      </c>
      <c r="S90" s="288" t="str">
        <f t="shared" si="11"/>
        <v/>
      </c>
    </row>
    <row r="91" spans="2:19">
      <c r="B91"/>
      <c r="C91" s="187" t="str">
        <f>IF(B91="","",IF(LEN(B91)&gt;9,SUMIFS(Options!$H$3:$H$28,Options!$B$3:$B$28,Check!B91),SUMIFS('Master P&amp;L'!$H$11:$H$88,'Master P&amp;L'!$B$11:$B$88,Check!B91)))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/>
      <c r="P91" s="173" t="str">
        <f>IF(O91="","",IF(OR(LEFT(O91,4)="Cash",LEFT(O91,4)="Prov"),0,SUMIFS(Input_APM!N:N,Input_APM!L:L,Check!O91)))</f>
        <v/>
      </c>
      <c r="Q91" s="21" t="str">
        <f>IF(O91="","",IF(LEN(O91)&gt;9,SUMIFS(Options!$H$3:$H$28,Options!$B$3:$B$28,Check!O91),SUMIFS('Master P&amp;L'!$H$11:$H$88,'Master P&amp;L'!$B$11:$B$88,Check!O91)))</f>
        <v/>
      </c>
      <c r="R91" s="173" t="str">
        <f t="shared" si="10"/>
        <v/>
      </c>
      <c r="S91" s="288" t="str">
        <f t="shared" si="11"/>
        <v/>
      </c>
    </row>
    <row r="92" spans="2:19">
      <c r="B92"/>
      <c r="C92" s="187" t="str">
        <f>IF(B92="","",IF(LEN(B92)&gt;9,SUMIFS(Options!$H$3:$H$28,Options!$B$3:$B$28,Check!B92),SUMIFS('Master P&amp;L'!$H$11:$H$88,'Master P&amp;L'!$B$11:$B$88,Check!B92)))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/>
      <c r="P92" s="173" t="str">
        <f>IF(O92="","",IF(OR(LEFT(O92,4)="Cash",LEFT(O92,4)="Prov"),0,SUMIFS(Input_APM!N:N,Input_APM!L:L,Check!O92)))</f>
        <v/>
      </c>
      <c r="Q92" s="21" t="str">
        <f>IF(O92="","",IF(LEN(O92)&gt;9,SUMIFS(Options!$H$3:$H$28,Options!$B$3:$B$28,Check!O92),SUMIFS('Master P&amp;L'!$H$11:$H$88,'Master P&amp;L'!$B$11:$B$88,Check!O92)))</f>
        <v/>
      </c>
      <c r="R92" s="173" t="str">
        <f t="shared" si="10"/>
        <v/>
      </c>
      <c r="S92" s="288" t="str">
        <f t="shared" si="11"/>
        <v/>
      </c>
    </row>
    <row r="93" spans="2:19">
      <c r="B93"/>
      <c r="C93" s="187" t="str">
        <f>IF(B93="","",IF(LEN(B93)&gt;9,SUMIFS(Options!$H$3:$H$28,Options!$B$3:$B$28,Check!B93),SUMIFS('Master P&amp;L'!$H$11:$H$88,'Master P&amp;L'!$B$11:$B$88,Check!B93)))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/>
      <c r="P93" s="173" t="str">
        <f>IF(O93="","",IF(OR(LEFT(O93,4)="Cash",LEFT(O93,4)="Prov"),0,SUMIFS(Input_APM!N:N,Input_APM!L:L,Check!O93)))</f>
        <v/>
      </c>
      <c r="Q93" s="21" t="str">
        <f>IF(O93="","",IF(LEN(O93)&gt;9,SUMIFS(Options!$H$3:$H$28,Options!$B$3:$B$28,Check!O93),SUMIFS('Master P&amp;L'!$H$11:$H$88,'Master P&amp;L'!$B$11:$B$88,Check!O93)))</f>
        <v/>
      </c>
      <c r="R93" s="173" t="str">
        <f t="shared" si="10"/>
        <v/>
      </c>
      <c r="S93" s="288" t="str">
        <f t="shared" si="11"/>
        <v/>
      </c>
    </row>
    <row r="94" spans="2:19">
      <c r="B94"/>
      <c r="C94" s="187" t="str">
        <f>IF(B94="","",IF(LEN(B94)&gt;9,SUMIFS(Options!$H$3:$H$28,Options!$B$3:$B$28,Check!B94),SUMIFS('Master P&amp;L'!$H$11:$H$88,'Master P&amp;L'!$B$11:$B$88,Check!B94)))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/>
      <c r="P94" s="173" t="str">
        <f>IF(O94="","",IF(OR(LEFT(O94,4)="Cash",LEFT(O94,4)="Prov"),0,SUMIFS(Input_APM!N:N,Input_APM!L:L,Check!O94)))</f>
        <v/>
      </c>
      <c r="Q94" s="21" t="str">
        <f>IF(O94="","",IF(LEN(O94)&gt;9,SUMIFS(Options!$H$3:$H$28,Options!$B$3:$B$28,Check!O94),SUMIFS('Master P&amp;L'!$H$11:$H$88,'Master P&amp;L'!$B$11:$B$88,Check!O94)))</f>
        <v/>
      </c>
      <c r="R94" s="173" t="str">
        <f t="shared" si="10"/>
        <v/>
      </c>
      <c r="S94" s="288" t="str">
        <f t="shared" si="11"/>
        <v/>
      </c>
    </row>
    <row r="95" spans="2:19">
      <c r="C95" s="187" t="str">
        <f>IF(B95="","",IF(LEN(B95)&gt;9,SUMIFS(Options!$H$3:$H$28,Options!$B$3:$B$28,Check!B95),SUMIFS('Master P&amp;L'!$H$11:$H$88,'Master P&amp;L'!$B$11:$B$88,Check!B95)))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/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IF(O95="","",IF(LEN(O95)&gt;9,SUMIFS(Options!$H$3:$H$28,Options!$B$3:$B$28,Check!O95),SUMIFS('Master P&amp;L'!$H$11:$H$88,'Master P&amp;L'!$B$11:$B$88,Check!O95)))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IF(B96="","",IF(LEN(B96)&gt;9,SUMIFS(Options!$H$3:$H$28,Options!$B$3:$B$28,Check!B96),SUMIFS('Master P&amp;L'!$H$11:$H$88,'Master P&amp;L'!$B$11:$B$88,Check!B96)))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IF(O96="","",IF(LEN(O96)&gt;9,SUMIFS(Options!$H$3:$H$28,Options!$B$3:$B$28,Check!O96),SUMIFS('Master P&amp;L'!$H$11:$H$88,'Master P&amp;L'!$B$11:$B$88,Check!O96)))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IF(B97="","",IF(LEN(B97)&gt;9,SUMIFS(Options!$H$3:$H$28,Options!$B$3:$B$28,Check!B97),SUMIFS('Master P&amp;L'!$H$11:$H$88,'Master P&amp;L'!$B$11:$B$88,Check!B97)))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IF(O97="","",IF(LEN(O97)&gt;9,SUMIFS(Options!$H$3:$H$28,Options!$B$3:$B$28,Check!O97),SUMIFS('Master P&amp;L'!$H$11:$H$88,'Master P&amp;L'!$B$11:$B$88,Check!O97)))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IF(B98="","",IF(LEN(B98)&gt;9,SUMIFS(Options!$H$3:$H$28,Options!$B$3:$B$28,Check!B98),SUMIFS('Master P&amp;L'!$H$11:$H$88,'Master P&amp;L'!$B$11:$B$88,Check!B98)))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IF(O98="","",IF(LEN(O98)&gt;9,SUMIFS(Options!$H$3:$H$28,Options!$B$3:$B$28,Check!O98),SUMIFS('Master P&amp;L'!$H$11:$H$88,'Master P&amp;L'!$B$11:$B$88,Check!O98)))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IF(B99="","",IF(LEN(B99)&gt;9,SUMIFS(Options!$H$3:$H$28,Options!$B$3:$B$28,Check!B99),SUMIFS('Master P&amp;L'!$H$11:$H$88,'Master P&amp;L'!$B$11:$B$88,Check!B99)))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IF(O99="","",IF(LEN(O99)&gt;9,SUMIFS(Options!$H$3:$H$28,Options!$B$3:$B$28,Check!O99),SUMIFS('Master P&amp;L'!$H$11:$H$88,'Master P&amp;L'!$B$11:$B$88,Check!O99)))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IF(B100="","",IF(LEN(B100)&gt;9,SUMIFS(Options!$H$3:$H$28,Options!$B$3:$B$28,Check!B100),SUMIFS('Master P&amp;L'!$H$11:$H$88,'Master P&amp;L'!$B$11:$B$88,Check!B100)))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IF(O100="","",IF(LEN(O100)&gt;9,SUMIFS(Options!$H$3:$H$28,Options!$B$3:$B$28,Check!O100),SUMIFS('Master P&amp;L'!$H$11:$H$88,'Master P&amp;L'!$B$11:$B$88,Check!O100)))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IF(B101="","",IF(LEN(B101)&gt;9,SUMIFS(Options!$H$3:$H$28,Options!$B$3:$B$28,Check!B101),SUMIFS('Master P&amp;L'!$H$11:$H$88,'Master P&amp;L'!$B$11:$B$88,Check!B101)))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IF(O101="","",IF(LEN(O101)&gt;9,SUMIFS(Options!$H$3:$H$28,Options!$B$3:$B$28,Check!O101),SUMIFS('Master P&amp;L'!$H$11:$H$88,'Master P&amp;L'!$B$11:$B$88,Check!O101)))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IF(B102="","",IF(LEN(B102)&gt;9,SUMIFS(Options!$H$3:$H$28,Options!$B$3:$B$28,Check!B102),SUMIFS('Master P&amp;L'!$H$11:$H$88,'Master P&amp;L'!$B$11:$B$88,Check!B102)))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IF(O102="","",IF(LEN(O102)&gt;9,SUMIFS(Options!$H$3:$H$28,Options!$B$3:$B$28,Check!O102),SUMIFS('Master P&amp;L'!$H$11:$H$88,'Master P&amp;L'!$B$11:$B$88,Check!O102)))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IF(B103="","",IF(LEN(B103)&gt;9,SUMIFS(Options!$H$3:$H$28,Options!$B$3:$B$28,Check!B103),SUMIFS('Master P&amp;L'!$H$11:$H$88,'Master P&amp;L'!$B$11:$B$88,Check!B103)))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IF(O103="","",IF(LEN(O103)&gt;9,SUMIFS(Options!$H$3:$H$28,Options!$B$3:$B$28,Check!O103),SUMIFS('Master P&amp;L'!$H$11:$H$88,'Master P&amp;L'!$B$11:$B$88,Check!O103)))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IF(B104="","",IF(LEN(B104)&gt;9,SUMIFS(Options!$H$3:$H$28,Options!$B$3:$B$28,Check!B104),SUMIFS('Master P&amp;L'!$H$11:$H$88,'Master P&amp;L'!$B$11:$B$88,Check!B104)))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IF(O104="","",IF(LEN(O104)&gt;9,SUMIFS(Options!$H$3:$H$28,Options!$B$3:$B$28,Check!O104),SUMIFS('Master P&amp;L'!$H$11:$H$88,'Master P&amp;L'!$B$11:$B$88,Check!O104)))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442</v>
      </c>
      <c r="C105" s="187" t="str">
        <f>IF(B105="","",IF(LEN(B105)&gt;9,SUMIFS(Options!$H$3:$H$28,Options!$B$3:$B$28,Check!B105),SUMIFS('Master P&amp;L'!$H$11:$H$88,'Master P&amp;L'!$B$11:$B$88,Check!B105)))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IF(O105="","",IF(LEN(O105)&gt;9,SUMIFS(Options!$H$3:$H$28,Options!$B$3:$B$28,Check!O105),SUMIFS('Master P&amp;L'!$H$11:$H$88,'Master P&amp;L'!$B$11:$B$88,Check!O105)))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IF(B106="","",IF(LEN(B106)&gt;9,SUMIFS(Options!$H$3:$H$28,Options!$B$3:$B$28,Check!B106),SUMIFS('Master P&amp;L'!$H$11:$H$88,'Master P&amp;L'!$B$11:$B$88,Check!B106)))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IF(O106="","",IF(LEN(O106)&gt;9,SUMIFS(Options!$H$3:$H$28,Options!$B$3:$B$28,Check!O106),SUMIFS('Master P&amp;L'!$H$11:$H$88,'Master P&amp;L'!$B$11:$B$88,Check!O106)))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IF(B107="","",IF(LEN(B107)&gt;9,SUMIFS(Options!$H$3:$H$28,Options!$B$3:$B$28,Check!B107),SUMIFS('Master P&amp;L'!$H$11:$H$88,'Master P&amp;L'!$B$11:$B$88,Check!B107)))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IF(O107="","",IF(LEN(O107)&gt;9,SUMIFS(Options!$H$3:$H$28,Options!$B$3:$B$28,Check!O107),SUMIFS('Master P&amp;L'!$H$11:$H$88,'Master P&amp;L'!$B$11:$B$88,Check!O107)))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IF(B108="","",IF(LEN(B108)&gt;9,SUMIFS(Options!$H$3:$H$28,Options!$B$3:$B$28,Check!B108),SUMIFS('Master P&amp;L'!$H$11:$H$88,'Master P&amp;L'!$B$11:$B$88,Check!B108)))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IF(O108="","",IF(LEN(O108)&gt;9,SUMIFS(Options!$H$3:$H$28,Options!$B$3:$B$28,Check!O108),SUMIFS('Master P&amp;L'!$H$11:$H$88,'Master P&amp;L'!$B$11:$B$88,Check!O108)))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IF(B109="","",IF(LEN(B109)&gt;9,SUMIFS(Options!$H$3:$H$28,Options!$B$3:$B$28,Check!B109),SUMIFS('Master P&amp;L'!$H$11:$H$88,'Master P&amp;L'!$B$11:$B$88,Check!B109)))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IF(O109="","",IF(LEN(O109)&gt;9,SUMIFS(Options!$H$3:$H$28,Options!$B$3:$B$28,Check!O109),SUMIFS('Master P&amp;L'!$H$11:$H$88,'Master P&amp;L'!$B$11:$B$88,Check!O109)))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442</v>
      </c>
      <c r="C110" s="187" t="str">
        <f>IF(B110="","",IF(LEN(B110)&gt;9,SUMIFS(Options!$H$3:$H$28,Options!$B$3:$B$28,Check!B110),SUMIFS('Master P&amp;L'!$H$11:$H$88,'Master P&amp;L'!$B$11:$B$88,Check!B110)))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IF(O110="","",IF(LEN(O110)&gt;9,SUMIFS(Options!$H$3:$H$28,Options!$B$3:$B$28,Check!O110),SUMIFS('Master P&amp;L'!$H$11:$H$88,'Master P&amp;L'!$B$11:$B$88,Check!O110)))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IF(B111="","",IF(LEN(B111)&gt;9,SUMIFS(Options!$H$3:$H$28,Options!$B$3:$B$28,Check!B111),SUMIFS('Master P&amp;L'!$H$11:$H$88,'Master P&amp;L'!$B$11:$B$88,Check!B111)))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IF(O111="","",IF(LEN(O111)&gt;9,SUMIFS(Options!$H$3:$H$28,Options!$B$3:$B$28,Check!O111),SUMIFS('Master P&amp;L'!$H$11:$H$88,'Master P&amp;L'!$B$11:$B$88,Check!O111)))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IF(B112="","",IF(LEN(B112)&gt;9,SUMIFS(Options!$H$3:$H$28,Options!$B$3:$B$28,Check!B112),SUMIFS('Master P&amp;L'!$H$11:$H$88,'Master P&amp;L'!$B$11:$B$88,Check!B112)))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IF(O112="","",IF(LEN(O112)&gt;9,SUMIFS(Options!$H$3:$H$28,Options!$B$3:$B$28,Check!O112),SUMIFS('Master P&amp;L'!$H$11:$H$88,'Master P&amp;L'!$B$11:$B$88,Check!O112)))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IF(B113="","",IF(LEN(B113)&gt;9,SUMIFS(Options!$H$3:$H$28,Options!$B$3:$B$28,Check!B113),SUMIFS('Master P&amp;L'!$H$11:$H$88,'Master P&amp;L'!$B$11:$B$88,Check!B113)))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IF(O113="","",IF(LEN(O113)&gt;9,SUMIFS(Options!$H$3:$H$28,Options!$B$3:$B$28,Check!O113),SUMIFS('Master P&amp;L'!$H$11:$H$88,'Master P&amp;L'!$B$11:$B$88,Check!O113)))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IF(B114="","",IF(LEN(B114)&gt;9,SUMIFS(Options!$H$3:$H$28,Options!$B$3:$B$28,Check!B114),SUMIFS('Master P&amp;L'!$H$11:$H$88,'Master P&amp;L'!$B$11:$B$88,Check!B114)))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IF(O114="","",IF(LEN(O114)&gt;9,SUMIFS(Options!$H$3:$H$28,Options!$B$3:$B$28,Check!O114),SUMIFS('Master P&amp;L'!$H$11:$H$88,'Master P&amp;L'!$B$11:$B$88,Check!O114)))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IF(B115="","",IF(LEN(B115)&gt;9,SUMIFS(Options!$H$3:$H$28,Options!$B$3:$B$28,Check!B115),SUMIFS('Master P&amp;L'!$H$11:$H$88,'Master P&amp;L'!$B$11:$B$88,Check!B115)))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IF(O115="","",IF(LEN(O115)&gt;9,SUMIFS(Options!$H$3:$H$28,Options!$B$3:$B$28,Check!O115),SUMIFS('Master P&amp;L'!$H$11:$H$88,'Master P&amp;L'!$B$11:$B$88,Check!O115)))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IF(B116="","",IF(LEN(B116)&gt;9,SUMIFS(Options!$H$3:$H$28,Options!$B$3:$B$28,Check!B116),SUMIFS('Master P&amp;L'!$H$11:$H$88,'Master P&amp;L'!$B$11:$B$88,Check!B116)))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IF(O116="","",IF(LEN(O116)&gt;9,SUMIFS(Options!$H$3:$H$28,Options!$B$3:$B$28,Check!O116),SUMIFS('Master P&amp;L'!$H$11:$H$88,'Master P&amp;L'!$B$11:$B$88,Check!O116)))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IF(B117="","",IF(LEN(B117)&gt;9,SUMIFS(Options!$H$3:$H$28,Options!$B$3:$B$28,Check!B117),SUMIFS('Master P&amp;L'!$H$11:$H$88,'Master P&amp;L'!$B$11:$B$88,Check!B117)))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IF(O117="","",IF(LEN(O117)&gt;9,SUMIFS(Options!$H$3:$H$28,Options!$B$3:$B$28,Check!O117),SUMIFS('Master P&amp;L'!$H$11:$H$88,'Master P&amp;L'!$B$11:$B$88,Check!O117)))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IF(B118="","",IF(LEN(B118)&gt;9,SUMIFS(Options!$H$3:$H$28,Options!$B$3:$B$28,Check!B118),SUMIFS('Master P&amp;L'!$H$11:$H$88,'Master P&amp;L'!$B$11:$B$88,Check!B118)))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IF(O118="","",IF(LEN(O118)&gt;9,SUMIFS(Options!$H$3:$H$28,Options!$B$3:$B$28,Check!O118),SUMIFS('Master P&amp;L'!$H$11:$H$88,'Master P&amp;L'!$B$11:$B$88,Check!O118)))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IF(B119="","",IF(LEN(B119)&gt;9,SUMIFS(Options!$H$3:$H$28,Options!$B$3:$B$28,Check!B119),SUMIFS('Master P&amp;L'!$H$11:$H$88,'Master P&amp;L'!$B$11:$B$88,Check!B119)))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IF(O119="","",IF(LEN(O119)&gt;9,SUMIFS(Options!$H$3:$H$28,Options!$B$3:$B$28,Check!O119),SUMIFS('Master P&amp;L'!$H$11:$H$88,'Master P&amp;L'!$B$11:$B$88,Check!O119)))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IF(B120="","",IF(LEN(B120)&gt;9,SUMIFS(Options!$H$3:$H$28,Options!$B$3:$B$28,Check!B120),SUMIFS('Master P&amp;L'!$H$11:$H$88,'Master P&amp;L'!$B$11:$B$88,Check!B120)))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IF(O120="","",IF(LEN(O120)&gt;9,SUMIFS(Options!$H$3:$H$28,Options!$B$3:$B$28,Check!O120),SUMIFS('Master P&amp;L'!$H$11:$H$88,'Master P&amp;L'!$B$11:$B$88,Check!O120)))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IF(B121="","",IF(LEN(B121)&gt;9,SUMIFS(Options!$H$3:$H$28,Options!$B$3:$B$28,Check!B121),SUMIFS('Master P&amp;L'!$H$11:$H$88,'Master P&amp;L'!$B$11:$B$88,Check!B121)))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IF(O121="","",IF(LEN(O121)&gt;9,SUMIFS(Options!$H$3:$H$28,Options!$B$3:$B$28,Check!O121),SUMIFS('Master P&amp;L'!$H$11:$H$88,'Master P&amp;L'!$B$11:$B$88,Check!O121)))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IF(B122="","",IF(LEN(B122)&gt;9,SUMIFS(Options!$H$3:$H$28,Options!$B$3:$B$28,Check!B122),SUMIFS('Master P&amp;L'!$H$11:$H$88,'Master P&amp;L'!$B$11:$B$88,Check!B122)))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IF(O122="","",IF(LEN(O122)&gt;9,SUMIFS(Options!$H$3:$H$28,Options!$B$3:$B$28,Check!O122),SUMIFS('Master P&amp;L'!$H$11:$H$88,'Master P&amp;L'!$B$11:$B$88,Check!O122)))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IF(B123="","",IF(LEN(B123)&gt;9,SUMIFS(Options!$H$3:$H$28,Options!$B$3:$B$28,Check!B123),SUMIFS('Master P&amp;L'!$H$11:$H$88,'Master P&amp;L'!$B$11:$B$88,Check!B123)))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IF(O123="","",IF(LEN(O123)&gt;9,SUMIFS(Options!$H$3:$H$28,Options!$B$3:$B$28,Check!O123),SUMIFS('Master P&amp;L'!$H$11:$H$88,'Master P&amp;L'!$B$11:$B$88,Check!O123)))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IF(B124="","",IF(LEN(B124)&gt;9,SUMIFS(Options!$H$3:$H$28,Options!$B$3:$B$28,Check!B124),SUMIFS('Master P&amp;L'!$H$11:$H$88,'Master P&amp;L'!$B$11:$B$88,Check!B124)))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IF(O124="","",IF(LEN(O124)&gt;9,SUMIFS(Options!$H$3:$H$28,Options!$B$3:$B$28,Check!O124),SUMIFS('Master P&amp;L'!$H$11:$H$88,'Master P&amp;L'!$B$11:$B$88,Check!O124)))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IF(B125="","",IF(LEN(B125)&gt;9,SUMIFS(Options!$H$3:$H$28,Options!$B$3:$B$28,Check!B125),SUMIFS('Master P&amp;L'!$H$11:$H$88,'Master P&amp;L'!$B$11:$B$88,Check!B125)))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IF(O125="","",IF(LEN(O125)&gt;9,SUMIFS(Options!$H$3:$H$28,Options!$B$3:$B$28,Check!O125),SUMIFS('Master P&amp;L'!$H$11:$H$88,'Master P&amp;L'!$B$11:$B$88,Check!O125)))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IF(B126="","",IF(LEN(B126)&gt;9,SUMIFS(Options!$H$3:$H$28,Options!$B$3:$B$28,Check!B126),SUMIFS('Master P&amp;L'!$H$11:$H$88,'Master P&amp;L'!$B$11:$B$88,Check!B126)))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IF(O126="","",IF(LEN(O126)&gt;9,SUMIFS(Options!$H$3:$H$28,Options!$B$3:$B$28,Check!O126),SUMIFS('Master P&amp;L'!$H$11:$H$88,'Master P&amp;L'!$B$11:$B$88,Check!O126)))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IF(B127="","",IF(LEN(B127)&gt;9,SUMIFS(Options!$H$3:$H$28,Options!$B$3:$B$28,Check!B127),SUMIFS('Master P&amp;L'!$H$11:$H$88,'Master P&amp;L'!$B$11:$B$88,Check!B127)))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IF(O127="","",IF(LEN(O127)&gt;9,SUMIFS(Options!$H$3:$H$28,Options!$B$3:$B$28,Check!O127),SUMIFS('Master P&amp;L'!$H$11:$H$88,'Master P&amp;L'!$B$11:$B$88,Check!O127)))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IF(B128="","",IF(LEN(B128)&gt;9,SUMIFS(Options!$H$3:$H$28,Options!$B$3:$B$28,Check!B128),SUMIFS('Master P&amp;L'!$H$11:$H$88,'Master P&amp;L'!$B$11:$B$88,Check!B128)))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IF(O128="","",IF(LEN(O128)&gt;9,SUMIFS(Options!$H$3:$H$28,Options!$B$3:$B$28,Check!O128),SUMIFS('Master P&amp;L'!$H$11:$H$88,'Master P&amp;L'!$B$11:$B$88,Check!O128)))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IF(B129="","",IF(LEN(B129)&gt;9,SUMIFS(Options!$H$3:$H$28,Options!$B$3:$B$28,Check!B129),SUMIFS('Master P&amp;L'!$H$11:$H$88,'Master P&amp;L'!$B$11:$B$88,Check!B129)))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IF(O129="","",IF(LEN(O129)&gt;9,SUMIFS(Options!$H$3:$H$28,Options!$B$3:$B$28,Check!O129),SUMIFS('Master P&amp;L'!$H$11:$H$88,'Master P&amp;L'!$B$11:$B$88,Check!O129)))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IF(B130="","",IF(LEN(B130)&gt;9,SUMIFS(Options!$H$3:$H$28,Options!$B$3:$B$28,Check!B130),SUMIFS('Master P&amp;L'!$H$11:$H$88,'Master P&amp;L'!$B$11:$B$88,Check!B130)))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IF(O130="","",IF(LEN(O130)&gt;9,SUMIFS(Options!$H$3:$H$28,Options!$B$3:$B$28,Check!O130),SUMIFS('Master P&amp;L'!$H$11:$H$88,'Master P&amp;L'!$B$11:$B$88,Check!O130)))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IF(B131="","",IF(LEN(B131)&gt;9,SUMIFS(Options!$H$3:$H$28,Options!$B$3:$B$28,Check!B131),SUMIFS('Master P&amp;L'!$H$11:$H$88,'Master P&amp;L'!$B$11:$B$88,Check!B131)))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IF(O131="","",IF(LEN(O131)&gt;9,SUMIFS(Options!$H$3:$H$28,Options!$B$3:$B$28,Check!O131),SUMIFS('Master P&amp;L'!$H$11:$H$88,'Master P&amp;L'!$B$11:$B$88,Check!O131)))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IF(B132="","",IF(LEN(B132)&gt;9,SUMIFS(Options!$H$3:$H$28,Options!$B$3:$B$28,Check!B132),SUMIFS('Master P&amp;L'!$H$11:$H$88,'Master P&amp;L'!$B$11:$B$88,Check!B132)))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IF(O132="","",IF(LEN(O132)&gt;9,SUMIFS(Options!$H$3:$H$28,Options!$B$3:$B$28,Check!O132),SUMIFS('Master P&amp;L'!$H$11:$H$88,'Master P&amp;L'!$B$11:$B$88,Check!O132)))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IF(B133="","",IF(LEN(B133)&gt;9,SUMIFS(Options!$H$3:$H$28,Options!$B$3:$B$28,Check!B133),SUMIFS('Master P&amp;L'!$H$11:$H$88,'Master P&amp;L'!$B$11:$B$88,Check!B133)))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IF(O133="","",IF(LEN(O133)&gt;9,SUMIFS(Options!$H$3:$H$28,Options!$B$3:$B$28,Check!O133),SUMIFS('Master P&amp;L'!$H$11:$H$88,'Master P&amp;L'!$B$11:$B$88,Check!O133)))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IF(B134="","",IF(LEN(B134)&gt;9,SUMIFS(Options!$H$3:$H$28,Options!$B$3:$B$28,Check!B134),SUMIFS('Master P&amp;L'!$H$11:$H$88,'Master P&amp;L'!$B$11:$B$88,Check!B134)))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IF(O134="","",IF(LEN(O134)&gt;9,SUMIFS(Options!$H$3:$H$28,Options!$B$3:$B$28,Check!O134),SUMIFS('Master P&amp;L'!$H$11:$H$88,'Master P&amp;L'!$B$11:$B$88,Check!O134)))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IF(B135="","",IF(LEN(B135)&gt;9,SUMIFS(Options!$H$3:$H$28,Options!$B$3:$B$28,Check!B135),SUMIFS('Master P&amp;L'!$H$11:$H$88,'Master P&amp;L'!$B$11:$B$88,Check!B135)))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IF(O135="","",IF(LEN(O135)&gt;9,SUMIFS(Options!$H$3:$H$28,Options!$B$3:$B$28,Check!O135),SUMIFS('Master P&amp;L'!$H$11:$H$88,'Master P&amp;L'!$B$11:$B$88,Check!O135)))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IF(B136="","",IF(LEN(B136)&gt;9,SUMIFS(Options!$H$3:$H$28,Options!$B$3:$B$28,Check!B136),SUMIFS('Master P&amp;L'!$H$11:$H$88,'Master P&amp;L'!$B$11:$B$88,Check!B136)))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IF(O136="","",IF(LEN(O136)&gt;9,SUMIFS(Options!$H$3:$H$28,Options!$B$3:$B$28,Check!O136),SUMIFS('Master P&amp;L'!$H$11:$H$88,'Master P&amp;L'!$B$11:$B$88,Check!O136)))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IF(B137="","",IF(LEN(B137)&gt;9,SUMIFS(Options!$H$3:$H$28,Options!$B$3:$B$28,Check!B137),SUMIFS('Master P&amp;L'!$H$11:$H$88,'Master P&amp;L'!$B$11:$B$88,Check!B137)))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IF(O137="","",IF(LEN(O137)&gt;9,SUMIFS(Options!$H$3:$H$28,Options!$B$3:$B$28,Check!O137),SUMIFS('Master P&amp;L'!$H$11:$H$88,'Master P&amp;L'!$B$11:$B$88,Check!O137)))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IF(B138="","",IF(LEN(B138)&gt;9,SUMIFS(Options!$H$3:$H$28,Options!$B$3:$B$28,Check!B138),SUMIFS('Master P&amp;L'!$H$11:$H$88,'Master P&amp;L'!$B$11:$B$88,Check!B138)))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IF(O138="","",IF(LEN(O138)&gt;9,SUMIFS(Options!$H$3:$H$28,Options!$B$3:$B$28,Check!O138),SUMIFS('Master P&amp;L'!$H$11:$H$88,'Master P&amp;L'!$B$11:$B$88,Check!O138)))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IF(B139="","",IF(LEN(B139)&gt;9,SUMIFS(Options!$H$3:$H$28,Options!$B$3:$B$28,Check!B139),SUMIFS('Master P&amp;L'!$H$11:$H$88,'Master P&amp;L'!$B$11:$B$88,Check!B139)))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IF(O139="","",IF(LEN(O139)&gt;9,SUMIFS(Options!$H$3:$H$28,Options!$B$3:$B$28,Check!O139),SUMIFS('Master P&amp;L'!$H$11:$H$88,'Master P&amp;L'!$B$11:$B$88,Check!O139)))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IF(B140="","",IF(LEN(B140)&gt;9,SUMIFS(Options!$H$3:$H$28,Options!$B$3:$B$28,Check!B140),SUMIFS('Master P&amp;L'!$H$11:$H$88,'Master P&amp;L'!$B$11:$B$88,Check!B140)))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IF(O140="","",IF(LEN(O140)&gt;9,SUMIFS(Options!$H$3:$H$28,Options!$B$3:$B$28,Check!O140),SUMIFS('Master P&amp;L'!$H$11:$H$88,'Master P&amp;L'!$B$11:$B$88,Check!O140)))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IF(B141="","",IF(LEN(B141)&gt;9,SUMIFS(Options!$H$3:$H$28,Options!$B$3:$B$28,Check!B141),SUMIFS('Master P&amp;L'!$H$11:$H$88,'Master P&amp;L'!$B$11:$B$88,Check!B141)))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IF(O141="","",IF(LEN(O141)&gt;9,SUMIFS(Options!$H$3:$H$28,Options!$B$3:$B$28,Check!O141),SUMIFS('Master P&amp;L'!$H$11:$H$88,'Master P&amp;L'!$B$11:$B$88,Check!O141)))</f>
        <v/>
      </c>
      <c r="R141" s="173" t="str">
        <f t="shared" si="42"/>
        <v/>
      </c>
      <c r="S141" s="288" t="str">
        <f t="shared" si="37"/>
        <v/>
      </c>
      <c r="T141" t="s">
        <v>442</v>
      </c>
    </row>
    <row r="142" spans="3:20">
      <c r="C142" s="187" t="str">
        <f>IF(B142="","",IF(LEN(B142)&gt;9,SUMIFS(Options!$H$3:$H$28,Options!$B$3:$B$28,Check!B142),SUMIFS('Master P&amp;L'!$H$11:$H$88,'Master P&amp;L'!$B$11:$B$88,Check!B142)))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IF(O142="","",IF(LEN(O142)&gt;9,SUMIFS(Options!$H$3:$H$28,Options!$B$3:$B$28,Check!O142),SUMIFS('Master P&amp;L'!$H$11:$H$88,'Master P&amp;L'!$B$11:$B$88,Check!O142)))</f>
        <v/>
      </c>
      <c r="R142" s="255" t="str">
        <f t="shared" si="42"/>
        <v/>
      </c>
      <c r="S142" s="288" t="str">
        <f t="shared" si="37"/>
        <v/>
      </c>
      <c r="T142" s="58" t="s">
        <v>442</v>
      </c>
    </row>
    <row r="143" spans="3:20">
      <c r="C143" s="187" t="str">
        <f>IF(B143="","",IF(LEN(B143)&gt;9,SUMIFS(Options!$H$3:$H$28,Options!$B$3:$B$28,Check!B143),SUMIFS('Master P&amp;L'!$H$11:$H$88,'Master P&amp;L'!$B$11:$B$88,Check!B143)))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IF(O143="","",IF(LEN(O143)&gt;9,SUMIFS(Options!$H$3:$H$28,Options!$B$3:$B$28,Check!O143),SUMIFS('Master P&amp;L'!$H$11:$H$88,'Master P&amp;L'!$B$11:$B$88,Check!O143)))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IF(B144="","",IF(LEN(B144)&gt;9,SUMIFS(Options!$H$3:$H$28,Options!$B$3:$B$28,Check!B144),SUMIFS('Master P&amp;L'!$H$11:$H$88,'Master P&amp;L'!$B$11:$B$88,Check!B144)))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IF(O144="","",IF(LEN(O144)&gt;9,SUMIFS(Options!$H$3:$H$28,Options!$B$3:$B$28,Check!O144),SUMIFS('Master P&amp;L'!$H$11:$H$88,'Master P&amp;L'!$B$11:$B$88,Check!O144)))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IF(B145="","",IF(LEN(B145)&gt;9,SUMIFS(Options!$H$3:$H$28,Options!$B$3:$B$28,Check!B145),SUMIFS('Master P&amp;L'!$H$11:$H$88,'Master P&amp;L'!$B$11:$B$88,Check!B145)))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IF(O145="","",IF(LEN(O145)&gt;9,SUMIFS(Options!$H$3:$H$28,Options!$B$3:$B$28,Check!O145),SUMIFS('Master P&amp;L'!$H$11:$H$88,'Master P&amp;L'!$B$11:$B$88,Check!O145)))</f>
        <v/>
      </c>
      <c r="R145" s="255" t="str">
        <f t="shared" si="43"/>
        <v/>
      </c>
      <c r="S145" s="288" t="str">
        <f t="shared" si="37"/>
        <v/>
      </c>
      <c r="T145" s="58" t="s">
        <v>442</v>
      </c>
    </row>
    <row r="146" spans="3:20">
      <c r="C146" s="187" t="str">
        <f>IF(B146="","",IF(LEN(B146)&gt;9,SUMIFS(Options!$H$3:$H$28,Options!$B$3:$B$28,Check!B146),SUMIFS('Master P&amp;L'!$H$11:$H$88,'Master P&amp;L'!$B$11:$B$88,Check!B146)))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IF(O146="","",IF(LEN(O146)&gt;9,SUMIFS(Options!$H$3:$H$28,Options!$B$3:$B$28,Check!O146),SUMIFS('Master P&amp;L'!$H$11:$H$88,'Master P&amp;L'!$B$11:$B$88,Check!O146)))</f>
        <v/>
      </c>
      <c r="R146" s="255" t="str">
        <f t="shared" si="43"/>
        <v/>
      </c>
      <c r="S146" s="288" t="str">
        <f t="shared" si="37"/>
        <v/>
      </c>
      <c r="T146" s="58" t="s">
        <v>442</v>
      </c>
    </row>
    <row r="147" spans="3:20">
      <c r="C147" s="187" t="str">
        <f>IF(B147="","",IF(LEN(B147)&gt;9,SUMIFS(Options!$H$3:$H$28,Options!$B$3:$B$28,Check!B147),SUMIFS('Master P&amp;L'!$H$11:$H$88,'Master P&amp;L'!$B$11:$B$88,Check!B147)))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IF(O147="","",IF(LEN(O147)&gt;9,SUMIFS(Options!$H$3:$H$28,Options!$B$3:$B$28,Check!O147),SUMIFS('Master P&amp;L'!$H$11:$H$88,'Master P&amp;L'!$B$11:$B$88,Check!O147)))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IF(B148="","",IF(LEN(B148)&gt;9,SUMIFS(Options!$H$3:$H$28,Options!$B$3:$B$28,Check!B148),SUMIFS('Master P&amp;L'!$H$11:$H$88,'Master P&amp;L'!$B$11:$B$88,Check!B148)))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IF(O148="","",IF(LEN(O148)&gt;9,SUMIFS(Options!$H$3:$H$28,Options!$B$3:$B$28,Check!O148),SUMIFS('Master P&amp;L'!$H$11:$H$88,'Master P&amp;L'!$B$11:$B$88,Check!O148)))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IF(B149="","",IF(LEN(B149)&gt;9,SUMIFS(Options!$H$3:$H$28,Options!$B$3:$B$28,Check!B149),SUMIFS('Master P&amp;L'!$H$11:$H$88,'Master P&amp;L'!$B$11:$B$88,Check!B149)))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IF(O149="","",IF(LEN(O149)&gt;9,SUMIFS(Options!$H$3:$H$28,Options!$B$3:$B$28,Check!O149),SUMIFS('Master P&amp;L'!$H$11:$H$88,'Master P&amp;L'!$B$11:$B$88,Check!O149)))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IF(B150="","",IF(LEN(B150)&gt;9,SUMIFS(Options!$H$3:$H$28,Options!$B$3:$B$28,Check!B150),SUMIFS('Master P&amp;L'!$H$11:$H$88,'Master P&amp;L'!$B$11:$B$88,Check!B150)))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IF(O150="","",IF(LEN(O150)&gt;9,SUMIFS(Options!$H$3:$H$28,Options!$B$3:$B$28,Check!O150),SUMIFS('Master P&amp;L'!$H$11:$H$88,'Master P&amp;L'!$B$11:$B$88,Check!O150)))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IF(B151="","",IF(LEN(B151)&gt;9,SUMIFS(Options!$H$3:$H$28,Options!$B$3:$B$28,Check!B151),SUMIFS('Master P&amp;L'!$H$11:$H$88,'Master P&amp;L'!$B$11:$B$88,Check!B151)))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IF(O151="","",IF(LEN(O151)&gt;9,SUMIFS(Options!$H$3:$H$28,Options!$B$3:$B$28,Check!O151),SUMIFS('Master P&amp;L'!$H$11:$H$88,'Master P&amp;L'!$B$11:$B$88,Check!O151)))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IF(B152="","",IF(LEN(B152)&gt;9,SUMIFS(Options!$H$3:$H$28,Options!$B$3:$B$28,Check!B152),SUMIFS('Master P&amp;L'!$H$11:$H$88,'Master P&amp;L'!$B$11:$B$88,Check!B152)))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IF(O152="","",IF(LEN(O152)&gt;9,SUMIFS(Options!$H$3:$H$28,Options!$B$3:$B$28,Check!O152),SUMIFS('Master P&amp;L'!$H$11:$H$88,'Master P&amp;L'!$B$11:$B$88,Check!O152)))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IF(B153="","",IF(LEN(B153)&gt;9,SUMIFS(Options!$H$3:$H$28,Options!$B$3:$B$28,Check!B153),SUMIFS('Master P&amp;L'!$H$11:$H$88,'Master P&amp;L'!$B$11:$B$88,Check!B153)))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IF(O153="","",IF(LEN(O153)&gt;9,SUMIFS(Options!$H$3:$H$28,Options!$B$3:$B$28,Check!O153),SUMIFS('Master P&amp;L'!$H$11:$H$88,'Master P&amp;L'!$B$11:$B$88,Check!O153)))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IF(B154="","",IF(LEN(B154)&gt;9,SUMIFS(Options!$H$3:$H$28,Options!$B$3:$B$28,Check!B154),SUMIFS('Master P&amp;L'!$H$11:$H$88,'Master P&amp;L'!$B$11:$B$88,Check!B154)))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IF(O154="","",IF(LEN(O154)&gt;9,SUMIFS(Options!$H$3:$H$28,Options!$B$3:$B$28,Check!O154),SUMIFS('Master P&amp;L'!$H$11:$H$88,'Master P&amp;L'!$B$11:$B$88,Check!O154)))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IF(B155="","",IF(LEN(B155)&gt;9,SUMIFS(Options!$H$3:$H$28,Options!$B$3:$B$28,Check!B155),SUMIFS('Master P&amp;L'!$H$11:$H$88,'Master P&amp;L'!$B$11:$B$88,Check!B155)))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IF(O155="","",IF(LEN(O155)&gt;9,SUMIFS(Options!$H$3:$H$28,Options!$B$3:$B$28,Check!O155),SUMIFS('Master P&amp;L'!$H$11:$H$88,'Master P&amp;L'!$B$11:$B$88,Check!O155)))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IF(B156="","",IF(LEN(B156)&gt;9,SUMIFS(Options!$H$3:$H$28,Options!$B$3:$B$28,Check!B156),SUMIFS('Master P&amp;L'!$H$11:$H$88,'Master P&amp;L'!$B$11:$B$88,Check!B156)))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IF(O156="","",IF(LEN(O156)&gt;9,SUMIFS(Options!$H$3:$H$28,Options!$B$3:$B$28,Check!O156),SUMIFS('Master P&amp;L'!$H$11:$H$88,'Master P&amp;L'!$B$11:$B$88,Check!O156)))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IF(B157="","",IF(LEN(B157)&gt;9,SUMIFS(Options!$H$3:$H$28,Options!$B$3:$B$28,Check!B157),SUMIFS('Master P&amp;L'!$H$11:$H$88,'Master P&amp;L'!$B$11:$B$88,Check!B157)))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IF(O157="","",IF(LEN(O157)&gt;9,SUMIFS(Options!$H$3:$H$28,Options!$B$3:$B$28,Check!O157),SUMIFS('Master P&amp;L'!$H$11:$H$88,'Master P&amp;L'!$B$11:$B$88,Check!O157)))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IF(B158="","",IF(LEN(B158)&gt;9,SUMIFS(Options!$H$3:$H$28,Options!$B$3:$B$28,Check!B158),SUMIFS('Master P&amp;L'!$H$11:$H$88,'Master P&amp;L'!$B$11:$B$88,Check!B158)))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IF(O158="","",IF(LEN(O158)&gt;9,SUMIFS(Options!$H$3:$H$28,Options!$B$3:$B$28,Check!O158),SUMIFS('Master P&amp;L'!$H$11:$H$88,'Master P&amp;L'!$B$11:$B$88,Check!O158)))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IF(B159="","",IF(LEN(B159)&gt;9,SUMIFS(Options!$H$3:$H$28,Options!$B$3:$B$28,Check!B159),SUMIFS('Master P&amp;L'!$H$11:$H$88,'Master P&amp;L'!$B$11:$B$88,Check!B159)))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IF(O159="","",IF(LEN(O159)&gt;9,SUMIFS(Options!$H$3:$H$28,Options!$B$3:$B$28,Check!O159),SUMIFS('Master P&amp;L'!$H$11:$H$88,'Master P&amp;L'!$B$11:$B$88,Check!O159)))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IF(B160="","",IF(LEN(B160)&gt;9,SUMIFS(Options!$H$3:$H$28,Options!$B$3:$B$28,Check!B160),SUMIFS('Master P&amp;L'!$H$11:$H$88,'Master P&amp;L'!$B$11:$B$88,Check!B160)))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IF(O160="","",IF(LEN(O160)&gt;9,SUMIFS(Options!$H$3:$H$28,Options!$B$3:$B$28,Check!O160),SUMIFS('Master P&amp;L'!$H$11:$H$88,'Master P&amp;L'!$B$11:$B$88,Check!O160)))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IF(B161="","",IF(LEN(B161)&gt;9,SUMIFS(Options!$H$3:$H$28,Options!$B$3:$B$28,Check!B161),SUMIFS('Master P&amp;L'!$H$11:$H$88,'Master P&amp;L'!$B$11:$B$88,Check!B161)))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IF(O161="","",IF(LEN(O161)&gt;9,SUMIFS(Options!$H$3:$H$28,Options!$B$3:$B$28,Check!O161),SUMIFS('Master P&amp;L'!$H$11:$H$88,'Master P&amp;L'!$B$11:$B$88,Check!O161)))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IF(B162="","",IF(LEN(B162)&gt;9,SUMIFS(Options!$H$3:$H$28,Options!$B$3:$B$28,Check!B162),SUMIFS('Master P&amp;L'!$H$11:$H$88,'Master P&amp;L'!$B$11:$B$88,Check!B162)))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IF(O162="","",IF(LEN(O162)&gt;9,SUMIFS(Options!$H$3:$H$28,Options!$B$3:$B$28,Check!O162),SUMIFS('Master P&amp;L'!$H$11:$H$88,'Master P&amp;L'!$B$11:$B$88,Check!O162)))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IF(B163="","",IF(LEN(B163)&gt;9,SUMIFS(Options!$H$3:$H$28,Options!$B$3:$B$28,Check!B163),SUMIFS('Master P&amp;L'!$H$11:$H$88,'Master P&amp;L'!$B$11:$B$88,Check!B163)))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IF(O163="","",IF(LEN(O163)&gt;9,SUMIFS(Options!$H$3:$H$28,Options!$B$3:$B$28,Check!O163),SUMIFS('Master P&amp;L'!$H$11:$H$88,'Master P&amp;L'!$B$11:$B$88,Check!O163)))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IF(B164="","",IF(LEN(B164)&gt;9,SUMIFS(Options!$H$3:$H$28,Options!$B$3:$B$28,Check!B164),SUMIFS('Master P&amp;L'!$H$11:$H$88,'Master P&amp;L'!$B$11:$B$88,Check!B164)))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IF(O164="","",IF(LEN(O164)&gt;9,SUMIFS(Options!$H$3:$H$28,Options!$B$3:$B$28,Check!O164),SUMIFS('Master P&amp;L'!$H$11:$H$88,'Master P&amp;L'!$B$11:$B$88,Check!O164)))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IF(B165="","",IF(LEN(B165)&gt;9,SUMIFS(Options!$H$3:$H$28,Options!$B$3:$B$28,Check!B165),SUMIFS('Master P&amp;L'!$H$11:$H$88,'Master P&amp;L'!$B$11:$B$88,Check!B165)))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IF(O165="","",IF(LEN(O165)&gt;9,SUMIFS(Options!$H$3:$H$28,Options!$B$3:$B$28,Check!O165),SUMIFS('Master P&amp;L'!$H$11:$H$88,'Master P&amp;L'!$B$11:$B$88,Check!O165)))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IF(B166="","",IF(LEN(B166)&gt;9,SUMIFS(Options!$H$3:$H$28,Options!$B$3:$B$28,Check!B166),SUMIFS('Master P&amp;L'!$H$11:$H$88,'Master P&amp;L'!$B$11:$B$88,Check!B166)))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IF(O166="","",IF(LEN(O166)&gt;9,SUMIFS(Options!$H$3:$H$28,Options!$B$3:$B$28,Check!O166),SUMIFS('Master P&amp;L'!$H$11:$H$88,'Master P&amp;L'!$B$11:$B$88,Check!O166)))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IF(B167="","",IF(LEN(B167)&gt;9,SUMIFS(Options!$H$3:$H$28,Options!$B$3:$B$28,Check!B167),SUMIFS('Master P&amp;L'!$H$11:$H$88,'Master P&amp;L'!$B$11:$B$88,Check!B167)))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IF(O167="","",IF(LEN(O167)&gt;9,SUMIFS(Options!$H$3:$H$28,Options!$B$3:$B$28,Check!O167),SUMIFS('Master P&amp;L'!$H$11:$H$88,'Master P&amp;L'!$B$11:$B$88,Check!O167)))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IF(B168="","",IF(LEN(B168)&gt;9,SUMIFS(Options!$H$3:$H$28,Options!$B$3:$B$28,Check!B168),SUMIFS('Master P&amp;L'!$H$11:$H$88,'Master P&amp;L'!$B$11:$B$88,Check!B168)))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IF(O168="","",IF(LEN(O168)&gt;9,SUMIFS(Options!$H$3:$H$28,Options!$B$3:$B$28,Check!O168),SUMIFS('Master P&amp;L'!$H$11:$H$88,'Master P&amp;L'!$B$11:$B$88,Check!O168)))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IF(B169="","",IF(LEN(B169)&gt;9,SUMIFS(Options!$H$3:$H$28,Options!$B$3:$B$28,Check!B169),SUMIFS('Master P&amp;L'!$H$11:$H$88,'Master P&amp;L'!$B$11:$B$88,Check!B169)))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IF(O169="","",IF(LEN(O169)&gt;9,SUMIFS(Options!$H$3:$H$28,Options!$B$3:$B$28,Check!O169),SUMIFS('Master P&amp;L'!$H$11:$H$88,'Master P&amp;L'!$B$11:$B$88,Check!O169)))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IF(B170="","",IF(LEN(B170)&gt;9,SUMIFS(Options!$H$3:$H$28,Options!$B$3:$B$28,Check!B170),SUMIFS('Master P&amp;L'!$H$11:$H$88,'Master P&amp;L'!$B$11:$B$88,Check!B170)))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IF(O170="","",IF(LEN(O170)&gt;9,SUMIFS(Options!$H$3:$H$28,Options!$B$3:$B$28,Check!O170),SUMIFS('Master P&amp;L'!$H$11:$H$88,'Master P&amp;L'!$B$11:$B$88,Check!O170)))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IF(B171="","",IF(LEN(B171)&gt;9,SUMIFS(Options!$H$3:$H$28,Options!$B$3:$B$28,Check!B171),SUMIFS('Master P&amp;L'!$H$11:$H$88,'Master P&amp;L'!$B$11:$B$88,Check!B171)))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IF(O171="","",IF(LEN(O171)&gt;9,SUMIFS(Options!$H$3:$H$28,Options!$B$3:$B$28,Check!O171),SUMIFS('Master P&amp;L'!$H$11:$H$88,'Master P&amp;L'!$B$11:$B$88,Check!O171)))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IF(B172="","",IF(LEN(B172)&gt;9,SUMIFS(Options!$H$3:$H$28,Options!$B$3:$B$28,Check!B172),SUMIFS('Master P&amp;L'!$H$11:$H$88,'Master P&amp;L'!$B$11:$B$88,Check!B172)))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IF(O172="","",IF(LEN(O172)&gt;9,SUMIFS(Options!$H$3:$H$28,Options!$B$3:$B$28,Check!O172),SUMIFS('Master P&amp;L'!$H$11:$H$88,'Master P&amp;L'!$B$11:$B$88,Check!O172)))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IF(B173="","",IF(LEN(B173)&gt;9,SUMIFS(Options!$H$3:$H$28,Options!$B$3:$B$28,Check!B173),SUMIFS('Master P&amp;L'!$H$11:$H$88,'Master P&amp;L'!$B$11:$B$88,Check!B173)))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IF(O173="","",IF(LEN(O173)&gt;9,SUMIFS(Options!$H$3:$H$28,Options!$B$3:$B$28,Check!O173),SUMIFS('Master P&amp;L'!$H$11:$H$88,'Master P&amp;L'!$B$11:$B$88,Check!O173)))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IF(B174="","",IF(LEN(B174)&gt;9,SUMIFS(Options!$H$3:$H$28,Options!$B$3:$B$28,Check!B174),SUMIFS('Master P&amp;L'!$H$11:$H$88,'Master P&amp;L'!$B$11:$B$88,Check!B174)))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IF(O174="","",IF(LEN(O174)&gt;9,SUMIFS(Options!$H$3:$H$28,Options!$B$3:$B$28,Check!O174),SUMIFS('Master P&amp;L'!$H$11:$H$88,'Master P&amp;L'!$B$11:$B$88,Check!O174)))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IF(B175="","",IF(LEN(B175)&gt;9,SUMIFS(Options!$H$3:$H$28,Options!$B$3:$B$28,Check!B175),SUMIFS('Master P&amp;L'!$H$11:$H$88,'Master P&amp;L'!$B$11:$B$88,Check!B175)))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IF(O175="","",IF(LEN(O175)&gt;9,SUMIFS(Options!$H$3:$H$28,Options!$B$3:$B$28,Check!O175),SUMIFS('Master P&amp;L'!$H$11:$H$88,'Master P&amp;L'!$B$11:$B$88,Check!O175)))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IF(B176="","",IF(LEN(B176)&gt;9,SUMIFS(Options!$H$3:$H$28,Options!$B$3:$B$28,Check!B176),SUMIFS('Master P&amp;L'!$H$11:$H$88,'Master P&amp;L'!$B$11:$B$88,Check!B176)))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IF(O176="","",IF(LEN(O176)&gt;9,SUMIFS(Options!$H$3:$H$28,Options!$B$3:$B$28,Check!O176),SUMIFS('Master P&amp;L'!$H$11:$H$88,'Master P&amp;L'!$B$11:$B$88,Check!O176)))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IF(B177="","",IF(LEN(B177)&gt;9,SUMIFS(Options!$H$3:$H$28,Options!$B$3:$B$28,Check!B177),SUMIFS('Master P&amp;L'!$H$11:$H$88,'Master P&amp;L'!$B$11:$B$88,Check!B177)))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IF(O177="","",IF(LEN(O177)&gt;9,SUMIFS(Options!$H$3:$H$28,Options!$B$3:$B$28,Check!O177),SUMIFS('Master P&amp;L'!$H$11:$H$88,'Master P&amp;L'!$B$11:$B$88,Check!O177)))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IF(B178="","",IF(LEN(B178)&gt;9,SUMIFS(Options!$H$3:$H$28,Options!$B$3:$B$28,Check!B178),SUMIFS('Master P&amp;L'!$H$11:$H$88,'Master P&amp;L'!$B$11:$B$88,Check!B178)))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IF(O178="","",IF(LEN(O178)&gt;9,SUMIFS(Options!$H$3:$H$28,Options!$B$3:$B$28,Check!O178),SUMIFS('Master P&amp;L'!$H$11:$H$88,'Master P&amp;L'!$B$11:$B$88,Check!O178)))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IF(B179="","",IF(LEN(B179)&gt;9,SUMIFS(Options!$H$3:$H$28,Options!$B$3:$B$28,Check!B179),SUMIFS('Master P&amp;L'!$H$11:$H$88,'Master P&amp;L'!$B$11:$B$88,Check!B179)))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IF(O179="","",IF(LEN(O179)&gt;9,SUMIFS(Options!$H$3:$H$28,Options!$B$3:$B$28,Check!O179),SUMIFS('Master P&amp;L'!$H$11:$H$88,'Master P&amp;L'!$B$11:$B$88,Check!O179)))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IF(B180="","",IF(LEN(B180)&gt;9,SUMIFS(Options!$H$3:$H$28,Options!$B$3:$B$28,Check!B180),SUMIFS('Master P&amp;L'!$H$11:$H$88,'Master P&amp;L'!$B$11:$B$88,Check!B180)))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IF(O180="","",IF(LEN(O180)&gt;9,SUMIFS(Options!$H$3:$H$28,Options!$B$3:$B$28,Check!O180),SUMIFS('Master P&amp;L'!$H$11:$H$88,'Master P&amp;L'!$B$11:$B$88,Check!O180)))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IF(B181="","",IF(LEN(B181)&gt;9,SUMIFS(Options!$H$3:$H$28,Options!$B$3:$B$28,Check!B181),SUMIFS('Master P&amp;L'!$H$11:$H$88,'Master P&amp;L'!$B$11:$B$88,Check!B181)))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IF(O181="","",IF(LEN(O181)&gt;9,SUMIFS(Options!$H$3:$H$28,Options!$B$3:$B$28,Check!O181),SUMIFS('Master P&amp;L'!$H$11:$H$88,'Master P&amp;L'!$B$11:$B$88,Check!O181)))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IF(B182="","",IF(LEN(B182)&gt;9,SUMIFS(Options!$H$3:$H$28,Options!$B$3:$B$28,Check!B182),SUMIFS('Master P&amp;L'!$H$11:$H$88,'Master P&amp;L'!$B$11:$B$88,Check!B182)))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IF(O182="","",IF(LEN(O182)&gt;9,SUMIFS(Options!$H$3:$H$28,Options!$B$3:$B$28,Check!O182),SUMIFS('Master P&amp;L'!$H$11:$H$88,'Master P&amp;L'!$B$11:$B$88,Check!O182)))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IF(B183="","",IF(LEN(B183)&gt;9,SUMIFS(Options!$H$3:$H$28,Options!$B$3:$B$28,Check!B183),SUMIFS('Master P&amp;L'!$H$11:$H$88,'Master P&amp;L'!$B$11:$B$88,Check!B183)))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IF(O183="","",IF(LEN(O183)&gt;9,SUMIFS(Options!$H$3:$H$28,Options!$B$3:$B$28,Check!O183),SUMIFS('Master P&amp;L'!$H$11:$H$88,'Master P&amp;L'!$B$11:$B$88,Check!O183)))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IF(B184="","",IF(LEN(B184)&gt;9,SUMIFS(Options!$H$3:$H$28,Options!$B$3:$B$28,Check!B184),SUMIFS('Master P&amp;L'!$H$11:$H$88,'Master P&amp;L'!$B$11:$B$88,Check!B184)))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IF(O184="","",IF(LEN(O184)&gt;9,SUMIFS(Options!$H$3:$H$28,Options!$B$3:$B$28,Check!O184),SUMIFS('Master P&amp;L'!$H$11:$H$88,'Master P&amp;L'!$B$11:$B$88,Check!O184)))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IF(B185="","",IF(LEN(B185)&gt;9,SUMIFS(Options!$H$3:$H$28,Options!$B$3:$B$28,Check!B185),SUMIFS('Master P&amp;L'!$H$11:$H$88,'Master P&amp;L'!$B$11:$B$88,Check!B185)))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IF(O185="","",IF(LEN(O185)&gt;9,SUMIFS(Options!$H$3:$H$28,Options!$B$3:$B$28,Check!O185),SUMIFS('Master P&amp;L'!$H$11:$H$88,'Master P&amp;L'!$B$11:$B$88,Check!O185)))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IF(B186="","",IF(LEN(B186)&gt;9,SUMIFS(Options!$H$3:$H$28,Options!$B$3:$B$28,Check!B186),SUMIFS('Master P&amp;L'!$H$11:$H$88,'Master P&amp;L'!$B$11:$B$88,Check!B186)))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IF(O186="","",IF(LEN(O186)&gt;9,SUMIFS(Options!$H$3:$H$28,Options!$B$3:$B$28,Check!O186),SUMIFS('Master P&amp;L'!$H$11:$H$88,'Master P&amp;L'!$B$11:$B$88,Check!O186)))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IF(B187="","",IF(LEN(B187)&gt;9,SUMIFS(Options!$H$3:$H$28,Options!$B$3:$B$28,Check!B187),SUMIFS('Master P&amp;L'!$H$11:$H$88,'Master P&amp;L'!$B$11:$B$88,Check!B187)))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IF(O187="","",IF(LEN(O187)&gt;9,SUMIFS(Options!$H$3:$H$28,Options!$B$3:$B$28,Check!O187),SUMIFS('Master P&amp;L'!$H$11:$H$88,'Master P&amp;L'!$B$11:$B$88,Check!O187)))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IF(B188="","",IF(LEN(B188)&gt;9,SUMIFS(Options!$H$3:$H$28,Options!$B$3:$B$28,Check!B188),SUMIFS('Master P&amp;L'!$H$11:$H$88,'Master P&amp;L'!$B$11:$B$88,Check!B188)))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IF(O188="","",IF(LEN(O188)&gt;9,SUMIFS(Options!$H$3:$H$28,Options!$B$3:$B$28,Check!O188),SUMIFS('Master P&amp;L'!$H$11:$H$88,'Master P&amp;L'!$B$11:$B$88,Check!O188)))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IF(B189="","",IF(LEN(B189)&gt;9,SUMIFS(Options!$H$3:$H$28,Options!$B$3:$B$28,Check!B189),SUMIFS('Master P&amp;L'!$H$11:$H$88,'Master P&amp;L'!$B$11:$B$88,Check!B189)))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IF(O189="","",IF(LEN(O189)&gt;9,SUMIFS(Options!$H$3:$H$28,Options!$B$3:$B$28,Check!O189),SUMIFS('Master P&amp;L'!$H$11:$H$88,'Master P&amp;L'!$B$11:$B$88,Check!O189)))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IF(B190="","",IF(LEN(B190)&gt;9,SUMIFS(Options!$H$3:$H$28,Options!$B$3:$B$28,Check!B190),SUMIFS('Master P&amp;L'!$H$11:$H$88,'Master P&amp;L'!$B$11:$B$88,Check!B190)))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IF(O190="","",IF(LEN(O190)&gt;9,SUMIFS(Options!$H$3:$H$28,Options!$B$3:$B$28,Check!O190),SUMIFS('Master P&amp;L'!$H$11:$H$88,'Master P&amp;L'!$B$11:$B$88,Check!O190)))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IF(B191="","",IF(LEN(B191)&gt;9,SUMIFS(Options!$H$3:$H$28,Options!$B$3:$B$28,Check!B191),SUMIFS('Master P&amp;L'!$H$11:$H$88,'Master P&amp;L'!$B$11:$B$88,Check!B191)))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IF(O191="","",IF(LEN(O191)&gt;9,SUMIFS(Options!$H$3:$H$28,Options!$B$3:$B$28,Check!O191),SUMIFS('Master P&amp;L'!$H$11:$H$88,'Master P&amp;L'!$B$11:$B$88,Check!O191)))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IF(O192="","",IF(LEN(O192)&gt;9,SUMIFS(Options!$H$3:$H$28,Options!$B$3:$B$28,Check!O192),SUMIFS('Master P&amp;L'!$H$11:$H$88,'Master P&amp;L'!$B$11:$B$88,Check!O192)))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IF(O193="","",IF(LEN(O193)&gt;9,SUMIFS(Options!$H$3:$H$28,Options!$B$3:$B$28,Check!O193),SUMIFS('Master P&amp;L'!$H$11:$H$88,'Master P&amp;L'!$B$11:$B$88,Check!O193)))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IF(O194="","",IF(LEN(O194)&gt;9,SUMIFS(Options!$H$3:$H$28,Options!$B$3:$B$28,Check!O194),SUMIFS('Master P&amp;L'!$H$11:$H$88,'Master P&amp;L'!$B$11:$B$88,Check!O194)))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IF(O195="","",IF(LEN(O195)&gt;9,SUMIFS(Options!$H$3:$H$28,Options!$B$3:$B$28,Check!O195),SUMIFS('Master P&amp;L'!$H$11:$H$88,'Master P&amp;L'!$B$11:$B$88,Check!O195)))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IF(O196="","",IF(LEN(O196)&gt;9,SUMIFS(Options!$H$3:$H$28,Options!$B$3:$B$28,Check!O196),SUMIFS('Master P&amp;L'!$H$11:$H$88,'Master P&amp;L'!$B$11:$B$88,Check!O196)))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IF(O197="","",IF(LEN(O197)&gt;9,SUMIFS(Options!$H$3:$H$28,Options!$B$3:$B$28,Check!O197),SUMIFS('Master P&amp;L'!$H$11:$H$88,'Master P&amp;L'!$B$11:$B$88,Check!O197)))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IF(O198="","",IF(LEN(O198)&gt;9,SUMIFS(Options!$H$3:$H$28,Options!$B$3:$B$28,Check!O198),SUMIFS('Master P&amp;L'!$H$11:$H$88,'Master P&amp;L'!$B$11:$B$88,Check!O198)))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IF(O199="","",IF(LEN(O199)&gt;9,SUMIFS(Options!$H$3:$H$28,Options!$B$3:$B$28,Check!O199),SUMIFS('Master P&amp;L'!$H$11:$H$88,'Master P&amp;L'!$B$11:$B$88,Check!O199)))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IF(O200="","",IF(LEN(O200)&gt;9,SUMIFS(Options!$H$3:$H$28,Options!$B$3:$B$28,Check!O200),SUMIFS('Master P&amp;L'!$H$11:$H$88,'Master P&amp;L'!$B$11:$B$88,Check!O200)))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IF(O201="","",IF(LEN(O201)&gt;9,SUMIFS(Options!$H$3:$H$28,Options!$B$3:$B$28,Check!O201),SUMIFS('Master P&amp;L'!$H$11:$H$88,'Master P&amp;L'!$B$11:$B$88,Check!O201)))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IF(O202="","",IF(LEN(O202)&gt;9,SUMIFS(Options!$H$3:$H$28,Options!$B$3:$B$28,Check!O202),SUMIFS('Master P&amp;L'!$H$11:$H$88,'Master P&amp;L'!$B$11:$B$88,Check!O202)))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IF(O203="","",IF(LEN(O203)&gt;9,SUMIFS(Options!$H$3:$H$28,Options!$B$3:$B$28,Check!O203),SUMIFS('Master P&amp;L'!$H$11:$H$88,'Master P&amp;L'!$B$11:$B$88,Check!O203)))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IF(O204="","",IF(LEN(O204)&gt;9,SUMIFS(Options!$H$3:$H$28,Options!$B$3:$B$28,Check!O204),SUMIFS('Master P&amp;L'!$H$11:$H$88,'Master P&amp;L'!$B$11:$B$88,Check!O204)))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IF(O205="","",IF(LEN(O205)&gt;9,SUMIFS(Options!$H$3:$H$28,Options!$B$3:$B$28,Check!O205),SUMIFS('Master P&amp;L'!$H$11:$H$88,'Master P&amp;L'!$B$11:$B$88,Check!O205)))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IF(O206="","",IF(LEN(O206)&gt;9,SUMIFS(Options!$H$3:$H$28,Options!$B$3:$B$28,Check!O206),SUMIFS('Master P&amp;L'!$H$11:$H$88,'Master P&amp;L'!$B$11:$B$88,Check!O206)))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5" priority="4">
      <formula>J5&lt;&gt;0</formula>
    </cfRule>
  </conditionalFormatting>
  <conditionalFormatting sqref="E5:E191">
    <cfRule type="expression" dxfId="44" priority="3">
      <formula>E5&lt;&gt;0</formula>
    </cfRule>
  </conditionalFormatting>
  <conditionalFormatting sqref="S5:S206">
    <cfRule type="cellIs" dxfId="43" priority="2" operator="lessThan">
      <formula>0.9</formula>
    </cfRule>
  </conditionalFormatting>
  <conditionalFormatting sqref="S5:S198">
    <cfRule type="expression" dxfId="4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8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8" width="11.28515625" style="169" bestFit="1" customWidth="1" outlineLevel="1"/>
    <col min="9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1177</v>
      </c>
      <c r="G2" s="169" t="s">
        <v>208</v>
      </c>
      <c r="H2" s="169">
        <v>1973</v>
      </c>
      <c r="I2" s="169">
        <v>1973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1973</v>
      </c>
      <c r="O2" s="171">
        <f>IF(E2="","",I2)</f>
        <v>1973</v>
      </c>
    </row>
    <row r="3" spans="5:15">
      <c r="E3" s="169" t="s">
        <v>335</v>
      </c>
      <c r="F3" s="169" t="s">
        <v>1169</v>
      </c>
      <c r="G3" s="169" t="s">
        <v>208</v>
      </c>
      <c r="H3" s="169">
        <v>-9389000</v>
      </c>
      <c r="I3" s="169">
        <v>-9389000</v>
      </c>
      <c r="K3" s="170" t="str">
        <f t="shared" ref="K3:K66" si="0">IF(E3="","",E3)</f>
        <v>Global Bonds</v>
      </c>
      <c r="L3" s="170" t="str">
        <f>IF(E3="","",IF(COUNTIFS(Table2[[#All],[De (Lote)]],Input_APM!F3)&gt;0,INDEX(Table2[[#All],[Para (Ticker Daniel)]],MATCH(Input_APM!F3,Table2[[#All],[De (Lote)]],0)),Input_APM!F3))</f>
        <v>AMZN 4.65% 11/20/35</v>
      </c>
      <c r="M3" s="170" t="str">
        <f t="shared" ref="M3:M66" si="1">IF(E3="","",G3)</f>
        <v>EQTY.IntlUS.off</v>
      </c>
      <c r="N3" s="171">
        <f t="shared" ref="N3:N66" si="2">IF(E3="","",H3)</f>
        <v>-9389000</v>
      </c>
      <c r="O3" s="171">
        <f t="shared" ref="O3:O66" si="3">IF(E3="","",I3)</f>
        <v>-9389000</v>
      </c>
    </row>
    <row r="4" spans="5:15">
      <c r="E4" s="169" t="s">
        <v>245</v>
      </c>
      <c r="F4" s="169" t="s">
        <v>7</v>
      </c>
      <c r="G4" s="169" t="s">
        <v>208</v>
      </c>
      <c r="H4" s="169">
        <v>9393</v>
      </c>
      <c r="I4" s="169">
        <v>14090</v>
      </c>
      <c r="K4" s="170" t="str">
        <f t="shared" si="0"/>
        <v>ETF</v>
      </c>
      <c r="L4" s="170" t="str">
        <f>IF(E4="","",IF(COUNTIFS(Table2[[#All],[De (Lote)]],Input_APM!F4)&gt;0,INDEX(Table2[[#All],[Para (Ticker Daniel)]],MATCH(Input_APM!F4,Table2[[#All],[De (Lote)]],0)),Input_APM!F4))</f>
        <v>ASHR</v>
      </c>
      <c r="M4" s="170" t="str">
        <f t="shared" si="1"/>
        <v>EQTY.IntlUS.off</v>
      </c>
      <c r="N4" s="171">
        <f t="shared" si="2"/>
        <v>9393</v>
      </c>
      <c r="O4" s="171">
        <f t="shared" si="3"/>
        <v>14090</v>
      </c>
    </row>
    <row r="5" spans="5:15">
      <c r="E5" s="169" t="s">
        <v>248</v>
      </c>
      <c r="F5" s="169" t="s">
        <v>886</v>
      </c>
      <c r="G5" s="169" t="s">
        <v>208</v>
      </c>
      <c r="H5" s="169">
        <v>1874</v>
      </c>
      <c r="I5" s="169">
        <v>935</v>
      </c>
      <c r="K5" s="170" t="str">
        <f t="shared" si="0"/>
        <v>ETF Options</v>
      </c>
      <c r="L5" s="170" t="str">
        <f>IF(E5="","",IF(COUNTIFS(Table2[[#All],[De (Lote)]],Input_APM!F5)&gt;0,INDEX(Table2[[#All],[Para (Ticker Daniel)]],MATCH(Input_APM!F5,Table2[[#All],[De (Lote)]],0)),Input_APM!F5))</f>
        <v>ASHR US 02/20/26 C35</v>
      </c>
      <c r="M5" s="170" t="str">
        <f t="shared" si="1"/>
        <v>EQTY.IntlUS.off</v>
      </c>
      <c r="N5" s="171">
        <f t="shared" si="2"/>
        <v>1874</v>
      </c>
      <c r="O5" s="171">
        <f t="shared" si="3"/>
        <v>935</v>
      </c>
    </row>
    <row r="6" spans="5:15">
      <c r="E6" s="169" t="s">
        <v>248</v>
      </c>
      <c r="F6" s="169" t="s">
        <v>1192</v>
      </c>
      <c r="G6" s="169" t="s">
        <v>208</v>
      </c>
      <c r="H6" s="169">
        <v>469</v>
      </c>
      <c r="I6" s="169">
        <v>0</v>
      </c>
      <c r="K6" s="170" t="str">
        <f t="shared" si="0"/>
        <v>ETF Options</v>
      </c>
      <c r="L6" s="170" t="str">
        <f>IF(E6="","",IF(COUNTIFS(Table2[[#All],[De (Lote)]],Input_APM!F6)&gt;0,INDEX(Table2[[#All],[Para (Ticker Daniel)]],MATCH(Input_APM!F6,Table2[[#All],[De (Lote)]],0)),Input_APM!F6))</f>
        <v>ASHR US 02/27/26 C35</v>
      </c>
      <c r="M6" s="170" t="str">
        <f t="shared" si="1"/>
        <v>EQTY.IntlUS.off</v>
      </c>
      <c r="N6" s="171">
        <f t="shared" si="2"/>
        <v>469</v>
      </c>
      <c r="O6" s="171">
        <f t="shared" si="3"/>
        <v>0</v>
      </c>
    </row>
    <row r="7" spans="5:15">
      <c r="E7" s="169" t="s">
        <v>242</v>
      </c>
      <c r="F7" s="169" t="s">
        <v>84</v>
      </c>
      <c r="G7" s="169" t="s">
        <v>208</v>
      </c>
      <c r="H7" s="169">
        <v>15493</v>
      </c>
      <c r="I7" s="169">
        <v>15493</v>
      </c>
      <c r="K7" s="170" t="str">
        <f t="shared" si="0"/>
        <v>US Equity</v>
      </c>
      <c r="L7" s="170" t="str">
        <f>IF(E7="","",IF(COUNTIFS(Table2[[#All],[De (Lote)]],Input_APM!F7)&gt;0,INDEX(Table2[[#All],[Para (Ticker Daniel)]],MATCH(Input_APM!F7,Table2[[#All],[De (Lote)]],0)),Input_APM!F7))</f>
        <v>AVGO</v>
      </c>
      <c r="M7" s="170" t="str">
        <f t="shared" si="1"/>
        <v>EQTY.IntlUS.off</v>
      </c>
      <c r="N7" s="171">
        <f t="shared" si="2"/>
        <v>15493</v>
      </c>
      <c r="O7" s="171">
        <f t="shared" si="3"/>
        <v>15493</v>
      </c>
    </row>
    <row r="8" spans="5:15">
      <c r="E8" s="169" t="s">
        <v>244</v>
      </c>
      <c r="F8" s="169" t="s">
        <v>766</v>
      </c>
      <c r="G8" s="169" t="s">
        <v>208</v>
      </c>
      <c r="H8" s="169">
        <v>114</v>
      </c>
      <c r="I8" s="169">
        <v>114</v>
      </c>
      <c r="K8" s="170" t="str">
        <f t="shared" si="0"/>
        <v>US Equity Options</v>
      </c>
      <c r="L8" s="170" t="str">
        <f>IF(E8="","",IF(COUNTIFS(Table2[[#All],[De (Lote)]],Input_APM!F8)&gt;0,INDEX(Table2[[#All],[Para (Ticker Daniel)]],MATCH(Input_APM!F8,Table2[[#All],[De (Lote)]],0)),Input_APM!F8))</f>
        <v>AVGO US 06/18/26 C350</v>
      </c>
      <c r="M8" s="170" t="str">
        <f t="shared" si="1"/>
        <v>EQTY.IntlUS.off</v>
      </c>
      <c r="N8" s="171">
        <f t="shared" si="2"/>
        <v>114</v>
      </c>
      <c r="O8" s="171">
        <f t="shared" si="3"/>
        <v>114</v>
      </c>
    </row>
    <row r="9" spans="5:15">
      <c r="E9" s="169" t="s">
        <v>8</v>
      </c>
      <c r="F9" s="169" t="s">
        <v>334</v>
      </c>
      <c r="G9" s="169" t="s">
        <v>208</v>
      </c>
      <c r="H9" s="169">
        <v>3445</v>
      </c>
      <c r="I9" s="169">
        <v>3163</v>
      </c>
      <c r="K9" s="170" t="str">
        <f t="shared" si="0"/>
        <v>ADR</v>
      </c>
      <c r="L9" s="170" t="str">
        <f>IF(E9="","",IF(COUNTIFS(Table2[[#All],[De (Lote)]],Input_APM!F9)&gt;0,INDEX(Table2[[#All],[Para (Ticker Daniel)]],MATCH(Input_APM!F9,Table2[[#All],[De (Lote)]],0)),Input_APM!F9))</f>
        <v>BABA</v>
      </c>
      <c r="M9" s="170" t="str">
        <f t="shared" si="1"/>
        <v>EQTY.IntlUS.off</v>
      </c>
      <c r="N9" s="171">
        <f t="shared" si="2"/>
        <v>3445</v>
      </c>
      <c r="O9" s="171">
        <f t="shared" si="3"/>
        <v>3163</v>
      </c>
    </row>
    <row r="10" spans="5:15">
      <c r="E10" s="169" t="s">
        <v>8</v>
      </c>
      <c r="F10" s="169" t="s">
        <v>801</v>
      </c>
      <c r="G10" s="169" t="s">
        <v>208</v>
      </c>
      <c r="H10" s="169">
        <v>3943</v>
      </c>
      <c r="I10" s="169">
        <v>3661</v>
      </c>
      <c r="K10" s="170" t="str">
        <f t="shared" si="0"/>
        <v>ADR</v>
      </c>
      <c r="L10" s="170" t="str">
        <f>IF(E10="","",IF(COUNTIFS(Table2[[#All],[De (Lote)]],Input_APM!F10)&gt;0,INDEX(Table2[[#All],[Para (Ticker Daniel)]],MATCH(Input_APM!F10,Table2[[#All],[De (Lote)]],0)),Input_APM!F10))</f>
        <v>BIDU</v>
      </c>
      <c r="M10" s="170" t="str">
        <f t="shared" si="1"/>
        <v>EQTY.IntlUS.off</v>
      </c>
      <c r="N10" s="171">
        <f t="shared" si="2"/>
        <v>3943</v>
      </c>
      <c r="O10" s="171">
        <f t="shared" si="3"/>
        <v>3661</v>
      </c>
    </row>
    <row r="11" spans="5:15">
      <c r="E11" s="169" t="s">
        <v>246</v>
      </c>
      <c r="F11" s="169" t="s">
        <v>221</v>
      </c>
      <c r="G11" s="169" t="s">
        <v>208</v>
      </c>
      <c r="H11" s="169">
        <v>-0.28999999999999998</v>
      </c>
      <c r="I11" s="169">
        <v>-0.28999999999999998</v>
      </c>
      <c r="K11" s="170" t="str">
        <f t="shared" si="0"/>
        <v>Cash</v>
      </c>
      <c r="L11" s="170" t="str">
        <f>IF(E11="","",IF(COUNTIFS(Table2[[#All],[De (Lote)]],Input_APM!F11)&gt;0,INDEX(Table2[[#All],[Para (Ticker Daniel)]],MATCH(Input_APM!F11,Table2[[#All],[De (Lote)]],0)),Input_APM!F11))</f>
        <v>Cash CAD</v>
      </c>
      <c r="M11" s="170" t="str">
        <f t="shared" si="1"/>
        <v>EQTY.IntlUS.off</v>
      </c>
      <c r="N11" s="171">
        <f t="shared" si="2"/>
        <v>-0.28999999999999998</v>
      </c>
      <c r="O11" s="171">
        <f t="shared" si="3"/>
        <v>-0.28999999999999998</v>
      </c>
    </row>
    <row r="12" spans="5:15">
      <c r="E12" s="169" t="s">
        <v>246</v>
      </c>
      <c r="F12" s="169" t="s">
        <v>222</v>
      </c>
      <c r="G12" s="169" t="s">
        <v>209</v>
      </c>
      <c r="H12" s="169">
        <v>0.39</v>
      </c>
      <c r="I12" s="169">
        <v>0.39</v>
      </c>
      <c r="K12" s="170" t="str">
        <f t="shared" si="0"/>
        <v>Cash</v>
      </c>
      <c r="L12" s="170" t="str">
        <f>IF(E12="","",IF(COUNTIFS(Table2[[#All],[De (Lote)]],Input_APM!F12)&gt;0,INDEX(Table2[[#All],[Para (Ticker Daniel)]],MATCH(Input_APM!F12,Table2[[#All],[De (Lote)]],0)),Input_APM!F12))</f>
        <v>Cash CHF</v>
      </c>
      <c r="M12" s="170" t="str">
        <f t="shared" si="1"/>
        <v>EQTY.InternacionalUS2.off</v>
      </c>
      <c r="N12" s="171">
        <f t="shared" si="2"/>
        <v>0.39</v>
      </c>
      <c r="O12" s="171">
        <f t="shared" si="3"/>
        <v>0.39</v>
      </c>
    </row>
    <row r="13" spans="5:15">
      <c r="E13" s="169" t="s">
        <v>246</v>
      </c>
      <c r="F13" s="169" t="s">
        <v>222</v>
      </c>
      <c r="G13" s="169" t="s">
        <v>208</v>
      </c>
      <c r="H13" s="169">
        <v>-34454.449999999997</v>
      </c>
      <c r="I13" s="169">
        <v>-34454.449999999997</v>
      </c>
      <c r="K13" s="170" t="str">
        <f t="shared" si="0"/>
        <v>Cash</v>
      </c>
      <c r="L13" s="170" t="str">
        <f>IF(E13="","",IF(COUNTIFS(Table2[[#All],[De (Lote)]],Input_APM!F13)&gt;0,INDEX(Table2[[#All],[Para (Ticker Daniel)]],MATCH(Input_APM!F13,Table2[[#All],[De (Lote)]],0)),Input_APM!F13))</f>
        <v>Cash CHF</v>
      </c>
      <c r="M13" s="170" t="str">
        <f t="shared" si="1"/>
        <v>EQTY.IntlUS.off</v>
      </c>
      <c r="N13" s="171">
        <f t="shared" si="2"/>
        <v>-34454.449999999997</v>
      </c>
      <c r="O13" s="171">
        <f t="shared" si="3"/>
        <v>-34454.449999999997</v>
      </c>
    </row>
    <row r="14" spans="5:15">
      <c r="E14" s="169" t="s">
        <v>246</v>
      </c>
      <c r="F14" s="169" t="s">
        <v>223</v>
      </c>
      <c r="G14" s="169" t="s">
        <v>208</v>
      </c>
      <c r="H14" s="169">
        <v>-0.36</v>
      </c>
      <c r="I14" s="169">
        <v>-0.36</v>
      </c>
      <c r="K14" s="170" t="str">
        <f t="shared" si="0"/>
        <v>Cash</v>
      </c>
      <c r="L14" s="170" t="str">
        <f>IF(E14="","",IF(COUNTIFS(Table2[[#All],[De (Lote)]],Input_APM!F14)&gt;0,INDEX(Table2[[#All],[Para (Ticker Daniel)]],MATCH(Input_APM!F14,Table2[[#All],[De (Lote)]],0)),Input_APM!F14))</f>
        <v>Cash CNH</v>
      </c>
      <c r="M14" s="170" t="str">
        <f t="shared" si="1"/>
        <v>EQTY.IntlUS.off</v>
      </c>
      <c r="N14" s="171">
        <f t="shared" si="2"/>
        <v>-0.36</v>
      </c>
      <c r="O14" s="171">
        <f t="shared" si="3"/>
        <v>-0.36</v>
      </c>
    </row>
    <row r="15" spans="5:15">
      <c r="E15" s="169" t="s">
        <v>246</v>
      </c>
      <c r="F15" s="169" t="s">
        <v>787</v>
      </c>
      <c r="G15" s="169" t="s">
        <v>209</v>
      </c>
      <c r="H15" s="169">
        <v>-0.19</v>
      </c>
      <c r="I15" s="169">
        <v>-0.19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CNY</v>
      </c>
      <c r="M15" s="170" t="str">
        <f t="shared" si="1"/>
        <v>EQTY.InternacionalUS2.off</v>
      </c>
      <c r="N15" s="171">
        <f t="shared" si="2"/>
        <v>-0.19</v>
      </c>
      <c r="O15" s="171">
        <f t="shared" si="3"/>
        <v>-0.19</v>
      </c>
    </row>
    <row r="16" spans="5:15">
      <c r="E16" s="169" t="s">
        <v>246</v>
      </c>
      <c r="F16" s="169" t="s">
        <v>787</v>
      </c>
      <c r="G16" s="169" t="s">
        <v>208</v>
      </c>
      <c r="H16" s="169">
        <v>-143145.81</v>
      </c>
      <c r="I16" s="169">
        <v>-143145.81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CNY</v>
      </c>
      <c r="M16" s="170" t="str">
        <f t="shared" si="1"/>
        <v>EQTY.IntlUS.off</v>
      </c>
      <c r="N16" s="171">
        <f t="shared" si="2"/>
        <v>-143145.81</v>
      </c>
      <c r="O16" s="171">
        <f t="shared" si="3"/>
        <v>-143145.81</v>
      </c>
    </row>
    <row r="17" spans="5:15">
      <c r="E17" s="169" t="s">
        <v>246</v>
      </c>
      <c r="F17" s="169" t="s">
        <v>224</v>
      </c>
      <c r="G17" s="169" t="s">
        <v>209</v>
      </c>
      <c r="H17" s="169">
        <v>-0.15</v>
      </c>
      <c r="I17" s="169">
        <v>-0.15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EUR</v>
      </c>
      <c r="M17" s="170" t="str">
        <f t="shared" si="1"/>
        <v>EQTY.InternacionalUS2.off</v>
      </c>
      <c r="N17" s="171">
        <f t="shared" si="2"/>
        <v>-0.15</v>
      </c>
      <c r="O17" s="171">
        <f t="shared" si="3"/>
        <v>-0.15</v>
      </c>
    </row>
    <row r="18" spans="5:15">
      <c r="E18" s="169" t="s">
        <v>246</v>
      </c>
      <c r="F18" s="169" t="s">
        <v>224</v>
      </c>
      <c r="G18" s="169" t="s">
        <v>208</v>
      </c>
      <c r="H18" s="169">
        <v>40729.67</v>
      </c>
      <c r="I18" s="169">
        <v>40729.67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EUR</v>
      </c>
      <c r="M18" s="170" t="str">
        <f t="shared" si="1"/>
        <v>EQTY.IntlUS.off</v>
      </c>
      <c r="N18" s="171">
        <f t="shared" si="2"/>
        <v>40729.67</v>
      </c>
      <c r="O18" s="171">
        <f t="shared" si="3"/>
        <v>40729.67</v>
      </c>
    </row>
    <row r="19" spans="5:15">
      <c r="E19" s="169" t="s">
        <v>246</v>
      </c>
      <c r="F19" s="169" t="s">
        <v>225</v>
      </c>
      <c r="G19" s="169" t="s">
        <v>208</v>
      </c>
      <c r="H19" s="169">
        <v>-0.47</v>
      </c>
      <c r="I19" s="169">
        <v>-0.47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GBP</v>
      </c>
      <c r="M19" s="170" t="str">
        <f t="shared" si="1"/>
        <v>EQTY.IntlUS.off</v>
      </c>
      <c r="N19" s="171">
        <f t="shared" si="2"/>
        <v>-0.47</v>
      </c>
      <c r="O19" s="171">
        <f t="shared" si="3"/>
        <v>-0.47</v>
      </c>
    </row>
    <row r="20" spans="5:15">
      <c r="E20" s="169" t="s">
        <v>246</v>
      </c>
      <c r="F20" s="169" t="s">
        <v>226</v>
      </c>
      <c r="G20" s="169" t="s">
        <v>209</v>
      </c>
      <c r="H20" s="169">
        <v>0.2</v>
      </c>
      <c r="I20" s="169">
        <v>0.2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HKD</v>
      </c>
      <c r="M20" s="170" t="str">
        <f t="shared" si="1"/>
        <v>EQTY.InternacionalUS2.off</v>
      </c>
      <c r="N20" s="171">
        <f t="shared" si="2"/>
        <v>0.2</v>
      </c>
      <c r="O20" s="171">
        <f t="shared" si="3"/>
        <v>0.2</v>
      </c>
    </row>
    <row r="21" spans="5:15">
      <c r="E21" s="169" t="s">
        <v>246</v>
      </c>
      <c r="F21" s="169" t="s">
        <v>226</v>
      </c>
      <c r="G21" s="169" t="s">
        <v>208</v>
      </c>
      <c r="H21" s="169">
        <v>-341409.97</v>
      </c>
      <c r="I21" s="169">
        <v>-341409.97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HKD</v>
      </c>
      <c r="M21" s="170" t="str">
        <f t="shared" si="1"/>
        <v>EQTY.IntlUS.off</v>
      </c>
      <c r="N21" s="171">
        <f t="shared" si="2"/>
        <v>-341409.97</v>
      </c>
      <c r="O21" s="171">
        <f t="shared" si="3"/>
        <v>-341409.97</v>
      </c>
    </row>
    <row r="22" spans="5:15">
      <c r="E22" s="169" t="s">
        <v>246</v>
      </c>
      <c r="F22" s="169" t="s">
        <v>227</v>
      </c>
      <c r="G22" s="169" t="s">
        <v>208</v>
      </c>
      <c r="H22" s="169">
        <v>1.000005E-2</v>
      </c>
      <c r="I22" s="169">
        <v>1.000005E-2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KRW</v>
      </c>
      <c r="M22" s="170" t="str">
        <f t="shared" si="1"/>
        <v>EQTY.IntlUS.off</v>
      </c>
      <c r="N22" s="171">
        <f t="shared" si="2"/>
        <v>1.000005E-2</v>
      </c>
      <c r="O22" s="171">
        <f t="shared" si="3"/>
        <v>1.000005E-2</v>
      </c>
    </row>
    <row r="23" spans="5:15">
      <c r="E23" s="169" t="s">
        <v>246</v>
      </c>
      <c r="F23" s="169" t="s">
        <v>228</v>
      </c>
      <c r="G23" s="169" t="s">
        <v>208</v>
      </c>
      <c r="H23" s="169">
        <v>4.3531499995879096E-3</v>
      </c>
      <c r="I23" s="169">
        <v>-9609.9956468500004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USD</v>
      </c>
      <c r="M23" s="170" t="str">
        <f t="shared" si="1"/>
        <v>EQTY.IntlUS.off</v>
      </c>
      <c r="N23" s="171">
        <f t="shared" si="2"/>
        <v>4.3531499995879096E-3</v>
      </c>
      <c r="O23" s="171">
        <f t="shared" si="3"/>
        <v>-9609.9956468500004</v>
      </c>
    </row>
    <row r="24" spans="5:15">
      <c r="E24" s="169" t="s">
        <v>336</v>
      </c>
      <c r="F24" s="169" t="s">
        <v>572</v>
      </c>
      <c r="G24" s="169" t="s">
        <v>208</v>
      </c>
      <c r="H24" s="169">
        <v>4625000</v>
      </c>
      <c r="I24" s="169">
        <v>4625000</v>
      </c>
      <c r="K24" s="170" t="str">
        <f t="shared" si="0"/>
        <v>CDS</v>
      </c>
      <c r="L24" s="170" t="str">
        <f>IF(E24="","",IF(COUNTIFS(Table2[[#All],[De (Lote)]],Input_APM!F24)&gt;0,INDEX(Table2[[#All],[Para (Ticker Daniel)]],MATCH(Input_APM!F24,Table2[[#All],[De (Lote)]],0)),Input_APM!F24))</f>
        <v>CHINAGOV 12/20/30</v>
      </c>
      <c r="M24" s="170" t="str">
        <f t="shared" si="1"/>
        <v>EQTY.IntlUS.off</v>
      </c>
      <c r="N24" s="171">
        <f t="shared" si="2"/>
        <v>4625000</v>
      </c>
      <c r="O24" s="171">
        <f t="shared" si="3"/>
        <v>4625000</v>
      </c>
    </row>
    <row r="25" spans="5:15">
      <c r="E25" s="169" t="s">
        <v>242</v>
      </c>
      <c r="F25" s="169" t="s">
        <v>1195</v>
      </c>
      <c r="G25" s="169" t="s">
        <v>208</v>
      </c>
      <c r="H25" s="169">
        <v>0</v>
      </c>
      <c r="I25" s="169">
        <v>0</v>
      </c>
      <c r="K25" s="170" t="str">
        <f t="shared" si="0"/>
        <v>US Equity</v>
      </c>
      <c r="L25" s="170" t="str">
        <f>IF(E25="","",IF(COUNTIFS(Table2[[#All],[De (Lote)]],Input_APM!F25)&gt;0,INDEX(Table2[[#All],[Para (Ticker Daniel)]],MATCH(Input_APM!F25,Table2[[#All],[De (Lote)]],0)),Input_APM!F25))</f>
        <v>COHR</v>
      </c>
      <c r="M25" s="170" t="str">
        <f t="shared" si="1"/>
        <v>EQTY.IntlUS.off</v>
      </c>
      <c r="N25" s="171">
        <f t="shared" si="2"/>
        <v>0</v>
      </c>
      <c r="O25" s="171">
        <f t="shared" si="3"/>
        <v>0</v>
      </c>
    </row>
    <row r="26" spans="5:15">
      <c r="E26" s="169" t="s">
        <v>242</v>
      </c>
      <c r="F26" s="169" t="s">
        <v>991</v>
      </c>
      <c r="G26" s="169" t="s">
        <v>208</v>
      </c>
      <c r="H26" s="169">
        <v>29519</v>
      </c>
      <c r="I26" s="169">
        <v>38964</v>
      </c>
      <c r="K26" s="170" t="str">
        <f t="shared" si="0"/>
        <v>US Equity</v>
      </c>
      <c r="L26" s="170" t="str">
        <f>IF(E26="","",IF(COUNTIFS(Table2[[#All],[De (Lote)]],Input_APM!F26)&gt;0,INDEX(Table2[[#All],[Para (Ticker Daniel)]],MATCH(Input_APM!F26,Table2[[#All],[De (Lote)]],0)),Input_APM!F26))</f>
        <v>CSCO</v>
      </c>
      <c r="M26" s="170" t="str">
        <f t="shared" si="1"/>
        <v>EQTY.IntlUS.off</v>
      </c>
      <c r="N26" s="171">
        <f t="shared" si="2"/>
        <v>29519</v>
      </c>
      <c r="O26" s="171">
        <f t="shared" si="3"/>
        <v>38964</v>
      </c>
    </row>
    <row r="27" spans="5:15">
      <c r="E27" s="169" t="s">
        <v>244</v>
      </c>
      <c r="F27" s="169" t="s">
        <v>1193</v>
      </c>
      <c r="G27" s="169" t="s">
        <v>208</v>
      </c>
      <c r="H27" s="169">
        <v>-940</v>
      </c>
      <c r="I27" s="169">
        <v>0</v>
      </c>
      <c r="K27" s="170" t="str">
        <f t="shared" si="0"/>
        <v>US Equity Options</v>
      </c>
      <c r="L27" s="170" t="str">
        <f>IF(E27="","",IF(COUNTIFS(Table2[[#All],[De (Lote)]],Input_APM!F27)&gt;0,INDEX(Table2[[#All],[Para (Ticker Daniel)]],MATCH(Input_APM!F27,Table2[[#All],[De (Lote)]],0)),Input_APM!F27))</f>
        <v>CSCO US 04/17/26 C100</v>
      </c>
      <c r="M27" s="170" t="str">
        <f t="shared" si="1"/>
        <v>EQTY.IntlUS.off</v>
      </c>
      <c r="N27" s="171">
        <f t="shared" si="2"/>
        <v>-940</v>
      </c>
      <c r="O27" s="171">
        <f t="shared" si="3"/>
        <v>0</v>
      </c>
    </row>
    <row r="28" spans="5:15">
      <c r="E28" s="169" t="s">
        <v>244</v>
      </c>
      <c r="F28" s="169" t="s">
        <v>1194</v>
      </c>
      <c r="G28" s="169" t="s">
        <v>208</v>
      </c>
      <c r="H28" s="169">
        <v>940</v>
      </c>
      <c r="I28" s="169">
        <v>0</v>
      </c>
      <c r="K28" s="170" t="str">
        <f t="shared" si="0"/>
        <v>US Equity Options</v>
      </c>
      <c r="L28" s="170" t="str">
        <f>IF(E28="","",IF(COUNTIFS(Table2[[#All],[De (Lote)]],Input_APM!F28)&gt;0,INDEX(Table2[[#All],[Para (Ticker Daniel)]],MATCH(Input_APM!F28,Table2[[#All],[De (Lote)]],0)),Input_APM!F28))</f>
        <v>CSCO US 04/17/26 C95</v>
      </c>
      <c r="M28" s="170" t="str">
        <f t="shared" si="1"/>
        <v>EQTY.IntlUS.off</v>
      </c>
      <c r="N28" s="171">
        <f t="shared" si="2"/>
        <v>940</v>
      </c>
      <c r="O28" s="171">
        <f t="shared" si="3"/>
        <v>0</v>
      </c>
    </row>
    <row r="29" spans="5:15">
      <c r="E29" s="169" t="s">
        <v>242</v>
      </c>
      <c r="F29" s="169" t="s">
        <v>1196</v>
      </c>
      <c r="G29" s="169" t="s">
        <v>208</v>
      </c>
      <c r="H29" s="169">
        <v>0</v>
      </c>
      <c r="I29" s="169">
        <v>5636</v>
      </c>
      <c r="K29" s="170" t="str">
        <f t="shared" si="0"/>
        <v>US Equity</v>
      </c>
      <c r="L29" s="170" t="str">
        <f>IF(E29="","",IF(COUNTIFS(Table2[[#All],[De (Lote)]],Input_APM!F29)&gt;0,INDEX(Table2[[#All],[Para (Ticker Daniel)]],MATCH(Input_APM!F29,Table2[[#All],[De (Lote)]],0)),Input_APM!F29))</f>
        <v>DTM</v>
      </c>
      <c r="M29" s="170" t="str">
        <f t="shared" si="1"/>
        <v>EQTY.IntlUS.off</v>
      </c>
      <c r="N29" s="171">
        <f t="shared" si="2"/>
        <v>0</v>
      </c>
      <c r="O29" s="171">
        <f t="shared" si="3"/>
        <v>5636</v>
      </c>
    </row>
    <row r="30" spans="5:15">
      <c r="E30" s="169" t="s">
        <v>1197</v>
      </c>
      <c r="F30" s="169" t="s">
        <v>1190</v>
      </c>
      <c r="G30" s="169" t="s">
        <v>208</v>
      </c>
      <c r="H30" s="169">
        <v>939</v>
      </c>
      <c r="I30" s="169">
        <v>0</v>
      </c>
      <c r="K30" s="170" t="str">
        <f t="shared" si="0"/>
        <v>EUR Equity</v>
      </c>
      <c r="L30" s="170" t="str">
        <f>IF(E30="","",IF(COUNTIFS(Table2[[#All],[De (Lote)]],Input_APM!F30)&gt;0,INDEX(Table2[[#All],[Para (Ticker Daniel)]],MATCH(Input_APM!F30,Table2[[#All],[De (Lote)]],0)),Input_APM!F30))</f>
        <v>ENR GY</v>
      </c>
      <c r="M30" s="170" t="str">
        <f t="shared" si="1"/>
        <v>EQTY.IntlUS.off</v>
      </c>
      <c r="N30" s="171">
        <f t="shared" si="2"/>
        <v>939</v>
      </c>
      <c r="O30" s="171">
        <f t="shared" si="3"/>
        <v>0</v>
      </c>
    </row>
    <row r="31" spans="5:15">
      <c r="E31" s="169" t="s">
        <v>245</v>
      </c>
      <c r="F31" s="169" t="s">
        <v>426</v>
      </c>
      <c r="G31" s="169" t="s">
        <v>208</v>
      </c>
      <c r="H31" s="169">
        <v>28499</v>
      </c>
      <c r="I31" s="169">
        <v>44191</v>
      </c>
      <c r="K31" s="170" t="str">
        <f t="shared" si="0"/>
        <v>ETF</v>
      </c>
      <c r="L31" s="170" t="str">
        <f>IF(E31="","",IF(COUNTIFS(Table2[[#All],[De (Lote)]],Input_APM!F31)&gt;0,INDEX(Table2[[#All],[Para (Ticker Daniel)]],MATCH(Input_APM!F31,Table2[[#All],[De (Lote)]],0)),Input_APM!F31))</f>
        <v>EWY</v>
      </c>
      <c r="M31" s="170" t="str">
        <f t="shared" si="1"/>
        <v>EQTY.IntlUS.off</v>
      </c>
      <c r="N31" s="171">
        <f t="shared" si="2"/>
        <v>28499</v>
      </c>
      <c r="O31" s="171">
        <f t="shared" si="3"/>
        <v>44191</v>
      </c>
    </row>
    <row r="32" spans="5:15">
      <c r="E32" s="169" t="s">
        <v>245</v>
      </c>
      <c r="F32" s="169" t="s">
        <v>78</v>
      </c>
      <c r="G32" s="169" t="s">
        <v>208</v>
      </c>
      <c r="H32" s="169">
        <v>25358</v>
      </c>
      <c r="I32" s="169">
        <v>22540</v>
      </c>
      <c r="K32" s="170" t="str">
        <f t="shared" si="0"/>
        <v>ETF</v>
      </c>
      <c r="L32" s="170" t="str">
        <f>IF(E32="","",IF(COUNTIFS(Table2[[#All],[De (Lote)]],Input_APM!F32)&gt;0,INDEX(Table2[[#All],[Para (Ticker Daniel)]],MATCH(Input_APM!F32,Table2[[#All],[De (Lote)]],0)),Input_APM!F32))</f>
        <v xml:space="preserve">GDX </v>
      </c>
      <c r="M32" s="170" t="str">
        <f t="shared" si="1"/>
        <v>EQTY.IntlUS.off</v>
      </c>
      <c r="N32" s="171">
        <f t="shared" si="2"/>
        <v>25358</v>
      </c>
      <c r="O32" s="171">
        <f t="shared" si="3"/>
        <v>22540</v>
      </c>
    </row>
    <row r="33" spans="5:15">
      <c r="E33" s="169" t="s">
        <v>248</v>
      </c>
      <c r="F33" s="169" t="s">
        <v>915</v>
      </c>
      <c r="G33" s="169" t="s">
        <v>208</v>
      </c>
      <c r="H33" s="169">
        <v>797</v>
      </c>
      <c r="I33" s="169">
        <v>797</v>
      </c>
      <c r="K33" s="170" t="str">
        <f t="shared" si="0"/>
        <v>ETF Options</v>
      </c>
      <c r="L33" s="170" t="str">
        <f>IF(E33="","",IF(COUNTIFS(Table2[[#All],[De (Lote)]],Input_APM!F33)&gt;0,INDEX(Table2[[#All],[Para (Ticker Daniel)]],MATCH(Input_APM!F33,Table2[[#All],[De (Lote)]],0)),Input_APM!F33))</f>
        <v>GDX US 09/18/26 C105</v>
      </c>
      <c r="M33" s="170" t="str">
        <f t="shared" si="1"/>
        <v>EQTY.IntlUS.off</v>
      </c>
      <c r="N33" s="171">
        <f t="shared" si="2"/>
        <v>797</v>
      </c>
      <c r="O33" s="171">
        <f t="shared" si="3"/>
        <v>797</v>
      </c>
    </row>
    <row r="34" spans="5:15">
      <c r="E34" s="169" t="s">
        <v>248</v>
      </c>
      <c r="F34" s="169" t="s">
        <v>916</v>
      </c>
      <c r="G34" s="169" t="s">
        <v>208</v>
      </c>
      <c r="H34" s="169">
        <v>-797</v>
      </c>
      <c r="I34" s="169">
        <v>-797</v>
      </c>
      <c r="K34" s="170" t="str">
        <f t="shared" si="0"/>
        <v>ETF Options</v>
      </c>
      <c r="L34" s="170" t="str">
        <f>IF(E34="","",IF(COUNTIFS(Table2[[#All],[De (Lote)]],Input_APM!F34)&gt;0,INDEX(Table2[[#All],[Para (Ticker Daniel)]],MATCH(Input_APM!F34,Table2[[#All],[De (Lote)]],0)),Input_APM!F34))</f>
        <v>GDX US 09/18/26 C115</v>
      </c>
      <c r="M34" s="170" t="str">
        <f t="shared" si="1"/>
        <v>EQTY.IntlUS.off</v>
      </c>
      <c r="N34" s="171">
        <f t="shared" si="2"/>
        <v>-797</v>
      </c>
      <c r="O34" s="171">
        <f t="shared" si="3"/>
        <v>-797</v>
      </c>
    </row>
    <row r="35" spans="5:15">
      <c r="E35" s="169" t="s">
        <v>242</v>
      </c>
      <c r="F35" s="169" t="s">
        <v>1178</v>
      </c>
      <c r="G35" s="169" t="s">
        <v>208</v>
      </c>
      <c r="H35" s="169">
        <v>906</v>
      </c>
      <c r="I35" s="169">
        <v>906</v>
      </c>
      <c r="K35" s="170" t="str">
        <f t="shared" si="0"/>
        <v>US Equity</v>
      </c>
      <c r="L35" s="170" t="str">
        <f>IF(E35="","",IF(COUNTIFS(Table2[[#All],[De (Lote)]],Input_APM!F35)&gt;0,INDEX(Table2[[#All],[Para (Ticker Daniel)]],MATCH(Input_APM!F35,Table2[[#All],[De (Lote)]],0)),Input_APM!F35))</f>
        <v>GEV</v>
      </c>
      <c r="M35" s="170" t="str">
        <f t="shared" si="1"/>
        <v>EQTY.IntlUS.off</v>
      </c>
      <c r="N35" s="171">
        <f t="shared" si="2"/>
        <v>906</v>
      </c>
      <c r="O35" s="171">
        <f t="shared" si="3"/>
        <v>906</v>
      </c>
    </row>
    <row r="36" spans="5:15">
      <c r="E36" s="169" t="s">
        <v>242</v>
      </c>
      <c r="F36" s="169" t="s">
        <v>808</v>
      </c>
      <c r="G36" s="169" t="s">
        <v>208</v>
      </c>
      <c r="H36" s="169">
        <v>4670</v>
      </c>
      <c r="I36" s="169">
        <v>7019</v>
      </c>
      <c r="K36" s="170" t="str">
        <f t="shared" si="0"/>
        <v>US Equity</v>
      </c>
      <c r="L36" s="170" t="str">
        <f>IF(E36="","",IF(COUNTIFS(Table2[[#All],[De (Lote)]],Input_APM!F36)&gt;0,INDEX(Table2[[#All],[Para (Ticker Daniel)]],MATCH(Input_APM!F36,Table2[[#All],[De (Lote)]],0)),Input_APM!F36))</f>
        <v>GOOG</v>
      </c>
      <c r="M36" s="170" t="str">
        <f t="shared" si="1"/>
        <v>EQTY.IntlUS.off</v>
      </c>
      <c r="N36" s="171">
        <f t="shared" si="2"/>
        <v>4670</v>
      </c>
      <c r="O36" s="171">
        <f t="shared" si="3"/>
        <v>7019</v>
      </c>
    </row>
    <row r="37" spans="5:15">
      <c r="E37" s="169" t="s">
        <v>249</v>
      </c>
      <c r="F37" s="169" t="s">
        <v>562</v>
      </c>
      <c r="G37" s="169" t="s">
        <v>208</v>
      </c>
      <c r="H37" s="169">
        <v>276451</v>
      </c>
      <c r="I37" s="169">
        <v>276451</v>
      </c>
      <c r="K37" s="170" t="str">
        <f t="shared" si="0"/>
        <v>Basket Index Options</v>
      </c>
      <c r="L37" s="170" t="str">
        <f>IF(E37="","",IF(COUNTIFS(Table2[[#All],[De (Lote)]],Input_APM!F37)&gt;0,INDEX(Table2[[#All],[Para (Ticker Daniel)]],MATCH(Input_APM!F37,Table2[[#All],[De (Lote)]],0)),Input_APM!F37))</f>
        <v>GSC1000P 03/20/26 C104</v>
      </c>
      <c r="M37" s="170" t="str">
        <f t="shared" si="1"/>
        <v>EQTY.IntlUS.off</v>
      </c>
      <c r="N37" s="171">
        <f t="shared" si="2"/>
        <v>276451</v>
      </c>
      <c r="O37" s="171">
        <f t="shared" si="3"/>
        <v>276451</v>
      </c>
    </row>
    <row r="38" spans="5:15">
      <c r="E38" s="169" t="s">
        <v>249</v>
      </c>
      <c r="F38" s="169" t="s">
        <v>563</v>
      </c>
      <c r="G38" s="169" t="s">
        <v>208</v>
      </c>
      <c r="H38" s="169">
        <v>-276451</v>
      </c>
      <c r="I38" s="169">
        <v>-276451</v>
      </c>
      <c r="K38" s="170" t="str">
        <f t="shared" si="0"/>
        <v>Basket Index Options</v>
      </c>
      <c r="L38" s="170" t="str">
        <f>IF(E38="","",IF(COUNTIFS(Table2[[#All],[De (Lote)]],Input_APM!F38)&gt;0,INDEX(Table2[[#All],[Para (Ticker Daniel)]],MATCH(Input_APM!F38,Table2[[#All],[De (Lote)]],0)),Input_APM!F38))</f>
        <v>GSC1000P 03/20/26 C119</v>
      </c>
      <c r="M38" s="170" t="str">
        <f t="shared" si="1"/>
        <v>EQTY.IntlUS.off</v>
      </c>
      <c r="N38" s="171">
        <f t="shared" si="2"/>
        <v>-276451</v>
      </c>
      <c r="O38" s="171">
        <f t="shared" si="3"/>
        <v>-276451</v>
      </c>
    </row>
    <row r="39" spans="5:15">
      <c r="E39" s="169" t="s">
        <v>242</v>
      </c>
      <c r="F39" s="169" t="s">
        <v>343</v>
      </c>
      <c r="G39" s="169" t="s">
        <v>208</v>
      </c>
      <c r="H39" s="169">
        <v>2818</v>
      </c>
      <c r="I39" s="169">
        <v>1409</v>
      </c>
      <c r="K39" s="170" t="str">
        <f t="shared" si="0"/>
        <v>US Equity</v>
      </c>
      <c r="L39" s="170" t="str">
        <f>IF(E39="","",IF(COUNTIFS(Table2[[#All],[De (Lote)]],Input_APM!F39)&gt;0,INDEX(Table2[[#All],[Para (Ticker Daniel)]],MATCH(Input_APM!F39,Table2[[#All],[De (Lote)]],0)),Input_APM!F39))</f>
        <v>INTC</v>
      </c>
      <c r="M39" s="170" t="str">
        <f t="shared" si="1"/>
        <v>EQTY.IntlUS.off</v>
      </c>
      <c r="N39" s="171">
        <f t="shared" si="2"/>
        <v>2818</v>
      </c>
      <c r="O39" s="171">
        <f t="shared" si="3"/>
        <v>1409</v>
      </c>
    </row>
    <row r="40" spans="5:15">
      <c r="E40" s="169" t="s">
        <v>244</v>
      </c>
      <c r="F40" s="169" t="s">
        <v>971</v>
      </c>
      <c r="G40" s="169" t="s">
        <v>208</v>
      </c>
      <c r="H40" s="169">
        <v>284</v>
      </c>
      <c r="I40" s="169">
        <v>260</v>
      </c>
      <c r="K40" s="170" t="str">
        <f t="shared" si="0"/>
        <v>US Equity Options</v>
      </c>
      <c r="L40" s="170" t="str">
        <f>IF(E40="","",IF(COUNTIFS(Table2[[#All],[De (Lote)]],Input_APM!F40)&gt;0,INDEX(Table2[[#All],[Para (Ticker Daniel)]],MATCH(Input_APM!F40,Table2[[#All],[De (Lote)]],0)),Input_APM!F40))</f>
        <v>INTC US 07/17/26 C50</v>
      </c>
      <c r="M40" s="170" t="str">
        <f t="shared" si="1"/>
        <v>EQTY.IntlUS.off</v>
      </c>
      <c r="N40" s="171">
        <f t="shared" si="2"/>
        <v>284</v>
      </c>
      <c r="O40" s="171">
        <f t="shared" si="3"/>
        <v>260</v>
      </c>
    </row>
    <row r="41" spans="5:15">
      <c r="E41" s="169" t="s">
        <v>244</v>
      </c>
      <c r="F41" s="169" t="s">
        <v>972</v>
      </c>
      <c r="G41" s="169" t="s">
        <v>208</v>
      </c>
      <c r="H41" s="169">
        <v>0</v>
      </c>
      <c r="I41" s="169">
        <v>-141</v>
      </c>
      <c r="K41" s="170" t="str">
        <f t="shared" si="0"/>
        <v>US Equity Options</v>
      </c>
      <c r="L41" s="170" t="str">
        <f>IF(E41="","",IF(COUNTIFS(Table2[[#All],[De (Lote)]],Input_APM!F41)&gt;0,INDEX(Table2[[#All],[Para (Ticker Daniel)]],MATCH(Input_APM!F41,Table2[[#All],[De (Lote)]],0)),Input_APM!F41))</f>
        <v>INTC US 07/17/26 C60</v>
      </c>
      <c r="M41" s="170" t="str">
        <f t="shared" si="1"/>
        <v>EQTY.IntlUS.off</v>
      </c>
      <c r="N41" s="171">
        <f t="shared" si="2"/>
        <v>0</v>
      </c>
      <c r="O41" s="171">
        <f t="shared" si="3"/>
        <v>-141</v>
      </c>
    </row>
    <row r="42" spans="5:15">
      <c r="E42" s="169" t="s">
        <v>244</v>
      </c>
      <c r="F42" s="169" t="s">
        <v>970</v>
      </c>
      <c r="G42" s="169" t="s">
        <v>208</v>
      </c>
      <c r="H42" s="169">
        <v>-47</v>
      </c>
      <c r="I42" s="169">
        <v>-47</v>
      </c>
      <c r="K42" s="170" t="str">
        <f t="shared" si="0"/>
        <v>US Equity Options</v>
      </c>
      <c r="L42" s="170" t="str">
        <f>IF(E42="","",IF(COUNTIFS(Table2[[#All],[De (Lote)]],Input_APM!F42)&gt;0,INDEX(Table2[[#All],[Para (Ticker Daniel)]],MATCH(Input_APM!F42,Table2[[#All],[De (Lote)]],0)),Input_APM!F42))</f>
        <v>INTC US 07/17/26 P40</v>
      </c>
      <c r="M42" s="170" t="str">
        <f t="shared" si="1"/>
        <v>EQTY.IntlUS.off</v>
      </c>
      <c r="N42" s="171">
        <f t="shared" si="2"/>
        <v>-47</v>
      </c>
      <c r="O42" s="171">
        <f t="shared" si="3"/>
        <v>-47</v>
      </c>
    </row>
    <row r="43" spans="5:15">
      <c r="E43" s="169" t="s">
        <v>245</v>
      </c>
      <c r="F43" s="169" t="s">
        <v>6</v>
      </c>
      <c r="G43" s="169" t="s">
        <v>208</v>
      </c>
      <c r="H43" s="169">
        <v>14082</v>
      </c>
      <c r="I43" s="169">
        <v>14082</v>
      </c>
      <c r="K43" s="170" t="str">
        <f t="shared" si="0"/>
        <v>ETF</v>
      </c>
      <c r="L43" s="170" t="str">
        <f>IF(E43="","",IF(COUNTIFS(Table2[[#All],[De (Lote)]],Input_APM!F43)&gt;0,INDEX(Table2[[#All],[Para (Ticker Daniel)]],MATCH(Input_APM!F43,Table2[[#All],[De (Lote)]],0)),Input_APM!F43))</f>
        <v>KBWB</v>
      </c>
      <c r="M43" s="170" t="str">
        <f t="shared" si="1"/>
        <v>EQTY.IntlUS.off</v>
      </c>
      <c r="N43" s="171">
        <f t="shared" si="2"/>
        <v>14082</v>
      </c>
      <c r="O43" s="171">
        <f t="shared" si="3"/>
        <v>14082</v>
      </c>
    </row>
    <row r="44" spans="5:15">
      <c r="E44" s="169" t="s">
        <v>242</v>
      </c>
      <c r="F44" s="169" t="s">
        <v>917</v>
      </c>
      <c r="G44" s="169" t="s">
        <v>208</v>
      </c>
      <c r="H44" s="169">
        <v>-6554</v>
      </c>
      <c r="I44" s="169">
        <v>-12632</v>
      </c>
      <c r="K44" s="170" t="str">
        <f t="shared" si="0"/>
        <v>US Equity</v>
      </c>
      <c r="L44" s="170" t="str">
        <f>IF(E44="","",IF(COUNTIFS(Table2[[#All],[De (Lote)]],Input_APM!F44)&gt;0,INDEX(Table2[[#All],[Para (Ticker Daniel)]],MATCH(Input_APM!F44,Table2[[#All],[De (Lote)]],0)),Input_APM!F44))</f>
        <v>KHC</v>
      </c>
      <c r="M44" s="170" t="str">
        <f t="shared" si="1"/>
        <v>EQTY.IntlUS.off</v>
      </c>
      <c r="N44" s="171">
        <f t="shared" si="2"/>
        <v>-6554</v>
      </c>
      <c r="O44" s="171">
        <f t="shared" si="3"/>
        <v>-12632</v>
      </c>
    </row>
    <row r="45" spans="5:15">
      <c r="E45" s="169" t="s">
        <v>968</v>
      </c>
      <c r="F45" s="169" t="s">
        <v>947</v>
      </c>
      <c r="G45" s="169" t="s">
        <v>208</v>
      </c>
      <c r="H45" s="169">
        <v>10349446</v>
      </c>
      <c r="I45" s="169">
        <v>10349446</v>
      </c>
      <c r="K45" s="170" t="str">
        <f t="shared" si="0"/>
        <v>KOSPI 200 Index Options - KRX</v>
      </c>
      <c r="L45" s="170" t="str">
        <f>IF(E45="","",IF(COUNTIFS(Table2[[#All],[De (Lote)]],Input_APM!F45)&gt;0,INDEX(Table2[[#All],[Para (Ticker Daniel)]],MATCH(Input_APM!F45,Table2[[#All],[De (Lote)]],0)),Input_APM!F45))</f>
        <v>KOSPI2 12/10/26 C1000</v>
      </c>
      <c r="M45" s="170" t="str">
        <f t="shared" si="1"/>
        <v>EQTY.IntlUS.off</v>
      </c>
      <c r="N45" s="171">
        <f t="shared" si="2"/>
        <v>10349446</v>
      </c>
      <c r="O45" s="171">
        <f t="shared" si="3"/>
        <v>10349446</v>
      </c>
    </row>
    <row r="46" spans="5:15">
      <c r="E46" s="169" t="s">
        <v>242</v>
      </c>
      <c r="F46" s="169" t="s">
        <v>729</v>
      </c>
      <c r="G46" s="169" t="s">
        <v>208</v>
      </c>
      <c r="H46" s="169">
        <v>4682</v>
      </c>
      <c r="I46" s="169">
        <v>4682</v>
      </c>
      <c r="K46" s="170" t="str">
        <f t="shared" si="0"/>
        <v>US Equity</v>
      </c>
      <c r="L46" s="170" t="str">
        <f>IF(E46="","",IF(COUNTIFS(Table2[[#All],[De (Lote)]],Input_APM!F46)&gt;0,INDEX(Table2[[#All],[Para (Ticker Daniel)]],MATCH(Input_APM!F46,Table2[[#All],[De (Lote)]],0)),Input_APM!F46))</f>
        <v>LITE</v>
      </c>
      <c r="M46" s="170" t="str">
        <f t="shared" si="1"/>
        <v>EQTY.IntlUS.off</v>
      </c>
      <c r="N46" s="171">
        <f t="shared" si="2"/>
        <v>4682</v>
      </c>
      <c r="O46" s="171">
        <f t="shared" si="3"/>
        <v>4682</v>
      </c>
    </row>
    <row r="47" spans="5:15">
      <c r="E47" s="169" t="s">
        <v>244</v>
      </c>
      <c r="F47" s="169" t="s">
        <v>1188</v>
      </c>
      <c r="G47" s="169" t="s">
        <v>208</v>
      </c>
      <c r="H47" s="169">
        <v>71</v>
      </c>
      <c r="I47" s="169">
        <v>0</v>
      </c>
      <c r="K47" s="170" t="str">
        <f t="shared" si="0"/>
        <v>US Equity Options</v>
      </c>
      <c r="L47" s="170" t="str">
        <f>IF(E47="","",IF(COUNTIFS(Table2[[#All],[De (Lote)]],Input_APM!F47)&gt;0,INDEX(Table2[[#All],[Para (Ticker Daniel)]],MATCH(Input_APM!F47,Table2[[#All],[De (Lote)]],0)),Input_APM!F47))</f>
        <v>LITE US 06/18/26 C600</v>
      </c>
      <c r="M47" s="170" t="str">
        <f t="shared" si="1"/>
        <v>EQTY.IntlUS.off</v>
      </c>
      <c r="N47" s="171">
        <f t="shared" si="2"/>
        <v>71</v>
      </c>
      <c r="O47" s="171">
        <f t="shared" si="3"/>
        <v>0</v>
      </c>
    </row>
    <row r="48" spans="5:15">
      <c r="E48" s="169" t="s">
        <v>244</v>
      </c>
      <c r="F48" s="169" t="s">
        <v>1189</v>
      </c>
      <c r="G48" s="169" t="s">
        <v>208</v>
      </c>
      <c r="H48" s="169">
        <v>-71</v>
      </c>
      <c r="I48" s="169">
        <v>0</v>
      </c>
      <c r="K48" s="170" t="str">
        <f t="shared" si="0"/>
        <v>US Equity Options</v>
      </c>
      <c r="L48" s="170" t="str">
        <f>IF(E48="","",IF(COUNTIFS(Table2[[#All],[De (Lote)]],Input_APM!F48)&gt;0,INDEX(Table2[[#All],[Para (Ticker Daniel)]],MATCH(Input_APM!F48,Table2[[#All],[De (Lote)]],0)),Input_APM!F48))</f>
        <v>LITE US 06/18/26 C720</v>
      </c>
      <c r="M48" s="170" t="str">
        <f t="shared" si="1"/>
        <v>EQTY.IntlUS.off</v>
      </c>
      <c r="N48" s="171">
        <f t="shared" si="2"/>
        <v>-71</v>
      </c>
      <c r="O48" s="171">
        <f t="shared" si="3"/>
        <v>0</v>
      </c>
    </row>
    <row r="49" spans="5:15">
      <c r="E49" s="169" t="s">
        <v>242</v>
      </c>
      <c r="F49" s="169" t="s">
        <v>340</v>
      </c>
      <c r="G49" s="169" t="s">
        <v>208</v>
      </c>
      <c r="H49" s="169">
        <v>0</v>
      </c>
      <c r="I49" s="169">
        <v>113</v>
      </c>
      <c r="K49" s="170" t="str">
        <f t="shared" si="0"/>
        <v>US Equity</v>
      </c>
      <c r="L49" s="170" t="str">
        <f>IF(E49="","",IF(COUNTIFS(Table2[[#All],[De (Lote)]],Input_APM!F49)&gt;0,INDEX(Table2[[#All],[Para (Ticker Daniel)]],MATCH(Input_APM!F49,Table2[[#All],[De (Lote)]],0)),Input_APM!F49))</f>
        <v>MELI</v>
      </c>
      <c r="M49" s="170" t="str">
        <f t="shared" si="1"/>
        <v>EQTY.IntlUS.off</v>
      </c>
      <c r="N49" s="171">
        <f t="shared" si="2"/>
        <v>0</v>
      </c>
      <c r="O49" s="171">
        <f t="shared" si="3"/>
        <v>113</v>
      </c>
    </row>
    <row r="50" spans="5:15">
      <c r="E50" s="169" t="s">
        <v>244</v>
      </c>
      <c r="F50" s="169" t="s">
        <v>1123</v>
      </c>
      <c r="G50" s="169" t="s">
        <v>208</v>
      </c>
      <c r="H50" s="169">
        <v>0</v>
      </c>
      <c r="I50" s="169">
        <v>29</v>
      </c>
      <c r="K50" s="170" t="str">
        <f t="shared" si="0"/>
        <v>US Equity Options</v>
      </c>
      <c r="L50" s="170" t="str">
        <f>IF(E50="","",IF(COUNTIFS(Table2[[#All],[De (Lote)]],Input_APM!F50)&gt;0,INDEX(Table2[[#All],[Para (Ticker Daniel)]],MATCH(Input_APM!F50,Table2[[#All],[De (Lote)]],0)),Input_APM!F50))</f>
        <v>MELI US 02/20/26 C2150</v>
      </c>
      <c r="M50" s="170" t="str">
        <f t="shared" si="1"/>
        <v>EQTY.IntlUS.off</v>
      </c>
      <c r="N50" s="171">
        <f t="shared" si="2"/>
        <v>0</v>
      </c>
      <c r="O50" s="171">
        <f t="shared" si="3"/>
        <v>29</v>
      </c>
    </row>
    <row r="51" spans="5:15">
      <c r="E51" s="169" t="s">
        <v>335</v>
      </c>
      <c r="F51" s="169" t="s">
        <v>1043</v>
      </c>
      <c r="G51" s="169" t="s">
        <v>208</v>
      </c>
      <c r="H51" s="169">
        <v>-9372000</v>
      </c>
      <c r="I51" s="169">
        <v>-9372000</v>
      </c>
      <c r="K51" s="170" t="str">
        <f t="shared" si="0"/>
        <v>Global Bonds</v>
      </c>
      <c r="L51" s="170" t="str">
        <f>IF(E51="","",IF(COUNTIFS(Table2[[#All],[De (Lote)]],Input_APM!F51)&gt;0,INDEX(Table2[[#All],[Para (Ticker Daniel)]],MATCH(Input_APM!F51,Table2[[#All],[De (Lote)]],0)),Input_APM!F51))</f>
        <v>META 4.875% 11/15/35</v>
      </c>
      <c r="M51" s="170" t="str">
        <f t="shared" si="1"/>
        <v>EQTY.IntlUS.off</v>
      </c>
      <c r="N51" s="171">
        <f t="shared" si="2"/>
        <v>-9372000</v>
      </c>
      <c r="O51" s="171">
        <f t="shared" si="3"/>
        <v>-9372000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7610</v>
      </c>
      <c r="I52" s="169">
        <v>7610</v>
      </c>
      <c r="K52" s="170" t="str">
        <f t="shared" si="0"/>
        <v>US Equity</v>
      </c>
      <c r="L52" s="170" t="str">
        <f>IF(E52="","",IF(COUNTIFS(Table2[[#All],[De (Lote)]],Input_APM!F52)&gt;0,INDEX(Table2[[#All],[Para (Ticker Daniel)]],MATCH(Input_APM!F52,Table2[[#All],[De (Lote)]],0)),Input_APM!F52))</f>
        <v>META</v>
      </c>
      <c r="M52" s="170" t="str">
        <f t="shared" si="1"/>
        <v>EQTY.IntlUS.off</v>
      </c>
      <c r="N52" s="171">
        <f t="shared" si="2"/>
        <v>7610</v>
      </c>
      <c r="O52" s="171">
        <f t="shared" si="3"/>
        <v>7610</v>
      </c>
    </row>
    <row r="53" spans="5:15">
      <c r="E53" s="169" t="s">
        <v>244</v>
      </c>
      <c r="F53" s="169" t="s">
        <v>1074</v>
      </c>
      <c r="G53" s="169" t="s">
        <v>208</v>
      </c>
      <c r="H53" s="169">
        <v>161</v>
      </c>
      <c r="I53" s="169">
        <v>161</v>
      </c>
      <c r="K53" s="170" t="str">
        <f t="shared" si="0"/>
        <v>US Equity Options</v>
      </c>
      <c r="L53" s="170" t="str">
        <f>IF(E53="","",IF(COUNTIFS(Table2[[#All],[De (Lote)]],Input_APM!F53)&gt;0,INDEX(Table2[[#All],[Para (Ticker Daniel)]],MATCH(Input_APM!F53,Table2[[#All],[De (Lote)]],0)),Input_APM!F53))</f>
        <v>META US 07/17/26 C750</v>
      </c>
      <c r="M53" s="170" t="str">
        <f t="shared" si="1"/>
        <v>EQTY.IntlUS.off</v>
      </c>
      <c r="N53" s="171">
        <f t="shared" si="2"/>
        <v>161</v>
      </c>
      <c r="O53" s="171">
        <f t="shared" si="3"/>
        <v>161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-5262</v>
      </c>
      <c r="I54" s="169">
        <v>-1504</v>
      </c>
      <c r="K54" s="170" t="str">
        <f t="shared" si="0"/>
        <v>US Equity</v>
      </c>
      <c r="L54" s="170" t="str">
        <f>IF(E54="","",IF(COUNTIFS(Table2[[#All],[De (Lote)]],Input_APM!F54)&gt;0,INDEX(Table2[[#All],[Para (Ticker Daniel)]],MATCH(Input_APM!F54,Table2[[#All],[De (Lote)]],0)),Input_APM!F54))</f>
        <v>MRVL</v>
      </c>
      <c r="M54" s="170" t="str">
        <f t="shared" si="1"/>
        <v>EQTY.IntlUS.off</v>
      </c>
      <c r="N54" s="171">
        <f t="shared" si="2"/>
        <v>-5262</v>
      </c>
      <c r="O54" s="171">
        <f t="shared" si="3"/>
        <v>-1504</v>
      </c>
    </row>
    <row r="55" spans="5:15">
      <c r="E55" s="169" t="s">
        <v>244</v>
      </c>
      <c r="F55" s="169" t="s">
        <v>1101</v>
      </c>
      <c r="G55" s="169" t="s">
        <v>208</v>
      </c>
      <c r="H55" s="169">
        <v>-422</v>
      </c>
      <c r="I55" s="169">
        <v>-422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P60</v>
      </c>
      <c r="M55" s="170" t="str">
        <f t="shared" si="1"/>
        <v>EQTY.IntlUS.off</v>
      </c>
      <c r="N55" s="171">
        <f t="shared" si="2"/>
        <v>-422</v>
      </c>
      <c r="O55" s="171">
        <f t="shared" si="3"/>
        <v>-422</v>
      </c>
    </row>
    <row r="56" spans="5:15">
      <c r="E56" s="169" t="s">
        <v>244</v>
      </c>
      <c r="F56" s="169" t="s">
        <v>925</v>
      </c>
      <c r="G56" s="169" t="s">
        <v>208</v>
      </c>
      <c r="H56" s="169">
        <v>422</v>
      </c>
      <c r="I56" s="169">
        <v>422</v>
      </c>
      <c r="K56" s="170" t="str">
        <f t="shared" si="0"/>
        <v>US Equity Options</v>
      </c>
      <c r="L56" s="170" t="str">
        <f>IF(E56="","",IF(COUNTIFS(Table2[[#All],[De (Lote)]],Input_APM!F56)&gt;0,INDEX(Table2[[#All],[Para (Ticker Daniel)]],MATCH(Input_APM!F56,Table2[[#All],[De (Lote)]],0)),Input_APM!F56))</f>
        <v>MRVL US 03/20/26 P70</v>
      </c>
      <c r="M56" s="170" t="str">
        <f t="shared" si="1"/>
        <v>EQTY.IntlUS.off</v>
      </c>
      <c r="N56" s="171">
        <f t="shared" si="2"/>
        <v>422</v>
      </c>
      <c r="O56" s="171">
        <f t="shared" si="3"/>
        <v>422</v>
      </c>
    </row>
    <row r="57" spans="5:15">
      <c r="E57" s="169" t="s">
        <v>244</v>
      </c>
      <c r="F57" s="169" t="s">
        <v>1102</v>
      </c>
      <c r="G57" s="169" t="s">
        <v>208</v>
      </c>
      <c r="H57" s="169">
        <v>-188</v>
      </c>
      <c r="I57" s="169">
        <v>-188</v>
      </c>
      <c r="K57" s="170" t="str">
        <f t="shared" si="0"/>
        <v>US Equity Options</v>
      </c>
      <c r="L57" s="170" t="str">
        <f>IF(E57="","",IF(COUNTIFS(Table2[[#All],[De (Lote)]],Input_APM!F57)&gt;0,INDEX(Table2[[#All],[Para (Ticker Daniel)]],MATCH(Input_APM!F57,Table2[[#All],[De (Lote)]],0)),Input_APM!F57))</f>
        <v>NFLX US 05/15/26 C90</v>
      </c>
      <c r="M57" s="170" t="str">
        <f t="shared" si="1"/>
        <v>EQTY.IntlUS.off</v>
      </c>
      <c r="N57" s="171">
        <f t="shared" si="2"/>
        <v>-188</v>
      </c>
      <c r="O57" s="171">
        <f t="shared" si="3"/>
        <v>-188</v>
      </c>
    </row>
    <row r="58" spans="5:15">
      <c r="E58" s="169" t="s">
        <v>244</v>
      </c>
      <c r="F58" s="169" t="s">
        <v>1103</v>
      </c>
      <c r="G58" s="169" t="s">
        <v>208</v>
      </c>
      <c r="H58" s="169">
        <v>-188</v>
      </c>
      <c r="I58" s="169">
        <v>-188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P70</v>
      </c>
      <c r="M58" s="170" t="str">
        <f t="shared" si="1"/>
        <v>EQTY.IntlUS.off</v>
      </c>
      <c r="N58" s="171">
        <f t="shared" si="2"/>
        <v>-188</v>
      </c>
      <c r="O58" s="171">
        <f t="shared" si="3"/>
        <v>-188</v>
      </c>
    </row>
    <row r="59" spans="5:15">
      <c r="E59" s="169" t="s">
        <v>1079</v>
      </c>
      <c r="F59" s="169" t="s">
        <v>1080</v>
      </c>
      <c r="G59" s="169" t="s">
        <v>208</v>
      </c>
      <c r="H59" s="169">
        <v>-15</v>
      </c>
      <c r="I59" s="169">
        <v>0</v>
      </c>
      <c r="K59" s="170" t="str">
        <f t="shared" si="0"/>
        <v>NASDAQ-100 E-mini Futures - CME</v>
      </c>
      <c r="L59" s="170" t="str">
        <f>IF(E59="","",IF(COUNTIFS(Table2[[#All],[De (Lote)]],Input_APM!F59)&gt;0,INDEX(Table2[[#All],[Para (Ticker Daniel)]],MATCH(Input_APM!F59,Table2[[#All],[De (Lote)]],0)),Input_APM!F59))</f>
        <v>NQH6</v>
      </c>
      <c r="M59" s="170" t="str">
        <f t="shared" si="1"/>
        <v>EQTY.IntlUS.off</v>
      </c>
      <c r="N59" s="171">
        <f t="shared" si="2"/>
        <v>-15</v>
      </c>
      <c r="O59" s="171">
        <f t="shared" si="3"/>
        <v>0</v>
      </c>
    </row>
    <row r="60" spans="5:15">
      <c r="E60" s="169" t="s">
        <v>242</v>
      </c>
      <c r="F60" s="169" t="s">
        <v>42</v>
      </c>
      <c r="G60" s="169" t="s">
        <v>208</v>
      </c>
      <c r="H60" s="169">
        <v>36561</v>
      </c>
      <c r="I60" s="169">
        <v>36561</v>
      </c>
      <c r="K60" s="170" t="str">
        <f t="shared" si="0"/>
        <v>US Equity</v>
      </c>
      <c r="L60" s="170" t="str">
        <f>IF(E60="","",IF(COUNTIFS(Table2[[#All],[De (Lote)]],Input_APM!F60)&gt;0,INDEX(Table2[[#All],[Para (Ticker Daniel)]],MATCH(Input_APM!F60,Table2[[#All],[De (Lote)]],0)),Input_APM!F60))</f>
        <v>NVDA</v>
      </c>
      <c r="M60" s="170" t="str">
        <f t="shared" si="1"/>
        <v>EQTY.IntlUS.off</v>
      </c>
      <c r="N60" s="171">
        <f t="shared" si="2"/>
        <v>36561</v>
      </c>
      <c r="O60" s="171">
        <f t="shared" si="3"/>
        <v>36561</v>
      </c>
    </row>
    <row r="61" spans="5:15">
      <c r="E61" s="169" t="s">
        <v>244</v>
      </c>
      <c r="F61" s="169" t="s">
        <v>1029</v>
      </c>
      <c r="G61" s="169" t="s">
        <v>208</v>
      </c>
      <c r="H61" s="169">
        <v>142</v>
      </c>
      <c r="I61" s="169">
        <v>142</v>
      </c>
      <c r="K61" s="170" t="str">
        <f t="shared" si="0"/>
        <v>US Equity Options</v>
      </c>
      <c r="L61" s="170" t="str">
        <f>IF(E61="","",IF(COUNTIFS(Table2[[#All],[De (Lote)]],Input_APM!F61)&gt;0,INDEX(Table2[[#All],[Para (Ticker Daniel)]],MATCH(Input_APM!F61,Table2[[#All],[De (Lote)]],0)),Input_APM!F61))</f>
        <v>NVDA US 05/15/26 C200</v>
      </c>
      <c r="M61" s="170" t="str">
        <f t="shared" si="1"/>
        <v>EQTY.IntlUS.off</v>
      </c>
      <c r="N61" s="171">
        <f t="shared" si="2"/>
        <v>142</v>
      </c>
      <c r="O61" s="171">
        <f t="shared" si="3"/>
        <v>142</v>
      </c>
    </row>
    <row r="62" spans="5:15">
      <c r="E62" s="169" t="s">
        <v>243</v>
      </c>
      <c r="F62" s="169" t="s">
        <v>1044</v>
      </c>
      <c r="G62" s="169" t="s">
        <v>208</v>
      </c>
      <c r="H62" s="169">
        <v>0</v>
      </c>
      <c r="I62" s="169">
        <v>7273.68</v>
      </c>
      <c r="K62" s="170" t="str">
        <f t="shared" si="0"/>
        <v>Provisions and Costs</v>
      </c>
      <c r="L62" s="170" t="str">
        <f>IF(E62="","",IF(COUNTIFS(Table2[[#All],[De (Lote)]],Input_APM!F62)&gt;0,INDEX(Table2[[#All],[Para (Ticker Daniel)]],MATCH(Input_APM!F62,Table2[[#All],[De (Lote)]],0)),Input_APM!F62))</f>
        <v>Provision Equity Total Return Swap USD_</v>
      </c>
      <c r="M62" s="170" t="str">
        <f t="shared" si="1"/>
        <v>EQTY.IntlUS.off</v>
      </c>
      <c r="N62" s="171">
        <f t="shared" si="2"/>
        <v>0</v>
      </c>
      <c r="O62" s="171">
        <f t="shared" si="3"/>
        <v>7273.68</v>
      </c>
    </row>
    <row r="63" spans="5:15">
      <c r="E63" s="169" t="s">
        <v>243</v>
      </c>
      <c r="F63" s="169" t="s">
        <v>260</v>
      </c>
      <c r="G63" s="169" t="s">
        <v>208</v>
      </c>
      <c r="H63" s="169">
        <v>-19264</v>
      </c>
      <c r="I63" s="169">
        <v>-5634</v>
      </c>
      <c r="K63" s="170" t="str">
        <f t="shared" si="0"/>
        <v>Provisions and Costs</v>
      </c>
      <c r="L63" s="170" t="str">
        <f>IF(E63="","",IF(COUNTIFS(Table2[[#All],[De (Lote)]],Input_APM!F63)&gt;0,INDEX(Table2[[#All],[Para (Ticker Daniel)]],MATCH(Input_APM!F63,Table2[[#All],[De (Lote)]],0)),Input_APM!F63))</f>
        <v>Provision ETF Options USD_</v>
      </c>
      <c r="M63" s="170" t="str">
        <f t="shared" si="1"/>
        <v>EQTY.IntlUS.off</v>
      </c>
      <c r="N63" s="171">
        <f t="shared" si="2"/>
        <v>-19264</v>
      </c>
      <c r="O63" s="171">
        <f t="shared" si="3"/>
        <v>-5634</v>
      </c>
    </row>
    <row r="64" spans="5:15">
      <c r="E64" s="169" t="s">
        <v>243</v>
      </c>
      <c r="F64" s="169" t="s">
        <v>232</v>
      </c>
      <c r="G64" s="169" t="s">
        <v>208</v>
      </c>
      <c r="H64" s="169">
        <v>4136609.96</v>
      </c>
      <c r="I64" s="169">
        <v>3989216.97</v>
      </c>
      <c r="K64" s="170" t="str">
        <f t="shared" si="0"/>
        <v>Provisions and Costs</v>
      </c>
      <c r="L64" s="170" t="str">
        <f>IF(E64="","",IF(COUNTIFS(Table2[[#All],[De (Lote)]],Input_APM!F64)&gt;0,INDEX(Table2[[#All],[Para (Ticker Daniel)]],MATCH(Input_APM!F64,Table2[[#All],[De (Lote)]],0)),Input_APM!F64))</f>
        <v>Provision ETF USD_</v>
      </c>
      <c r="M64" s="170" t="str">
        <f t="shared" si="1"/>
        <v>EQTY.IntlUS.off</v>
      </c>
      <c r="N64" s="171">
        <f t="shared" si="2"/>
        <v>4136609.96</v>
      </c>
      <c r="O64" s="171">
        <f t="shared" si="3"/>
        <v>3989216.97</v>
      </c>
    </row>
    <row r="65" spans="5:15">
      <c r="E65" s="169" t="s">
        <v>243</v>
      </c>
      <c r="F65" s="169" t="s">
        <v>1198</v>
      </c>
      <c r="G65" s="169" t="s">
        <v>208</v>
      </c>
      <c r="H65" s="169">
        <v>-144473.60000000001</v>
      </c>
      <c r="I65" s="169">
        <v>0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EUR Equity EUR_</v>
      </c>
      <c r="M65" s="170" t="str">
        <f t="shared" si="1"/>
        <v>EQTY.IntlUS.off</v>
      </c>
      <c r="N65" s="171">
        <f t="shared" si="2"/>
        <v>-144473.60000000001</v>
      </c>
      <c r="O65" s="171">
        <f t="shared" si="3"/>
        <v>0</v>
      </c>
    </row>
    <row r="66" spans="5:15">
      <c r="E66" s="169" t="s">
        <v>243</v>
      </c>
      <c r="F66" s="169" t="s">
        <v>346</v>
      </c>
      <c r="G66" s="169" t="s">
        <v>208</v>
      </c>
      <c r="H66" s="169">
        <v>1096874.5900000001</v>
      </c>
      <c r="I66" s="169">
        <v>0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NYSE USD_</v>
      </c>
      <c r="M66" s="170" t="str">
        <f t="shared" si="1"/>
        <v>EQTY.IntlUS.off</v>
      </c>
      <c r="N66" s="171">
        <f t="shared" si="2"/>
        <v>1096874.5900000001</v>
      </c>
      <c r="O66" s="171">
        <f t="shared" si="3"/>
        <v>0</v>
      </c>
    </row>
    <row r="67" spans="5:15">
      <c r="E67" s="169" t="s">
        <v>243</v>
      </c>
      <c r="F67" s="169" t="s">
        <v>261</v>
      </c>
      <c r="G67" s="169" t="s">
        <v>208</v>
      </c>
      <c r="H67" s="169">
        <v>-368108</v>
      </c>
      <c r="I67" s="169">
        <v>-124245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US Equity Options USD_</v>
      </c>
      <c r="M67" s="170" t="str">
        <f t="shared" ref="M67:M130" si="5">IF(E67="","",G67)</f>
        <v>EQTY.IntlUS.off</v>
      </c>
      <c r="N67" s="171">
        <f t="shared" ref="N67:N130" si="6">IF(E67="","",H67)</f>
        <v>-368108</v>
      </c>
      <c r="O67" s="171">
        <f t="shared" ref="O67:O130" si="7">IF(E67="","",I67)</f>
        <v>-124245</v>
      </c>
    </row>
    <row r="68" spans="5:15">
      <c r="E68" s="169" t="s">
        <v>243</v>
      </c>
      <c r="F68" s="169" t="s">
        <v>233</v>
      </c>
      <c r="G68" s="169" t="s">
        <v>208</v>
      </c>
      <c r="H68" s="169">
        <v>1975129.28</v>
      </c>
      <c r="I68" s="169">
        <v>-371387.05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US Equity USD_</v>
      </c>
      <c r="M68" s="170" t="str">
        <f t="shared" si="5"/>
        <v>EQTY.IntlUS.off</v>
      </c>
      <c r="N68" s="171">
        <f t="shared" si="6"/>
        <v>1975129.28</v>
      </c>
      <c r="O68" s="171">
        <f t="shared" si="7"/>
        <v>-371387.05</v>
      </c>
    </row>
    <row r="69" spans="5:15">
      <c r="E69" s="169" t="s">
        <v>242</v>
      </c>
      <c r="F69" s="169" t="s">
        <v>791</v>
      </c>
      <c r="G69" s="169" t="s">
        <v>208</v>
      </c>
      <c r="H69" s="169">
        <v>28071</v>
      </c>
      <c r="I69" s="169">
        <v>28071</v>
      </c>
      <c r="K69" s="170" t="str">
        <f t="shared" si="4"/>
        <v>US Equity</v>
      </c>
      <c r="L69" s="170" t="str">
        <f>IF(E69="","",IF(COUNTIFS(Table2[[#All],[De (Lote)]],Input_APM!F69)&gt;0,INDEX(Table2[[#All],[Para (Ticker Daniel)]],MATCH(Input_APM!F69,Table2[[#All],[De (Lote)]],0)),Input_APM!F69))</f>
        <v>RIOT</v>
      </c>
      <c r="M69" s="170" t="str">
        <f t="shared" si="5"/>
        <v>EQTY.IntlUS.off</v>
      </c>
      <c r="N69" s="171">
        <f t="shared" si="6"/>
        <v>28071</v>
      </c>
      <c r="O69" s="171">
        <f t="shared" si="7"/>
        <v>28071</v>
      </c>
    </row>
    <row r="70" spans="5:15">
      <c r="E70" s="169" t="s">
        <v>245</v>
      </c>
      <c r="F70" s="169" t="s">
        <v>43</v>
      </c>
      <c r="G70" s="169" t="s">
        <v>208</v>
      </c>
      <c r="H70" s="169">
        <v>0</v>
      </c>
      <c r="I70" s="169">
        <v>6569</v>
      </c>
      <c r="K70" s="170" t="str">
        <f t="shared" si="4"/>
        <v>ETF</v>
      </c>
      <c r="L70" s="170" t="str">
        <f>IF(E70="","",IF(COUNTIFS(Table2[[#All],[De (Lote)]],Input_APM!F70)&gt;0,INDEX(Table2[[#All],[Para (Ticker Daniel)]],MATCH(Input_APM!F70,Table2[[#All],[De (Lote)]],0)),Input_APM!F70))</f>
        <v>SOXX</v>
      </c>
      <c r="M70" s="170" t="str">
        <f t="shared" si="5"/>
        <v>EQTY.IntlUS.off</v>
      </c>
      <c r="N70" s="171">
        <f t="shared" si="6"/>
        <v>0</v>
      </c>
      <c r="O70" s="171">
        <f t="shared" si="7"/>
        <v>6569</v>
      </c>
    </row>
    <row r="71" spans="5:15">
      <c r="E71" s="169" t="s">
        <v>793</v>
      </c>
      <c r="F71" s="169" t="s">
        <v>794</v>
      </c>
      <c r="G71" s="169" t="s">
        <v>208</v>
      </c>
      <c r="H71" s="169">
        <v>655</v>
      </c>
      <c r="I71" s="169">
        <v>655</v>
      </c>
      <c r="K71" s="170" t="str">
        <f t="shared" si="4"/>
        <v>Equity Total Return Swap</v>
      </c>
      <c r="L71" s="170" t="str">
        <f>IF(E71="","",IF(COUNTIFS(Table2[[#All],[De (Lote)]],Input_APM!F71)&gt;0,INDEX(Table2[[#All],[Para (Ticker Daniel)]],MATCH(Input_APM!F71,Table2[[#All],[De (Lote)]],0)),Input_APM!F71))</f>
        <v>000660 KS</v>
      </c>
      <c r="M71" s="170" t="str">
        <f t="shared" si="5"/>
        <v>EQTY.IntlUS.off</v>
      </c>
      <c r="N71" s="171">
        <f t="shared" si="6"/>
        <v>655</v>
      </c>
      <c r="O71" s="171">
        <f t="shared" si="7"/>
        <v>655</v>
      </c>
    </row>
    <row r="72" spans="5:15">
      <c r="E72" s="169" t="s">
        <v>793</v>
      </c>
      <c r="F72" s="169" t="s">
        <v>1170</v>
      </c>
      <c r="G72" s="169" t="s">
        <v>208</v>
      </c>
      <c r="H72" s="169">
        <v>160</v>
      </c>
      <c r="I72" s="169">
        <v>160</v>
      </c>
      <c r="K72" s="170" t="str">
        <f t="shared" si="4"/>
        <v>Equity Total Return Swap</v>
      </c>
      <c r="L72" s="170" t="str">
        <f>IF(E72="","",IF(COUNTIFS(Table2[[#All],[De (Lote)]],Input_APM!F72)&gt;0,INDEX(Table2[[#All],[Para (Ticker Daniel)]],MATCH(Input_APM!F72,Table2[[#All],[De (Lote)]],0)),Input_APM!F72))</f>
        <v>SWAP 000660 KS 10FEB2026 20APR2026 592.6251</v>
      </c>
      <c r="M72" s="170" t="str">
        <f t="shared" si="5"/>
        <v>EQTY.IntlUS.off</v>
      </c>
      <c r="N72" s="171">
        <f t="shared" si="6"/>
        <v>160</v>
      </c>
      <c r="O72" s="171">
        <f t="shared" si="7"/>
        <v>160</v>
      </c>
    </row>
    <row r="73" spans="5:15">
      <c r="E73" s="169" t="s">
        <v>793</v>
      </c>
      <c r="F73" s="169" t="s">
        <v>969</v>
      </c>
      <c r="G73" s="169" t="s">
        <v>208</v>
      </c>
      <c r="H73" s="169">
        <v>643</v>
      </c>
      <c r="I73" s="169">
        <v>643</v>
      </c>
      <c r="K73" s="170" t="str">
        <f t="shared" si="4"/>
        <v>Equity Total Return Swap</v>
      </c>
      <c r="L73" s="170" t="str">
        <f>IF(E73="","",IF(COUNTIFS(Table2[[#All],[De (Lote)]],Input_APM!F73)&gt;0,INDEX(Table2[[#All],[Para (Ticker Daniel)]],MATCH(Input_APM!F73,Table2[[#All],[De (Lote)]],0)),Input_APM!F73))</f>
        <v>SWAP 000660 KS 26JAN2026 26JAN2027 509.6192</v>
      </c>
      <c r="M73" s="170" t="str">
        <f t="shared" si="5"/>
        <v>EQTY.IntlUS.off</v>
      </c>
      <c r="N73" s="171">
        <f t="shared" si="6"/>
        <v>643</v>
      </c>
      <c r="O73" s="171">
        <f t="shared" si="7"/>
        <v>643</v>
      </c>
    </row>
    <row r="74" spans="5:15">
      <c r="E74" s="169" t="s">
        <v>793</v>
      </c>
      <c r="F74" s="169" t="s">
        <v>1171</v>
      </c>
      <c r="G74" s="169" t="s">
        <v>208</v>
      </c>
      <c r="H74" s="169">
        <v>2901</v>
      </c>
      <c r="I74" s="169">
        <v>2901</v>
      </c>
      <c r="K74" s="170" t="str">
        <f t="shared" si="4"/>
        <v>Equity Total Return Swap</v>
      </c>
      <c r="L74" s="170" t="str">
        <f>IF(E74="","",IF(COUNTIFS(Table2[[#All],[De (Lote)]],Input_APM!F74)&gt;0,INDEX(Table2[[#All],[Para (Ticker Daniel)]],MATCH(Input_APM!F74,Table2[[#All],[De (Lote)]],0)),Input_APM!F74))</f>
        <v>SWAP 005930 KS 03FEB2026 20APR2026 113.36</v>
      </c>
      <c r="M74" s="170" t="str">
        <f t="shared" si="5"/>
        <v>EQTY.IntlUS.off</v>
      </c>
      <c r="N74" s="171">
        <f t="shared" si="6"/>
        <v>2901</v>
      </c>
      <c r="O74" s="171">
        <f t="shared" si="7"/>
        <v>2901</v>
      </c>
    </row>
    <row r="75" spans="5:15">
      <c r="E75" s="169" t="s">
        <v>793</v>
      </c>
      <c r="F75" s="169" t="s">
        <v>1172</v>
      </c>
      <c r="G75" s="169" t="s">
        <v>208</v>
      </c>
      <c r="H75" s="169">
        <v>2901</v>
      </c>
      <c r="I75" s="169">
        <v>2901</v>
      </c>
      <c r="K75" s="170" t="str">
        <f t="shared" si="4"/>
        <v>Equity Total Return Swap</v>
      </c>
      <c r="L75" s="170" t="str">
        <f>IF(E75="","",IF(COUNTIFS(Table2[[#All],[De (Lote)]],Input_APM!F75)&gt;0,INDEX(Table2[[#All],[Para (Ticker Daniel)]],MATCH(Input_APM!F75,Table2[[#All],[De (Lote)]],0)),Input_APM!F75))</f>
        <v>SWAP 005930 KS 04FEB2026 20APR2026 105.82</v>
      </c>
      <c r="M75" s="170" t="str">
        <f t="shared" si="5"/>
        <v>EQTY.IntlUS.off</v>
      </c>
      <c r="N75" s="171">
        <f t="shared" si="6"/>
        <v>2901</v>
      </c>
      <c r="O75" s="171">
        <f t="shared" si="7"/>
        <v>2901</v>
      </c>
    </row>
    <row r="76" spans="5:15">
      <c r="E76" s="169" t="s">
        <v>793</v>
      </c>
      <c r="F76" s="169" t="s">
        <v>1173</v>
      </c>
      <c r="G76" s="169" t="s">
        <v>208</v>
      </c>
      <c r="H76" s="169">
        <v>845</v>
      </c>
      <c r="I76" s="169">
        <v>845</v>
      </c>
      <c r="K76" s="170" t="str">
        <f t="shared" si="4"/>
        <v>Equity Total Return Swap</v>
      </c>
      <c r="L76" s="170" t="str">
        <f>IF(E76="","",IF(COUNTIFS(Table2[[#All],[De (Lote)]],Input_APM!F76)&gt;0,INDEX(Table2[[#All],[Para (Ticker Daniel)]],MATCH(Input_APM!F76,Table2[[#All],[De (Lote)]],0)),Input_APM!F76))</f>
        <v>SWAP 005930 KS 10FEB2026 20APR2026 110.873</v>
      </c>
      <c r="M76" s="170" t="str">
        <f t="shared" si="5"/>
        <v>EQTY.IntlUS.off</v>
      </c>
      <c r="N76" s="171">
        <f t="shared" si="6"/>
        <v>845</v>
      </c>
      <c r="O76" s="171">
        <f t="shared" si="7"/>
        <v>845</v>
      </c>
    </row>
    <row r="77" spans="5:15">
      <c r="E77" s="169" t="s">
        <v>793</v>
      </c>
      <c r="F77" s="169" t="s">
        <v>1199</v>
      </c>
      <c r="G77" s="169" t="s">
        <v>208</v>
      </c>
      <c r="H77" s="169">
        <v>16860</v>
      </c>
      <c r="I77" s="169">
        <v>16860</v>
      </c>
      <c r="K77" s="170" t="str">
        <f t="shared" si="4"/>
        <v>Equity Total Return Swap</v>
      </c>
      <c r="L77" s="170" t="str">
        <f>IF(E77="","",IF(COUNTIFS(Table2[[#All],[De (Lote)]],Input_APM!F77)&gt;0,INDEX(Table2[[#All],[Para (Ticker Daniel)]],MATCH(Input_APM!F77,Table2[[#All],[De (Lote)]],0)),Input_APM!F77))</f>
        <v>SWAP 2330 TT 11FEB2026 20APR2026 55.7697</v>
      </c>
      <c r="M77" s="170" t="str">
        <f t="shared" si="5"/>
        <v>EQTY.IntlUS.off</v>
      </c>
      <c r="N77" s="171">
        <f t="shared" si="6"/>
        <v>16860</v>
      </c>
      <c r="O77" s="171">
        <f t="shared" si="7"/>
        <v>16860</v>
      </c>
    </row>
    <row r="78" spans="5:15">
      <c r="E78" s="169" t="s">
        <v>793</v>
      </c>
      <c r="F78" s="169" t="s">
        <v>1174</v>
      </c>
      <c r="G78" s="169" t="s">
        <v>208</v>
      </c>
      <c r="H78" s="169">
        <v>268</v>
      </c>
      <c r="I78" s="169">
        <v>268</v>
      </c>
      <c r="K78" s="170" t="str">
        <f t="shared" si="4"/>
        <v>Equity Total Return Swap</v>
      </c>
      <c r="L78" s="170" t="str">
        <f>IF(E78="","",IF(COUNTIFS(Table2[[#All],[De (Lote)]],Input_APM!F78)&gt;0,INDEX(Table2[[#All],[Para (Ticker Daniel)]],MATCH(Input_APM!F78,Table2[[#All],[De (Lote)]],0)),Input_APM!F78))</f>
        <v>SWAP 402340 KS 09FEB2026 20APR2026 348.49</v>
      </c>
      <c r="M78" s="170" t="str">
        <f t="shared" si="5"/>
        <v>EQTY.IntlUS.off</v>
      </c>
      <c r="N78" s="171">
        <f t="shared" si="6"/>
        <v>268</v>
      </c>
      <c r="O78" s="171">
        <f t="shared" si="7"/>
        <v>268</v>
      </c>
    </row>
    <row r="79" spans="5:15">
      <c r="E79" s="169" t="s">
        <v>793</v>
      </c>
      <c r="F79" s="169" t="s">
        <v>1175</v>
      </c>
      <c r="G79" s="169" t="s">
        <v>208</v>
      </c>
      <c r="H79" s="169">
        <v>587</v>
      </c>
      <c r="I79" s="169">
        <v>587</v>
      </c>
      <c r="K79" s="170" t="str">
        <f t="shared" si="4"/>
        <v>Equity Total Return Swap</v>
      </c>
      <c r="L79" s="170" t="str">
        <f>IF(E79="","",IF(COUNTIFS(Table2[[#All],[De (Lote)]],Input_APM!F79)&gt;0,INDEX(Table2[[#All],[Para (Ticker Daniel)]],MATCH(Input_APM!F79,Table2[[#All],[De (Lote)]],0)),Input_APM!F79))</f>
        <v>SWAP 402340 KS 09FEB2026 20APR2026 390.92</v>
      </c>
      <c r="M79" s="170" t="str">
        <f t="shared" si="5"/>
        <v>EQTY.IntlUS.off</v>
      </c>
      <c r="N79" s="171">
        <f t="shared" si="6"/>
        <v>587</v>
      </c>
      <c r="O79" s="171">
        <f t="shared" si="7"/>
        <v>587</v>
      </c>
    </row>
    <row r="80" spans="5:15">
      <c r="E80" s="169" t="s">
        <v>793</v>
      </c>
      <c r="F80" s="169" t="s">
        <v>1176</v>
      </c>
      <c r="G80" s="169" t="s">
        <v>208</v>
      </c>
      <c r="H80" s="169">
        <v>254</v>
      </c>
      <c r="I80" s="169">
        <v>254</v>
      </c>
      <c r="K80" s="170" t="str">
        <f t="shared" si="4"/>
        <v>Equity Total Return Swap</v>
      </c>
      <c r="L80" s="170" t="str">
        <f>IF(E80="","",IF(COUNTIFS(Table2[[#All],[De (Lote)]],Input_APM!F80)&gt;0,INDEX(Table2[[#All],[Para (Ticker Daniel)]],MATCH(Input_APM!F80,Table2[[#All],[De (Lote)]],0)),Input_APM!F80))</f>
        <v>SWAP 402340 KS 10FEB2026 20APR2026 377.6597</v>
      </c>
      <c r="M80" s="170" t="str">
        <f t="shared" si="5"/>
        <v>EQTY.IntlUS.off</v>
      </c>
      <c r="N80" s="171">
        <f t="shared" si="6"/>
        <v>254</v>
      </c>
      <c r="O80" s="171">
        <f t="shared" si="7"/>
        <v>254</v>
      </c>
    </row>
    <row r="81" spans="5:15">
      <c r="E81" s="169" t="s">
        <v>793</v>
      </c>
      <c r="F81" s="169" t="s">
        <v>1200</v>
      </c>
      <c r="G81" s="169" t="s">
        <v>208</v>
      </c>
      <c r="H81" s="169">
        <v>271</v>
      </c>
      <c r="I81" s="169">
        <v>271</v>
      </c>
      <c r="K81" s="170" t="str">
        <f t="shared" si="4"/>
        <v>Equity Total Return Swap</v>
      </c>
      <c r="L81" s="170" t="str">
        <f>IF(E81="","",IF(COUNTIFS(Table2[[#All],[De (Lote)]],Input_APM!F81)&gt;0,INDEX(Table2[[#All],[Para (Ticker Daniel)]],MATCH(Input_APM!F81,Table2[[#All],[De (Lote)]],0)),Input_APM!F81))</f>
        <v>SWAP 402340 KS 11FEB2026 20APR2026 350.7653</v>
      </c>
      <c r="M81" s="170" t="str">
        <f t="shared" si="5"/>
        <v>EQTY.IntlUS.off</v>
      </c>
      <c r="N81" s="171">
        <f t="shared" si="6"/>
        <v>271</v>
      </c>
      <c r="O81" s="171">
        <f t="shared" si="7"/>
        <v>271</v>
      </c>
    </row>
    <row r="82" spans="5:15">
      <c r="E82" s="169" t="s">
        <v>1045</v>
      </c>
      <c r="F82" s="169" t="s">
        <v>1046</v>
      </c>
      <c r="G82" s="169" t="s">
        <v>208</v>
      </c>
      <c r="H82" s="169">
        <v>18292060</v>
      </c>
      <c r="I82" s="169">
        <v>18292060</v>
      </c>
      <c r="K82" s="170" t="str">
        <f t="shared" si="4"/>
        <v>TBOND</v>
      </c>
      <c r="L82" s="170" t="str">
        <f>IF(E82="","",IF(COUNTIFS(Table2[[#All],[De (Lote)]],Input_APM!F82)&gt;0,INDEX(Table2[[#All],[Para (Ticker Daniel)]],MATCH(Input_APM!F82,Table2[[#All],[De (Lote)]],0)),Input_APM!F82))</f>
        <v>T 4.000% 11/15/35</v>
      </c>
      <c r="M82" s="170" t="str">
        <f t="shared" si="5"/>
        <v>EQTY.IntlUS.off</v>
      </c>
      <c r="N82" s="171">
        <f t="shared" si="6"/>
        <v>18292060</v>
      </c>
      <c r="O82" s="171">
        <f t="shared" si="7"/>
        <v>18292060</v>
      </c>
    </row>
    <row r="83" spans="5:15">
      <c r="E83" s="169" t="s">
        <v>8</v>
      </c>
      <c r="F83" s="169" t="s">
        <v>44</v>
      </c>
      <c r="G83" s="169" t="s">
        <v>208</v>
      </c>
      <c r="H83" s="169">
        <v>-1879</v>
      </c>
      <c r="I83" s="169">
        <v>1409</v>
      </c>
      <c r="K83" s="170" t="str">
        <f t="shared" si="4"/>
        <v>ADR</v>
      </c>
      <c r="L83" s="170" t="str">
        <f>IF(E83="","",IF(COUNTIFS(Table2[[#All],[De (Lote)]],Input_APM!F83)&gt;0,INDEX(Table2[[#All],[Para (Ticker Daniel)]],MATCH(Input_APM!F83,Table2[[#All],[De (Lote)]],0)),Input_APM!F83))</f>
        <v>TSM</v>
      </c>
      <c r="M83" s="170" t="str">
        <f t="shared" si="5"/>
        <v>EQTY.IntlUS.off</v>
      </c>
      <c r="N83" s="171">
        <f t="shared" si="6"/>
        <v>-1879</v>
      </c>
      <c r="O83" s="171">
        <f t="shared" si="7"/>
        <v>1409</v>
      </c>
    </row>
    <row r="84" spans="5:15">
      <c r="E84" s="169" t="s">
        <v>251</v>
      </c>
      <c r="F84" s="169" t="s">
        <v>887</v>
      </c>
      <c r="G84" s="169" t="s">
        <v>208</v>
      </c>
      <c r="H84" s="169">
        <v>1453</v>
      </c>
      <c r="I84" s="169">
        <v>1453</v>
      </c>
      <c r="K84" s="170" t="str">
        <f t="shared" si="4"/>
        <v>ADR Options</v>
      </c>
      <c r="L84" s="170" t="str">
        <f>IF(E84="","",IF(COUNTIFS(Table2[[#All],[De (Lote)]],Input_APM!F84)&gt;0,INDEX(Table2[[#All],[Para (Ticker Daniel)]],MATCH(Input_APM!F84,Table2[[#All],[De (Lote)]],0)),Input_APM!F84))</f>
        <v>TSM US 06/18/26 C340</v>
      </c>
      <c r="M84" s="170" t="str">
        <f t="shared" si="5"/>
        <v>EQTY.IntlUS.off</v>
      </c>
      <c r="N84" s="171">
        <f t="shared" si="6"/>
        <v>1453</v>
      </c>
      <c r="O84" s="171">
        <f t="shared" si="7"/>
        <v>1453</v>
      </c>
    </row>
    <row r="85" spans="5:15">
      <c r="E85" s="169" t="s">
        <v>251</v>
      </c>
      <c r="F85" s="169" t="s">
        <v>888</v>
      </c>
      <c r="G85" s="169" t="s">
        <v>208</v>
      </c>
      <c r="H85" s="169">
        <v>-1195</v>
      </c>
      <c r="I85" s="169">
        <v>-1195</v>
      </c>
      <c r="K85" s="170" t="str">
        <f t="shared" si="4"/>
        <v>ADR Options</v>
      </c>
      <c r="L85" s="170" t="str">
        <f>IF(E85="","",IF(COUNTIFS(Table2[[#All],[De (Lote)]],Input_APM!F85)&gt;0,INDEX(Table2[[#All],[Para (Ticker Daniel)]],MATCH(Input_APM!F85,Table2[[#All],[De (Lote)]],0)),Input_APM!F85))</f>
        <v>TSM US 06/18/26 C380</v>
      </c>
      <c r="M85" s="170" t="str">
        <f t="shared" si="5"/>
        <v>EQTY.IntlUS.off</v>
      </c>
      <c r="N85" s="171">
        <f t="shared" si="6"/>
        <v>-1195</v>
      </c>
      <c r="O85" s="171">
        <f t="shared" si="7"/>
        <v>-1195</v>
      </c>
    </row>
    <row r="86" spans="5:15">
      <c r="E86" s="169" t="s">
        <v>242</v>
      </c>
      <c r="F86" s="169" t="s">
        <v>1096</v>
      </c>
      <c r="G86" s="169" t="s">
        <v>208</v>
      </c>
      <c r="H86" s="169">
        <v>20008</v>
      </c>
      <c r="I86" s="169">
        <v>10802</v>
      </c>
      <c r="K86" s="170" t="str">
        <f t="shared" si="4"/>
        <v>US Equity</v>
      </c>
      <c r="L86" s="170" t="str">
        <f>IF(E86="","",IF(COUNTIFS(Table2[[#All],[De (Lote)]],Input_APM!F86)&gt;0,INDEX(Table2[[#All],[Para (Ticker Daniel)]],MATCH(Input_APM!F86,Table2[[#All],[De (Lote)]],0)),Input_APM!F86))</f>
        <v>WMB</v>
      </c>
      <c r="M86" s="170" t="str">
        <f t="shared" si="5"/>
        <v>EQTY.IntlUS.off</v>
      </c>
      <c r="N86" s="171">
        <f t="shared" si="6"/>
        <v>20008</v>
      </c>
      <c r="O86" s="171">
        <f t="shared" si="7"/>
        <v>10802</v>
      </c>
    </row>
    <row r="87" spans="5:15">
      <c r="E87" s="169" t="s">
        <v>245</v>
      </c>
      <c r="F87" s="169" t="s">
        <v>36</v>
      </c>
      <c r="G87" s="169" t="s">
        <v>208</v>
      </c>
      <c r="H87" s="169">
        <v>21977</v>
      </c>
      <c r="I87" s="169">
        <v>21977</v>
      </c>
      <c r="K87" s="170" t="str">
        <f t="shared" si="4"/>
        <v>ETF</v>
      </c>
      <c r="L87" s="170" t="str">
        <f>IF(E87="","",IF(COUNTIFS(Table2[[#All],[De (Lote)]],Input_APM!F87)&gt;0,INDEX(Table2[[#All],[Para (Ticker Daniel)]],MATCH(Input_APM!F87,Table2[[#All],[De (Lote)]],0)),Input_APM!F87))</f>
        <v>XLF</v>
      </c>
      <c r="M87" s="170" t="str">
        <f t="shared" si="5"/>
        <v>EQTY.IntlUS.off</v>
      </c>
      <c r="N87" s="171">
        <f t="shared" si="6"/>
        <v>21977</v>
      </c>
      <c r="O87" s="171">
        <f t="shared" si="7"/>
        <v>21977</v>
      </c>
    </row>
    <row r="88" spans="5:15">
      <c r="E88" s="169" t="s">
        <v>245</v>
      </c>
      <c r="F88" s="169" t="s">
        <v>4</v>
      </c>
      <c r="G88" s="169" t="s">
        <v>208</v>
      </c>
      <c r="H88" s="169">
        <v>-25765</v>
      </c>
      <c r="I88" s="169">
        <v>-25765</v>
      </c>
      <c r="K88" s="170" t="str">
        <f t="shared" si="4"/>
        <v>ETF</v>
      </c>
      <c r="L88" s="170" t="str">
        <f>IF(E88="","",IF(COUNTIFS(Table2[[#All],[De (Lote)]],Input_APM!F88)&gt;0,INDEX(Table2[[#All],[Para (Ticker Daniel)]],MATCH(Input_APM!F88,Table2[[#All],[De (Lote)]],0)),Input_APM!F88))</f>
        <v>XLP</v>
      </c>
      <c r="M88" s="170" t="str">
        <f t="shared" si="5"/>
        <v>EQTY.IntlUS.off</v>
      </c>
      <c r="N88" s="171">
        <f t="shared" si="6"/>
        <v>-25765</v>
      </c>
      <c r="O88" s="171">
        <f t="shared" si="7"/>
        <v>-25765</v>
      </c>
    </row>
    <row r="89" spans="5:15">
      <c r="K89" s="170" t="str">
        <f t="shared" si="4"/>
        <v/>
      </c>
      <c r="L89" s="170" t="str">
        <f>IF(E89="","",IF(COUNTIFS(Table2[[#All],[De (Lote)]],Input_APM!F89)&gt;0,INDEX(Table2[[#All],[Para (Ticker Daniel)]],MATCH(Input_APM!F89,Table2[[#All],[De (Lote)]],0)),Input_APM!F89))</f>
        <v/>
      </c>
      <c r="M89" s="170" t="str">
        <f t="shared" si="5"/>
        <v/>
      </c>
      <c r="N89" s="171" t="str">
        <f t="shared" si="6"/>
        <v/>
      </c>
      <c r="O89" s="171" t="str">
        <f t="shared" si="7"/>
        <v/>
      </c>
    </row>
    <row r="90" spans="5:15">
      <c r="K90" s="170" t="str">
        <f t="shared" si="4"/>
        <v/>
      </c>
      <c r="L90" s="170" t="str">
        <f>IF(E90="","",IF(COUNTIFS(Table2[[#All],[De (Lote)]],Input_APM!F90)&gt;0,INDEX(Table2[[#All],[Para (Ticker Daniel)]],MATCH(Input_APM!F90,Table2[[#All],[De (Lote)]],0)),Input_APM!F90))</f>
        <v/>
      </c>
      <c r="M90" s="170" t="str">
        <f t="shared" si="5"/>
        <v/>
      </c>
      <c r="N90" s="171" t="str">
        <f t="shared" si="6"/>
        <v/>
      </c>
      <c r="O90" s="171" t="str">
        <f t="shared" si="7"/>
        <v/>
      </c>
    </row>
    <row r="91" spans="5:15">
      <c r="K91" s="170" t="str">
        <f t="shared" si="4"/>
        <v/>
      </c>
      <c r="L91" s="170" t="str">
        <f>IF(E91="","",IF(COUNTIFS(Table2[[#All],[De (Lote)]],Input_APM!F91)&gt;0,INDEX(Table2[[#All],[Para (Ticker Daniel)]],MATCH(Input_APM!F91,Table2[[#All],[De (Lote)]],0)),Input_APM!F91))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H92" s="179"/>
      <c r="K92" s="170" t="str">
        <f t="shared" si="4"/>
        <v/>
      </c>
      <c r="L92" s="170" t="str">
        <f>IF(E92="","",IF(COUNTIFS(Table2[[#All],[De (Lote)]],Input_APM!F92)&gt;0,INDEX(Table2[[#All],[Para (Ticker Daniel)]],MATCH(Input_APM!F92,Table2[[#All],[De (Lote)]],0)),Input_APM!F92))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(Lote)]],Input_APM!F93)&gt;0,INDEX(Table2[[#All],[Para (Ticker Daniel)]],MATCH(Input_APM!F93,Table2[[#All],[De (Lote)]],0)),Input_APM!F93))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(Lote)]],Input_APM!F94)&gt;0,INDEX(Table2[[#All],[Para (Ticker Daniel)]],MATCH(Input_APM!F94,Table2[[#All],[De (Lote)]],0)),Input_APM!F94))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H95" s="179"/>
      <c r="K95" s="170" t="str">
        <f t="shared" si="4"/>
        <v/>
      </c>
      <c r="L95" s="170" t="str">
        <f>IF(E95="","",IF(COUNTIFS(Table2[[#All],[De (Lote)]],Input_APM!F95)&gt;0,INDEX(Table2[[#All],[Para (Ticker Daniel)]],MATCH(Input_APM!F95,Table2[[#All],[De (Lote)]],0)),Input_APM!F95))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(Lote)]],Input_APM!F96)&gt;0,INDEX(Table2[[#All],[Para (Ticker Daniel)]],MATCH(Input_APM!F96,Table2[[#All],[De (Lote)]],0)),Input_APM!F96))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(Lote)]],Input_APM!F97)&gt;0,INDEX(Table2[[#All],[Para (Ticker Daniel)]],MATCH(Input_APM!F97,Table2[[#All],[De (Lote)]],0)),Input_APM!F97))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(Lote)]],Input_APM!F98)&gt;0,INDEX(Table2[[#All],[Para (Ticker Daniel)]],MATCH(Input_APM!F98,Table2[[#All],[De (Lote)]],0)),Input_APM!F98))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(Lote)]],Input_APM!F99)&gt;0,INDEX(Table2[[#All],[Para (Ticker Daniel)]],MATCH(Input_APM!F99,Table2[[#All],[De (Lote)]],0)),Input_APM!F99))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6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6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6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6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6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6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6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6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6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6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6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6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6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6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6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6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6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6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6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6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6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6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6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6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6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6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6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6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6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6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6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6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6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6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6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6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6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6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6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6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6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6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6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6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6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6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6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6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6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6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6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6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6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6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6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6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6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6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6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6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6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6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6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6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6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6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6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6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6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6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6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6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6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6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6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6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6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6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6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6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6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6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6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6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6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6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6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6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6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6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6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6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6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6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6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6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6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6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6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6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6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6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6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6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6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6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6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6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6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6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6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6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6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6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6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6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6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6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6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6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6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6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6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6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6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6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6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6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6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6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6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6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6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6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6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6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6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6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6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6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6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6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6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6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6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6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6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6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6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6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6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6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6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6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6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6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6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6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6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6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6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6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6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6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6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6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6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6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6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6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6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6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6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6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6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6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6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6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6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6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6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6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6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6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6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6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6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6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6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6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6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6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6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6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6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6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6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6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6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6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6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6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6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6"/>
    </row>
    <row r="399" spans="5:15">
      <c r="E399" s="296"/>
    </row>
    <row r="400" spans="5:15">
      <c r="E400" s="296"/>
    </row>
    <row r="401" spans="5:5">
      <c r="E401" s="296"/>
    </row>
    <row r="402" spans="5:5">
      <c r="E402" s="296"/>
    </row>
    <row r="403" spans="5:5">
      <c r="E403" s="296"/>
    </row>
    <row r="404" spans="5:5">
      <c r="E404" s="296"/>
    </row>
    <row r="405" spans="5:5">
      <c r="E405" s="296"/>
    </row>
    <row r="406" spans="5:5">
      <c r="E406" s="296"/>
    </row>
    <row r="407" spans="5:5">
      <c r="E407" s="296"/>
    </row>
    <row r="408" spans="5:5">
      <c r="E408" s="296"/>
    </row>
    <row r="409" spans="5:5">
      <c r="E409" s="296"/>
    </row>
    <row r="410" spans="5:5">
      <c r="E410" s="296"/>
    </row>
    <row r="411" spans="5:5">
      <c r="E411" s="296"/>
    </row>
    <row r="412" spans="5:5">
      <c r="E412" s="296"/>
    </row>
    <row r="413" spans="5:5">
      <c r="E413" s="296"/>
    </row>
    <row r="414" spans="5:5">
      <c r="E414" s="296"/>
    </row>
    <row r="415" spans="5:5">
      <c r="E415" s="296"/>
    </row>
    <row r="416" spans="5:5">
      <c r="E416" s="296"/>
    </row>
    <row r="417" spans="5:5">
      <c r="E417" s="296"/>
    </row>
    <row r="418" spans="5:5">
      <c r="E418" s="296"/>
    </row>
    <row r="419" spans="5:5">
      <c r="E419" s="296"/>
    </row>
    <row r="420" spans="5:5">
      <c r="E420" s="296"/>
    </row>
    <row r="421" spans="5:5">
      <c r="E421" s="296"/>
    </row>
    <row r="422" spans="5:5">
      <c r="E422" s="296"/>
    </row>
    <row r="423" spans="5:5">
      <c r="E423" s="296"/>
    </row>
    <row r="424" spans="5:5">
      <c r="E424" s="296"/>
    </row>
    <row r="425" spans="5:5">
      <c r="E425" s="296"/>
    </row>
    <row r="426" spans="5:5">
      <c r="E426" s="296"/>
    </row>
    <row r="427" spans="5:5">
      <c r="E427" s="296"/>
    </row>
    <row r="428" spans="5:5">
      <c r="E428" s="296"/>
    </row>
    <row r="429" spans="5:5">
      <c r="E429" s="296"/>
    </row>
    <row r="430" spans="5:5">
      <c r="E430" s="296"/>
    </row>
    <row r="431" spans="5:5">
      <c r="E431" s="296"/>
    </row>
    <row r="432" spans="5:5">
      <c r="E432" s="296"/>
    </row>
    <row r="433" spans="5:5">
      <c r="E433" s="296"/>
    </row>
    <row r="434" spans="5:5">
      <c r="E434" s="296"/>
    </row>
    <row r="435" spans="5:5">
      <c r="E435" s="296"/>
    </row>
    <row r="436" spans="5:5">
      <c r="E436" s="296"/>
    </row>
    <row r="437" spans="5:5">
      <c r="E437" s="296"/>
    </row>
    <row r="438" spans="5:5">
      <c r="E438" s="296"/>
    </row>
    <row r="439" spans="5:5">
      <c r="E439" s="296"/>
    </row>
    <row r="440" spans="5:5">
      <c r="E440" s="296"/>
    </row>
    <row r="441" spans="5:5">
      <c r="E441" s="296"/>
    </row>
    <row r="442" spans="5:5">
      <c r="E442" s="296"/>
    </row>
    <row r="443" spans="5:5">
      <c r="E443" s="296"/>
    </row>
    <row r="444" spans="5:5">
      <c r="E444" s="296"/>
    </row>
    <row r="445" spans="5:5">
      <c r="E445" s="296"/>
    </row>
    <row r="446" spans="5:5">
      <c r="E446" s="296"/>
    </row>
    <row r="447" spans="5:5">
      <c r="E447" s="296"/>
    </row>
    <row r="448" spans="5:5">
      <c r="E448" s="296"/>
    </row>
    <row r="449" spans="5:5">
      <c r="E449" s="296"/>
    </row>
    <row r="450" spans="5:5">
      <c r="E450" s="296"/>
    </row>
    <row r="451" spans="5:5">
      <c r="E451" s="296"/>
    </row>
    <row r="452" spans="5:5">
      <c r="E452" s="296"/>
    </row>
    <row r="453" spans="5:5">
      <c r="E453" s="296"/>
    </row>
    <row r="454" spans="5:5">
      <c r="E454" s="296"/>
    </row>
    <row r="455" spans="5:5">
      <c r="E455" s="296"/>
    </row>
    <row r="456" spans="5:5">
      <c r="E456" s="296"/>
    </row>
    <row r="457" spans="5:5">
      <c r="E457" s="296"/>
    </row>
    <row r="458" spans="5:5">
      <c r="E458" s="296"/>
    </row>
    <row r="459" spans="5:5">
      <c r="E459" s="296"/>
    </row>
    <row r="460" spans="5:5">
      <c r="E460" s="296"/>
    </row>
    <row r="461" spans="5:5">
      <c r="E461" s="296"/>
    </row>
    <row r="462" spans="5:5">
      <c r="E462" s="296"/>
    </row>
    <row r="463" spans="5:5">
      <c r="E463" s="296"/>
    </row>
    <row r="464" spans="5:5">
      <c r="E464" s="296"/>
    </row>
    <row r="465" spans="5:5">
      <c r="E465" s="296"/>
    </row>
    <row r="466" spans="5:5">
      <c r="E466" s="296"/>
    </row>
    <row r="467" spans="5:5">
      <c r="E467" s="296"/>
    </row>
    <row r="468" spans="5:5">
      <c r="E468" s="296"/>
    </row>
    <row r="469" spans="5:5">
      <c r="E469" s="296"/>
    </row>
    <row r="470" spans="5:5">
      <c r="E470" s="296"/>
    </row>
    <row r="471" spans="5:5">
      <c r="E471" s="296"/>
    </row>
    <row r="472" spans="5:5">
      <c r="E472" s="296"/>
    </row>
    <row r="473" spans="5:5">
      <c r="E473" s="296"/>
    </row>
    <row r="474" spans="5:5">
      <c r="E474" s="296"/>
    </row>
    <row r="475" spans="5:5">
      <c r="E475" s="296"/>
    </row>
    <row r="476" spans="5:5">
      <c r="E476" s="296"/>
    </row>
    <row r="477" spans="5:5">
      <c r="E477" s="296"/>
    </row>
    <row r="478" spans="5:5">
      <c r="E478" s="296"/>
    </row>
    <row r="479" spans="5:5">
      <c r="E479" s="296"/>
    </row>
    <row r="480" spans="5:5">
      <c r="E480" s="296"/>
    </row>
    <row r="481" spans="5:5">
      <c r="E481" s="296"/>
    </row>
    <row r="482" spans="5:5">
      <c r="E482" s="296"/>
    </row>
    <row r="483" spans="5:5">
      <c r="E483" s="296"/>
    </row>
    <row r="484" spans="5:5">
      <c r="E484" s="296"/>
    </row>
    <row r="485" spans="5:5">
      <c r="E485" s="296"/>
    </row>
    <row r="486" spans="5:5">
      <c r="E486" s="296"/>
    </row>
    <row r="487" spans="5:5">
      <c r="E487" s="296"/>
    </row>
    <row r="488" spans="5:5">
      <c r="E488" s="296"/>
    </row>
    <row r="489" spans="5:5">
      <c r="E489" s="296"/>
    </row>
    <row r="490" spans="5:5">
      <c r="E490" s="296"/>
    </row>
    <row r="491" spans="5:5">
      <c r="E491" s="296"/>
    </row>
    <row r="492" spans="5:5">
      <c r="E492" s="296"/>
    </row>
    <row r="493" spans="5:5">
      <c r="E493" s="296"/>
    </row>
    <row r="494" spans="5:5">
      <c r="E494" s="296"/>
    </row>
    <row r="495" spans="5:5">
      <c r="E495" s="296"/>
    </row>
    <row r="496" spans="5:5">
      <c r="E496" s="296"/>
    </row>
    <row r="497" spans="5:5">
      <c r="E497" s="296"/>
    </row>
    <row r="498" spans="5:5">
      <c r="E498" s="296"/>
    </row>
    <row r="499" spans="5:5">
      <c r="E499" s="296"/>
    </row>
    <row r="500" spans="5:5">
      <c r="E500" s="296"/>
    </row>
    <row r="501" spans="5:5">
      <c r="E501" s="296"/>
    </row>
    <row r="502" spans="5:5">
      <c r="E502" s="296"/>
    </row>
    <row r="503" spans="5:5">
      <c r="E503" s="296"/>
    </row>
    <row r="504" spans="5:5">
      <c r="E504" s="296"/>
    </row>
    <row r="505" spans="5:5">
      <c r="E505" s="296"/>
    </row>
    <row r="506" spans="5:5">
      <c r="E506" s="296"/>
    </row>
    <row r="507" spans="5:5">
      <c r="E507" s="296"/>
    </row>
    <row r="508" spans="5:5">
      <c r="E508" s="296"/>
    </row>
    <row r="509" spans="5:5">
      <c r="E509" s="296"/>
    </row>
    <row r="510" spans="5:5">
      <c r="E510" s="296"/>
    </row>
    <row r="511" spans="5:5">
      <c r="E511" s="296"/>
    </row>
    <row r="512" spans="5:5">
      <c r="E512" s="296"/>
    </row>
    <row r="513" spans="5:5">
      <c r="E513" s="296"/>
    </row>
    <row r="514" spans="5:5">
      <c r="E514" s="296"/>
    </row>
    <row r="515" spans="5:5">
      <c r="E515" s="296"/>
    </row>
    <row r="516" spans="5:5">
      <c r="E516" s="296"/>
    </row>
    <row r="517" spans="5:5">
      <c r="E517" s="296"/>
    </row>
    <row r="518" spans="5:5">
      <c r="E518" s="296"/>
    </row>
    <row r="519" spans="5:5">
      <c r="E519" s="296"/>
    </row>
    <row r="520" spans="5:5">
      <c r="E520" s="296"/>
    </row>
    <row r="521" spans="5:5">
      <c r="E521" s="296"/>
    </row>
    <row r="522" spans="5:5">
      <c r="E522" s="296"/>
    </row>
    <row r="523" spans="5:5">
      <c r="E523" s="296"/>
    </row>
    <row r="524" spans="5:5">
      <c r="E524" s="296"/>
    </row>
    <row r="525" spans="5:5">
      <c r="E525" s="296"/>
    </row>
    <row r="526" spans="5:5">
      <c r="E526" s="296"/>
    </row>
    <row r="527" spans="5:5">
      <c r="E527" s="296"/>
    </row>
    <row r="528" spans="5:5">
      <c r="E528" s="296"/>
    </row>
    <row r="529" spans="5:5">
      <c r="E529" s="296"/>
    </row>
    <row r="530" spans="5:5">
      <c r="E530" s="296"/>
    </row>
    <row r="531" spans="5:5">
      <c r="E531" s="296"/>
    </row>
    <row r="532" spans="5:5">
      <c r="E532" s="296"/>
    </row>
    <row r="533" spans="5:5">
      <c r="E533" s="296"/>
    </row>
    <row r="534" spans="5:5">
      <c r="E534" s="296"/>
    </row>
    <row r="535" spans="5:5">
      <c r="E535" s="296"/>
    </row>
    <row r="536" spans="5:5">
      <c r="E536" s="296"/>
    </row>
    <row r="537" spans="5:5">
      <c r="E537" s="296"/>
    </row>
    <row r="538" spans="5:5">
      <c r="E538" s="296"/>
    </row>
    <row r="539" spans="5:5">
      <c r="E539" s="296"/>
    </row>
    <row r="540" spans="5:5">
      <c r="E540" s="296"/>
    </row>
    <row r="541" spans="5:5">
      <c r="E541" s="296"/>
    </row>
    <row r="542" spans="5:5">
      <c r="E542" s="296"/>
    </row>
    <row r="543" spans="5:5">
      <c r="E543" s="296"/>
    </row>
    <row r="544" spans="5:5">
      <c r="E544" s="296"/>
    </row>
    <row r="545" spans="5:5">
      <c r="E545" s="296"/>
    </row>
    <row r="546" spans="5:5">
      <c r="E546" s="296"/>
    </row>
    <row r="547" spans="5:5">
      <c r="E547" s="296"/>
    </row>
    <row r="548" spans="5:5">
      <c r="E548" s="296"/>
    </row>
    <row r="549" spans="5:5">
      <c r="E549" s="296"/>
    </row>
    <row r="550" spans="5:5">
      <c r="E550" s="296"/>
    </row>
    <row r="551" spans="5:5">
      <c r="E551" s="296"/>
    </row>
    <row r="552" spans="5:5">
      <c r="E552" s="296"/>
    </row>
    <row r="553" spans="5:5">
      <c r="E553" s="296"/>
    </row>
    <row r="554" spans="5:5">
      <c r="E554" s="296"/>
    </row>
    <row r="555" spans="5:5">
      <c r="E555" s="296"/>
    </row>
    <row r="556" spans="5:5">
      <c r="E556" s="296"/>
    </row>
    <row r="557" spans="5:5">
      <c r="E557" s="296"/>
    </row>
    <row r="558" spans="5:5">
      <c r="E558" s="296"/>
    </row>
    <row r="559" spans="5:5">
      <c r="E559" s="296"/>
    </row>
    <row r="560" spans="5:5">
      <c r="E560" s="296"/>
    </row>
    <row r="561" spans="5:5">
      <c r="E561" s="296"/>
    </row>
    <row r="562" spans="5:5">
      <c r="E562" s="296"/>
    </row>
    <row r="563" spans="5:5">
      <c r="E563" s="296"/>
    </row>
    <row r="564" spans="5:5">
      <c r="E564" s="296"/>
    </row>
    <row r="565" spans="5:5">
      <c r="E565" s="296"/>
    </row>
    <row r="566" spans="5:5">
      <c r="E566" s="296"/>
    </row>
    <row r="567" spans="5:5">
      <c r="E567" s="296"/>
    </row>
    <row r="568" spans="5:5">
      <c r="E568" s="296"/>
    </row>
    <row r="569" spans="5:5">
      <c r="E569" s="296"/>
    </row>
    <row r="570" spans="5:5">
      <c r="E570" s="296"/>
    </row>
    <row r="571" spans="5:5">
      <c r="E571" s="296"/>
    </row>
    <row r="572" spans="5:5">
      <c r="E572" s="296"/>
    </row>
    <row r="573" spans="5:5">
      <c r="E573" s="296"/>
    </row>
    <row r="574" spans="5:5">
      <c r="E574" s="296"/>
    </row>
    <row r="575" spans="5:5">
      <c r="E575" s="296"/>
    </row>
    <row r="576" spans="5:5">
      <c r="E576" s="296"/>
    </row>
    <row r="577" spans="5:5">
      <c r="E577" s="296"/>
    </row>
    <row r="578" spans="5:5">
      <c r="E578" s="296"/>
    </row>
    <row r="579" spans="5:5">
      <c r="E579" s="296"/>
    </row>
    <row r="580" spans="5:5">
      <c r="E580" s="296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8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9" width="12.140625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1177</v>
      </c>
      <c r="G2" s="169" t="s">
        <v>208</v>
      </c>
      <c r="H2" s="169">
        <v>127</v>
      </c>
      <c r="I2" s="169">
        <v>127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127</v>
      </c>
      <c r="O2" s="171">
        <f>IF(E2="","",I2)</f>
        <v>127</v>
      </c>
    </row>
    <row r="3" spans="5:15">
      <c r="E3" s="169" t="s">
        <v>335</v>
      </c>
      <c r="F3" s="169" t="s">
        <v>1169</v>
      </c>
      <c r="G3" s="169" t="s">
        <v>208</v>
      </c>
      <c r="H3" s="169">
        <v>-611000</v>
      </c>
      <c r="I3" s="169">
        <v>-611000</v>
      </c>
      <c r="K3" s="170" t="str">
        <f t="shared" ref="K3:K66" si="0">IF(E3="","",E3)</f>
        <v>Global Bonds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AMZN 4.65% 11/20/35</v>
      </c>
      <c r="M3" s="170" t="str">
        <f t="shared" ref="M3:M66" si="1">IF(E3="","",G3)</f>
        <v>EQTY.IntlUS.off</v>
      </c>
      <c r="N3" s="171">
        <f t="shared" ref="N3:N66" si="2">IF(E3="","",H3)</f>
        <v>-611000</v>
      </c>
      <c r="O3" s="171">
        <f t="shared" ref="O3:O66" si="3">IF(E3="","",I3)</f>
        <v>-611000</v>
      </c>
    </row>
    <row r="4" spans="5:15">
      <c r="E4" s="169" t="s">
        <v>245</v>
      </c>
      <c r="F4" s="169" t="s">
        <v>7</v>
      </c>
      <c r="G4" s="169" t="s">
        <v>208</v>
      </c>
      <c r="H4" s="169">
        <v>607</v>
      </c>
      <c r="I4" s="169">
        <v>910</v>
      </c>
      <c r="K4" s="170" t="str">
        <f t="shared" si="0"/>
        <v>ETF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ASHR</v>
      </c>
      <c r="M4" s="170" t="str">
        <f t="shared" si="1"/>
        <v>EQTY.IntlUS.off</v>
      </c>
      <c r="N4" s="171">
        <f t="shared" si="2"/>
        <v>607</v>
      </c>
      <c r="O4" s="171">
        <f t="shared" si="3"/>
        <v>910</v>
      </c>
    </row>
    <row r="5" spans="5:15">
      <c r="E5" s="169" t="s">
        <v>248</v>
      </c>
      <c r="F5" s="169" t="s">
        <v>886</v>
      </c>
      <c r="G5" s="169" t="s">
        <v>208</v>
      </c>
      <c r="H5" s="169">
        <v>126</v>
      </c>
      <c r="I5" s="169">
        <v>65</v>
      </c>
      <c r="K5" s="170" t="str">
        <f t="shared" si="0"/>
        <v>ETF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ASHR US 02/20/26 C35</v>
      </c>
      <c r="M5" s="170" t="str">
        <f t="shared" si="1"/>
        <v>EQTY.IntlUS.off</v>
      </c>
      <c r="N5" s="171">
        <f t="shared" si="2"/>
        <v>126</v>
      </c>
      <c r="O5" s="171">
        <f t="shared" si="3"/>
        <v>65</v>
      </c>
    </row>
    <row r="6" spans="5:15">
      <c r="E6" s="169" t="s">
        <v>248</v>
      </c>
      <c r="F6" s="169" t="s">
        <v>1192</v>
      </c>
      <c r="G6" s="169" t="s">
        <v>208</v>
      </c>
      <c r="H6" s="169">
        <v>31</v>
      </c>
      <c r="I6" s="169">
        <v>0</v>
      </c>
      <c r="K6" s="170" t="str">
        <f t="shared" si="0"/>
        <v>ETF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ASHR US 02/27/26 C35</v>
      </c>
      <c r="M6" s="170" t="str">
        <f t="shared" si="1"/>
        <v>EQTY.IntlUS.off</v>
      </c>
      <c r="N6" s="171">
        <f t="shared" si="2"/>
        <v>31</v>
      </c>
      <c r="O6" s="171">
        <f t="shared" si="3"/>
        <v>0</v>
      </c>
    </row>
    <row r="7" spans="5:15">
      <c r="E7" s="169" t="s">
        <v>242</v>
      </c>
      <c r="F7" s="169" t="s">
        <v>84</v>
      </c>
      <c r="G7" s="169" t="s">
        <v>208</v>
      </c>
      <c r="H7" s="169">
        <v>1007</v>
      </c>
      <c r="I7" s="169">
        <v>1007</v>
      </c>
      <c r="K7" s="170" t="str">
        <f t="shared" si="0"/>
        <v>US Equity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AVGO</v>
      </c>
      <c r="M7" s="170" t="str">
        <f t="shared" si="1"/>
        <v>EQTY.IntlUS.off</v>
      </c>
      <c r="N7" s="171">
        <f t="shared" si="2"/>
        <v>1007</v>
      </c>
      <c r="O7" s="171">
        <f t="shared" si="3"/>
        <v>1007</v>
      </c>
    </row>
    <row r="8" spans="5:15">
      <c r="E8" s="169" t="s">
        <v>244</v>
      </c>
      <c r="F8" s="169" t="s">
        <v>766</v>
      </c>
      <c r="G8" s="169" t="s">
        <v>208</v>
      </c>
      <c r="H8" s="169">
        <v>6</v>
      </c>
      <c r="I8" s="169">
        <v>6</v>
      </c>
      <c r="K8" s="170" t="str">
        <f t="shared" si="0"/>
        <v>US Equity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AVGO US 06/18/26 C350</v>
      </c>
      <c r="M8" s="170" t="str">
        <f t="shared" si="1"/>
        <v>EQTY.IntlUS.off</v>
      </c>
      <c r="N8" s="171">
        <f t="shared" si="2"/>
        <v>6</v>
      </c>
      <c r="O8" s="171">
        <f t="shared" si="3"/>
        <v>6</v>
      </c>
    </row>
    <row r="9" spans="5:15">
      <c r="E9" s="169" t="s">
        <v>8</v>
      </c>
      <c r="F9" s="169" t="s">
        <v>334</v>
      </c>
      <c r="G9" s="169" t="s">
        <v>208</v>
      </c>
      <c r="H9" s="169">
        <v>233</v>
      </c>
      <c r="I9" s="169">
        <v>215</v>
      </c>
      <c r="K9" s="170" t="str">
        <f t="shared" si="0"/>
        <v>ADR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BABA</v>
      </c>
      <c r="M9" s="170" t="str">
        <f t="shared" si="1"/>
        <v>EQTY.IntlUS.off</v>
      </c>
      <c r="N9" s="171">
        <f t="shared" si="2"/>
        <v>233</v>
      </c>
      <c r="O9" s="171">
        <f t="shared" si="3"/>
        <v>215</v>
      </c>
    </row>
    <row r="10" spans="5:15">
      <c r="E10" s="169" t="s">
        <v>8</v>
      </c>
      <c r="F10" s="169" t="s">
        <v>801</v>
      </c>
      <c r="G10" s="169" t="s">
        <v>208</v>
      </c>
      <c r="H10" s="169">
        <v>267</v>
      </c>
      <c r="I10" s="169">
        <v>249</v>
      </c>
      <c r="K10" s="170" t="str">
        <f t="shared" si="0"/>
        <v>ADR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BIDU</v>
      </c>
      <c r="M10" s="170" t="str">
        <f t="shared" si="1"/>
        <v>EQTY.IntlUS.off</v>
      </c>
      <c r="N10" s="171">
        <f t="shared" si="2"/>
        <v>267</v>
      </c>
      <c r="O10" s="171">
        <f t="shared" si="3"/>
        <v>249</v>
      </c>
    </row>
    <row r="11" spans="5:15">
      <c r="E11" s="169" t="s">
        <v>246</v>
      </c>
      <c r="F11" s="169" t="s">
        <v>221</v>
      </c>
      <c r="G11" s="169" t="s">
        <v>208</v>
      </c>
      <c r="H11" s="169">
        <v>0.05</v>
      </c>
      <c r="I11" s="169">
        <v>0.05</v>
      </c>
      <c r="K11" s="170" t="str">
        <f t="shared" si="0"/>
        <v>Cash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Cash CAD</v>
      </c>
      <c r="M11" s="170" t="str">
        <f t="shared" si="1"/>
        <v>EQTY.IntlUS.off</v>
      </c>
      <c r="N11" s="171">
        <f t="shared" si="2"/>
        <v>0.05</v>
      </c>
      <c r="O11" s="171">
        <f t="shared" si="3"/>
        <v>0.05</v>
      </c>
    </row>
    <row r="12" spans="5:15">
      <c r="E12" s="169" t="s">
        <v>246</v>
      </c>
      <c r="F12" s="169" t="s">
        <v>222</v>
      </c>
      <c r="G12" s="169" t="s">
        <v>209</v>
      </c>
      <c r="H12" s="169">
        <v>0.49</v>
      </c>
      <c r="I12" s="169">
        <v>0.49</v>
      </c>
      <c r="K12" s="170" t="str">
        <f t="shared" si="0"/>
        <v>Cash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Cash CHF</v>
      </c>
      <c r="M12" s="170" t="str">
        <f t="shared" si="1"/>
        <v>EQTY.InternacionalUS2.off</v>
      </c>
      <c r="N12" s="171">
        <f t="shared" si="2"/>
        <v>0.49</v>
      </c>
      <c r="O12" s="171">
        <f t="shared" si="3"/>
        <v>0.49</v>
      </c>
    </row>
    <row r="13" spans="5:15">
      <c r="E13" s="169" t="s">
        <v>246</v>
      </c>
      <c r="F13" s="169" t="s">
        <v>222</v>
      </c>
      <c r="G13" s="169" t="s">
        <v>208</v>
      </c>
      <c r="H13" s="169">
        <v>-2610.69</v>
      </c>
      <c r="I13" s="169">
        <v>-2610.69</v>
      </c>
      <c r="K13" s="170" t="str">
        <f t="shared" si="0"/>
        <v>Cash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170" t="str">
        <f t="shared" si="1"/>
        <v>EQTY.IntlUS.off</v>
      </c>
      <c r="N13" s="171">
        <f t="shared" si="2"/>
        <v>-2610.69</v>
      </c>
      <c r="O13" s="171">
        <f t="shared" si="3"/>
        <v>-2610.69</v>
      </c>
    </row>
    <row r="14" spans="5:15">
      <c r="E14" s="169" t="s">
        <v>246</v>
      </c>
      <c r="F14" s="169" t="s">
        <v>223</v>
      </c>
      <c r="G14" s="169" t="s">
        <v>208</v>
      </c>
      <c r="H14" s="169">
        <v>0.16</v>
      </c>
      <c r="I14" s="169">
        <v>0.16</v>
      </c>
      <c r="K14" s="170" t="str">
        <f t="shared" si="0"/>
        <v>Cash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Cash CNH</v>
      </c>
      <c r="M14" s="170" t="str">
        <f t="shared" si="1"/>
        <v>EQTY.IntlUS.off</v>
      </c>
      <c r="N14" s="171">
        <f t="shared" si="2"/>
        <v>0.16</v>
      </c>
      <c r="O14" s="171">
        <f t="shared" si="3"/>
        <v>0.16</v>
      </c>
    </row>
    <row r="15" spans="5:15">
      <c r="E15" s="169" t="s">
        <v>246</v>
      </c>
      <c r="F15" s="169" t="s">
        <v>787</v>
      </c>
      <c r="G15" s="169" t="s">
        <v>209</v>
      </c>
      <c r="H15" s="169">
        <v>-0.21</v>
      </c>
      <c r="I15" s="169">
        <v>-0.21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CNY</v>
      </c>
      <c r="M15" s="170" t="str">
        <f t="shared" si="1"/>
        <v>EQTY.InternacionalUS2.off</v>
      </c>
      <c r="N15" s="171">
        <f t="shared" si="2"/>
        <v>-0.21</v>
      </c>
      <c r="O15" s="171">
        <f t="shared" si="3"/>
        <v>-0.21</v>
      </c>
    </row>
    <row r="16" spans="5:15">
      <c r="E16" s="169" t="s">
        <v>246</v>
      </c>
      <c r="F16" s="169" t="s">
        <v>787</v>
      </c>
      <c r="G16" s="169" t="s">
        <v>208</v>
      </c>
      <c r="H16" s="169">
        <v>-10000.790000000001</v>
      </c>
      <c r="I16" s="169">
        <v>-10000.790000000001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170" t="str">
        <f t="shared" si="1"/>
        <v>EQTY.IntlUS.off</v>
      </c>
      <c r="N16" s="171">
        <f t="shared" si="2"/>
        <v>-10000.790000000001</v>
      </c>
      <c r="O16" s="171">
        <f t="shared" si="3"/>
        <v>-10000.790000000001</v>
      </c>
    </row>
    <row r="17" spans="5:15">
      <c r="E17" s="169" t="s">
        <v>246</v>
      </c>
      <c r="F17" s="169" t="s">
        <v>224</v>
      </c>
      <c r="G17" s="169" t="s">
        <v>209</v>
      </c>
      <c r="H17" s="169">
        <v>0.47</v>
      </c>
      <c r="I17" s="169">
        <v>0.47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EUR</v>
      </c>
      <c r="M17" s="170" t="str">
        <f t="shared" si="1"/>
        <v>EQTY.InternacionalUS2.off</v>
      </c>
      <c r="N17" s="171">
        <f t="shared" si="2"/>
        <v>0.47</v>
      </c>
      <c r="O17" s="171">
        <f t="shared" si="3"/>
        <v>0.47</v>
      </c>
    </row>
    <row r="18" spans="5:15">
      <c r="E18" s="169" t="s">
        <v>246</v>
      </c>
      <c r="F18" s="169" t="s">
        <v>224</v>
      </c>
      <c r="G18" s="169" t="s">
        <v>208</v>
      </c>
      <c r="H18" s="169">
        <v>3233.9</v>
      </c>
      <c r="I18" s="169">
        <v>3233.9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170" t="str">
        <f t="shared" si="1"/>
        <v>EQTY.IntlUS.off</v>
      </c>
      <c r="N18" s="171">
        <f t="shared" si="2"/>
        <v>3233.9</v>
      </c>
      <c r="O18" s="171">
        <f t="shared" si="3"/>
        <v>3233.9</v>
      </c>
    </row>
    <row r="19" spans="5:15">
      <c r="E19" s="169" t="s">
        <v>246</v>
      </c>
      <c r="F19" s="169" t="s">
        <v>225</v>
      </c>
      <c r="G19" s="169" t="s">
        <v>208</v>
      </c>
      <c r="H19" s="169">
        <v>0.82</v>
      </c>
      <c r="I19" s="169">
        <v>0.82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GBP</v>
      </c>
      <c r="M19" s="170" t="str">
        <f t="shared" si="1"/>
        <v>EQTY.IntlUS.off</v>
      </c>
      <c r="N19" s="171">
        <f t="shared" si="2"/>
        <v>0.82</v>
      </c>
      <c r="O19" s="171">
        <f t="shared" si="3"/>
        <v>0.82</v>
      </c>
    </row>
    <row r="20" spans="5:15">
      <c r="E20" s="169" t="s">
        <v>246</v>
      </c>
      <c r="F20" s="169" t="s">
        <v>226</v>
      </c>
      <c r="G20" s="169" t="s">
        <v>209</v>
      </c>
      <c r="H20" s="169">
        <v>-0.06</v>
      </c>
      <c r="I20" s="169">
        <v>-0.06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HKD</v>
      </c>
      <c r="M20" s="170" t="str">
        <f t="shared" si="1"/>
        <v>EQTY.InternacionalUS2.off</v>
      </c>
      <c r="N20" s="171">
        <f t="shared" si="2"/>
        <v>-0.06</v>
      </c>
      <c r="O20" s="171">
        <f t="shared" si="3"/>
        <v>-0.06</v>
      </c>
    </row>
    <row r="21" spans="5:15">
      <c r="E21" s="169" t="s">
        <v>246</v>
      </c>
      <c r="F21" s="169" t="s">
        <v>226</v>
      </c>
      <c r="G21" s="169" t="s">
        <v>208</v>
      </c>
      <c r="H21" s="169">
        <v>-17957.060000000001</v>
      </c>
      <c r="I21" s="169">
        <v>-17957.060000000001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170" t="str">
        <f t="shared" si="1"/>
        <v>EQTY.IntlUS.off</v>
      </c>
      <c r="N21" s="171">
        <f t="shared" si="2"/>
        <v>-17957.060000000001</v>
      </c>
      <c r="O21" s="171">
        <f t="shared" si="3"/>
        <v>-17957.060000000001</v>
      </c>
    </row>
    <row r="22" spans="5:15">
      <c r="E22" s="169" t="s">
        <v>246</v>
      </c>
      <c r="F22" s="169" t="s">
        <v>227</v>
      </c>
      <c r="G22" s="169" t="s">
        <v>208</v>
      </c>
      <c r="H22" s="169">
        <v>-0.01</v>
      </c>
      <c r="I22" s="169">
        <v>-0.01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KRW</v>
      </c>
      <c r="M22" s="170" t="str">
        <f t="shared" si="1"/>
        <v>EQTY.IntlUS.off</v>
      </c>
      <c r="N22" s="171">
        <f t="shared" si="2"/>
        <v>-0.01</v>
      </c>
      <c r="O22" s="171">
        <f t="shared" si="3"/>
        <v>-0.01</v>
      </c>
    </row>
    <row r="23" spans="5:15">
      <c r="E23" s="169" t="s">
        <v>246</v>
      </c>
      <c r="F23" s="169" t="s">
        <v>228</v>
      </c>
      <c r="G23" s="169" t="s">
        <v>208</v>
      </c>
      <c r="H23" s="169">
        <v>3.8559099957935902E-3</v>
      </c>
      <c r="I23" s="169">
        <v>3.8559100000000002E-3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USD</v>
      </c>
      <c r="M23" s="170" t="str">
        <f t="shared" si="1"/>
        <v>EQTY.IntlUS.off</v>
      </c>
      <c r="N23" s="171">
        <f t="shared" si="2"/>
        <v>3.8559099957935902E-3</v>
      </c>
      <c r="O23" s="171">
        <f t="shared" si="3"/>
        <v>3.8559100000000002E-3</v>
      </c>
    </row>
    <row r="24" spans="5:15">
      <c r="E24" s="169" t="s">
        <v>336</v>
      </c>
      <c r="F24" s="169" t="s">
        <v>572</v>
      </c>
      <c r="G24" s="169" t="s">
        <v>208</v>
      </c>
      <c r="H24" s="169">
        <v>375000</v>
      </c>
      <c r="I24" s="169">
        <v>375000</v>
      </c>
      <c r="K24" s="170" t="str">
        <f t="shared" si="0"/>
        <v>CDS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CHINAGOV 12/20/30</v>
      </c>
      <c r="M24" s="170" t="str">
        <f t="shared" si="1"/>
        <v>EQTY.IntlUS.off</v>
      </c>
      <c r="N24" s="171">
        <f t="shared" si="2"/>
        <v>375000</v>
      </c>
      <c r="O24" s="171">
        <f t="shared" si="3"/>
        <v>375000</v>
      </c>
    </row>
    <row r="25" spans="5:15">
      <c r="E25" s="169" t="s">
        <v>242</v>
      </c>
      <c r="F25" s="169" t="s">
        <v>1195</v>
      </c>
      <c r="G25" s="169" t="s">
        <v>208</v>
      </c>
      <c r="H25" s="169">
        <v>0</v>
      </c>
      <c r="I25" s="169">
        <v>0</v>
      </c>
      <c r="K25" s="170" t="str">
        <f t="shared" si="0"/>
        <v>US Equity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COHR</v>
      </c>
      <c r="M25" s="170" t="str">
        <f t="shared" si="1"/>
        <v>EQTY.IntlUS.off</v>
      </c>
      <c r="N25" s="171">
        <f t="shared" si="2"/>
        <v>0</v>
      </c>
      <c r="O25" s="171">
        <f t="shared" si="3"/>
        <v>0</v>
      </c>
    </row>
    <row r="26" spans="5:15">
      <c r="E26" s="169" t="s">
        <v>242</v>
      </c>
      <c r="F26" s="169" t="s">
        <v>991</v>
      </c>
      <c r="G26" s="169" t="s">
        <v>208</v>
      </c>
      <c r="H26" s="169">
        <v>1948</v>
      </c>
      <c r="I26" s="169">
        <v>2557</v>
      </c>
      <c r="K26" s="170" t="str">
        <f t="shared" si="0"/>
        <v>US Equity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CSCO</v>
      </c>
      <c r="M26" s="170" t="str">
        <f t="shared" si="1"/>
        <v>EQTY.IntlUS.off</v>
      </c>
      <c r="N26" s="171">
        <f t="shared" si="2"/>
        <v>1948</v>
      </c>
      <c r="O26" s="171">
        <f t="shared" si="3"/>
        <v>2557</v>
      </c>
    </row>
    <row r="27" spans="5:15">
      <c r="E27" s="169" t="s">
        <v>244</v>
      </c>
      <c r="F27" s="169" t="s">
        <v>1193</v>
      </c>
      <c r="G27" s="169" t="s">
        <v>208</v>
      </c>
      <c r="H27" s="169">
        <v>-60</v>
      </c>
      <c r="I27" s="169">
        <v>0</v>
      </c>
      <c r="K27" s="170" t="str">
        <f t="shared" si="0"/>
        <v>US Equity Options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CSCO US 04/17/26 C100</v>
      </c>
      <c r="M27" s="170" t="str">
        <f t="shared" si="1"/>
        <v>EQTY.IntlUS.off</v>
      </c>
      <c r="N27" s="171">
        <f t="shared" si="2"/>
        <v>-60</v>
      </c>
      <c r="O27" s="171">
        <f t="shared" si="3"/>
        <v>0</v>
      </c>
    </row>
    <row r="28" spans="5:15">
      <c r="E28" s="169" t="s">
        <v>244</v>
      </c>
      <c r="F28" s="169" t="s">
        <v>1194</v>
      </c>
      <c r="G28" s="169" t="s">
        <v>208</v>
      </c>
      <c r="H28" s="169">
        <v>60</v>
      </c>
      <c r="I28" s="169">
        <v>0</v>
      </c>
      <c r="K28" s="170" t="str">
        <f t="shared" si="0"/>
        <v>US Equity Options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CSCO US 04/17/26 C95</v>
      </c>
      <c r="M28" s="170" t="str">
        <f t="shared" si="1"/>
        <v>EQTY.IntlUS.off</v>
      </c>
      <c r="N28" s="171">
        <f t="shared" si="2"/>
        <v>60</v>
      </c>
      <c r="O28" s="171">
        <f t="shared" si="3"/>
        <v>0</v>
      </c>
    </row>
    <row r="29" spans="5:15">
      <c r="E29" s="169" t="s">
        <v>242</v>
      </c>
      <c r="F29" s="169" t="s">
        <v>1196</v>
      </c>
      <c r="G29" s="169" t="s">
        <v>208</v>
      </c>
      <c r="H29" s="169">
        <v>0</v>
      </c>
      <c r="I29" s="169">
        <v>364</v>
      </c>
      <c r="K29" s="170" t="str">
        <f t="shared" si="0"/>
        <v>US Equity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DTM</v>
      </c>
      <c r="M29" s="170" t="str">
        <f t="shared" si="1"/>
        <v>EQTY.IntlUS.off</v>
      </c>
      <c r="N29" s="171">
        <f t="shared" si="2"/>
        <v>0</v>
      </c>
      <c r="O29" s="171">
        <f t="shared" si="3"/>
        <v>364</v>
      </c>
    </row>
    <row r="30" spans="5:15">
      <c r="E30" s="169" t="s">
        <v>1197</v>
      </c>
      <c r="F30" s="169" t="s">
        <v>1190</v>
      </c>
      <c r="G30" s="169" t="s">
        <v>208</v>
      </c>
      <c r="H30" s="169">
        <v>61</v>
      </c>
      <c r="I30" s="169">
        <v>0</v>
      </c>
      <c r="K30" s="170" t="str">
        <f t="shared" si="0"/>
        <v>EUR Equity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ENR GY</v>
      </c>
      <c r="M30" s="170" t="str">
        <f t="shared" si="1"/>
        <v>EQTY.IntlUS.off</v>
      </c>
      <c r="N30" s="171">
        <f t="shared" si="2"/>
        <v>61</v>
      </c>
      <c r="O30" s="171">
        <f t="shared" si="3"/>
        <v>0</v>
      </c>
    </row>
    <row r="31" spans="5:15">
      <c r="E31" s="169" t="s">
        <v>245</v>
      </c>
      <c r="F31" s="169" t="s">
        <v>426</v>
      </c>
      <c r="G31" s="169" t="s">
        <v>208</v>
      </c>
      <c r="H31" s="169">
        <v>1997</v>
      </c>
      <c r="I31" s="169">
        <v>3009</v>
      </c>
      <c r="K31" s="170" t="str">
        <f t="shared" si="0"/>
        <v>ETF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EWY</v>
      </c>
      <c r="M31" s="170" t="str">
        <f t="shared" si="1"/>
        <v>EQTY.IntlUS.off</v>
      </c>
      <c r="N31" s="171">
        <f t="shared" si="2"/>
        <v>1997</v>
      </c>
      <c r="O31" s="171">
        <f t="shared" si="3"/>
        <v>3009</v>
      </c>
    </row>
    <row r="32" spans="5:15">
      <c r="E32" s="169" t="s">
        <v>245</v>
      </c>
      <c r="F32" s="169" t="s">
        <v>78</v>
      </c>
      <c r="G32" s="169" t="s">
        <v>208</v>
      </c>
      <c r="H32" s="169">
        <v>1642</v>
      </c>
      <c r="I32" s="169">
        <v>1460</v>
      </c>
      <c r="K32" s="170" t="str">
        <f t="shared" si="0"/>
        <v>ETF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 xml:space="preserve">GDX </v>
      </c>
      <c r="M32" s="170" t="str">
        <f t="shared" si="1"/>
        <v>EQTY.IntlUS.off</v>
      </c>
      <c r="N32" s="171">
        <f t="shared" si="2"/>
        <v>1642</v>
      </c>
      <c r="O32" s="171">
        <f t="shared" si="3"/>
        <v>1460</v>
      </c>
    </row>
    <row r="33" spans="5:15">
      <c r="E33" s="169" t="s">
        <v>248</v>
      </c>
      <c r="F33" s="169" t="s">
        <v>915</v>
      </c>
      <c r="G33" s="169" t="s">
        <v>208</v>
      </c>
      <c r="H33" s="169">
        <v>53</v>
      </c>
      <c r="I33" s="169">
        <v>53</v>
      </c>
      <c r="K33" s="170" t="str">
        <f t="shared" si="0"/>
        <v>ETF Options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GDX US 09/18/26 C105</v>
      </c>
      <c r="M33" s="170" t="str">
        <f t="shared" si="1"/>
        <v>EQTY.IntlUS.off</v>
      </c>
      <c r="N33" s="171">
        <f t="shared" si="2"/>
        <v>53</v>
      </c>
      <c r="O33" s="171">
        <f t="shared" si="3"/>
        <v>53</v>
      </c>
    </row>
    <row r="34" spans="5:15">
      <c r="E34" s="169" t="s">
        <v>248</v>
      </c>
      <c r="F34" s="169" t="s">
        <v>916</v>
      </c>
      <c r="G34" s="169" t="s">
        <v>208</v>
      </c>
      <c r="H34" s="169">
        <v>-53</v>
      </c>
      <c r="I34" s="169">
        <v>-53</v>
      </c>
      <c r="K34" s="170" t="str">
        <f t="shared" si="0"/>
        <v>ETF Options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GDX US 09/18/26 C115</v>
      </c>
      <c r="M34" s="170" t="str">
        <f t="shared" si="1"/>
        <v>EQTY.IntlUS.off</v>
      </c>
      <c r="N34" s="171">
        <f t="shared" si="2"/>
        <v>-53</v>
      </c>
      <c r="O34" s="171">
        <f t="shared" si="3"/>
        <v>-53</v>
      </c>
    </row>
    <row r="35" spans="5:15">
      <c r="E35" s="169" t="s">
        <v>242</v>
      </c>
      <c r="F35" s="169" t="s">
        <v>1178</v>
      </c>
      <c r="G35" s="169" t="s">
        <v>208</v>
      </c>
      <c r="H35" s="169">
        <v>59</v>
      </c>
      <c r="I35" s="169">
        <v>59</v>
      </c>
      <c r="K35" s="170" t="str">
        <f t="shared" si="0"/>
        <v>US Equity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>GEV</v>
      </c>
      <c r="M35" s="170" t="str">
        <f t="shared" si="1"/>
        <v>EQTY.IntlUS.off</v>
      </c>
      <c r="N35" s="171">
        <f t="shared" si="2"/>
        <v>59</v>
      </c>
      <c r="O35" s="171">
        <f t="shared" si="3"/>
        <v>59</v>
      </c>
    </row>
    <row r="36" spans="5:15">
      <c r="E36" s="169" t="s">
        <v>242</v>
      </c>
      <c r="F36" s="169" t="s">
        <v>808</v>
      </c>
      <c r="G36" s="169" t="s">
        <v>208</v>
      </c>
      <c r="H36" s="169">
        <v>330</v>
      </c>
      <c r="I36" s="169">
        <v>481</v>
      </c>
      <c r="K36" s="170" t="str">
        <f t="shared" si="0"/>
        <v>US Equity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GOOG</v>
      </c>
      <c r="M36" s="170" t="str">
        <f t="shared" si="1"/>
        <v>EQTY.IntlUS.off</v>
      </c>
      <c r="N36" s="171">
        <f t="shared" si="2"/>
        <v>330</v>
      </c>
      <c r="O36" s="171">
        <f t="shared" si="3"/>
        <v>481</v>
      </c>
    </row>
    <row r="37" spans="5:15">
      <c r="E37" s="169" t="s">
        <v>249</v>
      </c>
      <c r="F37" s="169" t="s">
        <v>562</v>
      </c>
      <c r="G37" s="169" t="s">
        <v>208</v>
      </c>
      <c r="H37" s="169">
        <v>19314</v>
      </c>
      <c r="I37" s="169">
        <v>19314</v>
      </c>
      <c r="K37" s="170" t="str">
        <f t="shared" si="0"/>
        <v>Basket Index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GSC1000P 03/20/26 C104</v>
      </c>
      <c r="M37" s="170" t="str">
        <f t="shared" si="1"/>
        <v>EQTY.IntlUS.off</v>
      </c>
      <c r="N37" s="171">
        <f t="shared" si="2"/>
        <v>19314</v>
      </c>
      <c r="O37" s="171">
        <f t="shared" si="3"/>
        <v>19314</v>
      </c>
    </row>
    <row r="38" spans="5:15">
      <c r="E38" s="169" t="s">
        <v>249</v>
      </c>
      <c r="F38" s="169" t="s">
        <v>563</v>
      </c>
      <c r="G38" s="169" t="s">
        <v>208</v>
      </c>
      <c r="H38" s="169">
        <v>-19314</v>
      </c>
      <c r="I38" s="169">
        <v>-19314</v>
      </c>
      <c r="K38" s="170" t="str">
        <f t="shared" si="0"/>
        <v>Basket Index Options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GSC1000P 03/20/26 C119</v>
      </c>
      <c r="M38" s="170" t="str">
        <f t="shared" si="1"/>
        <v>EQTY.IntlUS.off</v>
      </c>
      <c r="N38" s="171">
        <f t="shared" si="2"/>
        <v>-19314</v>
      </c>
      <c r="O38" s="171">
        <f t="shared" si="3"/>
        <v>-19314</v>
      </c>
    </row>
    <row r="39" spans="5:15">
      <c r="E39" s="169" t="s">
        <v>242</v>
      </c>
      <c r="F39" s="169" t="s">
        <v>343</v>
      </c>
      <c r="G39" s="169" t="s">
        <v>208</v>
      </c>
      <c r="H39" s="169">
        <v>182</v>
      </c>
      <c r="I39" s="169">
        <v>91</v>
      </c>
      <c r="K39" s="170" t="str">
        <f t="shared" si="0"/>
        <v>US Equity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INTC</v>
      </c>
      <c r="M39" s="170" t="str">
        <f t="shared" si="1"/>
        <v>EQTY.IntlUS.off</v>
      </c>
      <c r="N39" s="171">
        <f t="shared" si="2"/>
        <v>182</v>
      </c>
      <c r="O39" s="171">
        <f t="shared" si="3"/>
        <v>91</v>
      </c>
    </row>
    <row r="40" spans="5:15">
      <c r="E40" s="169" t="s">
        <v>244</v>
      </c>
      <c r="F40" s="169" t="s">
        <v>971</v>
      </c>
      <c r="G40" s="169" t="s">
        <v>208</v>
      </c>
      <c r="H40" s="169">
        <v>16</v>
      </c>
      <c r="I40" s="169">
        <v>15</v>
      </c>
      <c r="K40" s="170" t="str">
        <f t="shared" si="0"/>
        <v>US Equity Options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INTC US 07/17/26 C50</v>
      </c>
      <c r="M40" s="170" t="str">
        <f t="shared" si="1"/>
        <v>EQTY.IntlUS.off</v>
      </c>
      <c r="N40" s="171">
        <f t="shared" si="2"/>
        <v>16</v>
      </c>
      <c r="O40" s="171">
        <f t="shared" si="3"/>
        <v>15</v>
      </c>
    </row>
    <row r="41" spans="5:15">
      <c r="E41" s="169" t="s">
        <v>244</v>
      </c>
      <c r="F41" s="169" t="s">
        <v>972</v>
      </c>
      <c r="G41" s="169" t="s">
        <v>208</v>
      </c>
      <c r="H41" s="169">
        <v>0</v>
      </c>
      <c r="I41" s="169">
        <v>-9</v>
      </c>
      <c r="K41" s="170" t="str">
        <f t="shared" si="0"/>
        <v>US Equity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INTC US 07/17/26 C60</v>
      </c>
      <c r="M41" s="170" t="str">
        <f t="shared" si="1"/>
        <v>EQTY.IntlUS.off</v>
      </c>
      <c r="N41" s="171">
        <f t="shared" si="2"/>
        <v>0</v>
      </c>
      <c r="O41" s="171">
        <f t="shared" si="3"/>
        <v>-9</v>
      </c>
    </row>
    <row r="42" spans="5:15">
      <c r="E42" s="169" t="s">
        <v>244</v>
      </c>
      <c r="F42" s="169" t="s">
        <v>970</v>
      </c>
      <c r="G42" s="169" t="s">
        <v>208</v>
      </c>
      <c r="H42" s="169">
        <v>-3</v>
      </c>
      <c r="I42" s="169">
        <v>-3</v>
      </c>
      <c r="K42" s="170" t="str">
        <f t="shared" si="0"/>
        <v>US Equity Options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INTC US 07/17/26 P40</v>
      </c>
      <c r="M42" s="170" t="str">
        <f t="shared" si="1"/>
        <v>EQTY.IntlUS.off</v>
      </c>
      <c r="N42" s="171">
        <f t="shared" si="2"/>
        <v>-3</v>
      </c>
      <c r="O42" s="171">
        <f t="shared" si="3"/>
        <v>-3</v>
      </c>
    </row>
    <row r="43" spans="5:15">
      <c r="E43" s="169" t="s">
        <v>245</v>
      </c>
      <c r="F43" s="169" t="s">
        <v>6</v>
      </c>
      <c r="G43" s="169" t="s">
        <v>208</v>
      </c>
      <c r="H43" s="169">
        <v>918</v>
      </c>
      <c r="I43" s="169">
        <v>918</v>
      </c>
      <c r="K43" s="170" t="str">
        <f t="shared" si="0"/>
        <v>ETF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KBWB</v>
      </c>
      <c r="M43" s="170" t="str">
        <f t="shared" si="1"/>
        <v>EQTY.IntlUS.off</v>
      </c>
      <c r="N43" s="171">
        <f t="shared" si="2"/>
        <v>918</v>
      </c>
      <c r="O43" s="171">
        <f t="shared" si="3"/>
        <v>918</v>
      </c>
    </row>
    <row r="44" spans="5:15">
      <c r="E44" s="169" t="s">
        <v>242</v>
      </c>
      <c r="F44" s="169" t="s">
        <v>917</v>
      </c>
      <c r="G44" s="169" t="s">
        <v>208</v>
      </c>
      <c r="H44" s="169">
        <v>-446</v>
      </c>
      <c r="I44" s="169">
        <v>-838</v>
      </c>
      <c r="K44" s="170" t="str">
        <f t="shared" si="0"/>
        <v>US Equity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KHC</v>
      </c>
      <c r="M44" s="170" t="str">
        <f t="shared" si="1"/>
        <v>EQTY.IntlUS.off</v>
      </c>
      <c r="N44" s="171">
        <f t="shared" si="2"/>
        <v>-446</v>
      </c>
      <c r="O44" s="171">
        <f t="shared" si="3"/>
        <v>-838</v>
      </c>
    </row>
    <row r="45" spans="5:15">
      <c r="E45" s="169" t="s">
        <v>968</v>
      </c>
      <c r="F45" s="169" t="s">
        <v>947</v>
      </c>
      <c r="G45" s="169" t="s">
        <v>208</v>
      </c>
      <c r="H45" s="169">
        <v>685255</v>
      </c>
      <c r="I45" s="169">
        <v>685255</v>
      </c>
      <c r="K45" s="170" t="str">
        <f t="shared" si="0"/>
        <v>KOSPI 200 Index Options - KRX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KOSPI2 12/10/26 C1000</v>
      </c>
      <c r="M45" s="170" t="str">
        <f t="shared" si="1"/>
        <v>EQTY.IntlUS.off</v>
      </c>
      <c r="N45" s="171">
        <f t="shared" si="2"/>
        <v>685255</v>
      </c>
      <c r="O45" s="171">
        <f t="shared" si="3"/>
        <v>685255</v>
      </c>
    </row>
    <row r="46" spans="5:15">
      <c r="E46" s="169" t="s">
        <v>242</v>
      </c>
      <c r="F46" s="169" t="s">
        <v>729</v>
      </c>
      <c r="G46" s="169" t="s">
        <v>208</v>
      </c>
      <c r="H46" s="169">
        <v>304</v>
      </c>
      <c r="I46" s="169">
        <v>304</v>
      </c>
      <c r="K46" s="170" t="str">
        <f t="shared" si="0"/>
        <v>US Equity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LITE</v>
      </c>
      <c r="M46" s="170" t="str">
        <f t="shared" si="1"/>
        <v>EQTY.IntlUS.off</v>
      </c>
      <c r="N46" s="171">
        <f t="shared" si="2"/>
        <v>304</v>
      </c>
      <c r="O46" s="171">
        <f t="shared" si="3"/>
        <v>304</v>
      </c>
    </row>
    <row r="47" spans="5:15">
      <c r="E47" s="169" t="s">
        <v>244</v>
      </c>
      <c r="F47" s="169" t="s">
        <v>1188</v>
      </c>
      <c r="G47" s="169" t="s">
        <v>208</v>
      </c>
      <c r="H47" s="169">
        <v>4</v>
      </c>
      <c r="I47" s="169">
        <v>0</v>
      </c>
      <c r="K47" s="170" t="str">
        <f t="shared" si="0"/>
        <v>US Equity Options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 US 06/18/26 C600</v>
      </c>
      <c r="M47" s="170" t="str">
        <f t="shared" si="1"/>
        <v>EQTY.IntlUS.off</v>
      </c>
      <c r="N47" s="171">
        <f t="shared" si="2"/>
        <v>4</v>
      </c>
      <c r="O47" s="171">
        <f t="shared" si="3"/>
        <v>0</v>
      </c>
    </row>
    <row r="48" spans="5:15">
      <c r="E48" s="169" t="s">
        <v>244</v>
      </c>
      <c r="F48" s="169" t="s">
        <v>1189</v>
      </c>
      <c r="G48" s="169" t="s">
        <v>208</v>
      </c>
      <c r="H48" s="169">
        <v>-4</v>
      </c>
      <c r="I48" s="169">
        <v>0</v>
      </c>
      <c r="K48" s="170" t="str">
        <f t="shared" si="0"/>
        <v>US Equity Options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 US 06/18/26 C720</v>
      </c>
      <c r="M48" s="170" t="str">
        <f t="shared" si="1"/>
        <v>EQTY.IntlUS.off</v>
      </c>
      <c r="N48" s="171">
        <f t="shared" si="2"/>
        <v>-4</v>
      </c>
      <c r="O48" s="171">
        <f t="shared" si="3"/>
        <v>0</v>
      </c>
    </row>
    <row r="49" spans="5:15">
      <c r="E49" s="169" t="s">
        <v>242</v>
      </c>
      <c r="F49" s="169" t="s">
        <v>340</v>
      </c>
      <c r="G49" s="169" t="s">
        <v>208</v>
      </c>
      <c r="H49" s="169">
        <v>0</v>
      </c>
      <c r="I49" s="169">
        <v>7</v>
      </c>
      <c r="K49" s="170" t="str">
        <f t="shared" si="0"/>
        <v>US Equity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MELI</v>
      </c>
      <c r="M49" s="170" t="str">
        <f t="shared" si="1"/>
        <v>EQTY.IntlUS.off</v>
      </c>
      <c r="N49" s="171">
        <f t="shared" si="2"/>
        <v>0</v>
      </c>
      <c r="O49" s="171">
        <f t="shared" si="3"/>
        <v>7</v>
      </c>
    </row>
    <row r="50" spans="5:15">
      <c r="E50" s="169" t="s">
        <v>244</v>
      </c>
      <c r="F50" s="169" t="s">
        <v>1123</v>
      </c>
      <c r="G50" s="169" t="s">
        <v>208</v>
      </c>
      <c r="H50" s="169">
        <v>0</v>
      </c>
      <c r="I50" s="169">
        <v>1</v>
      </c>
      <c r="K50" s="170" t="str">
        <f t="shared" si="0"/>
        <v>US Equity Options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MELI US 02/20/26 C2150</v>
      </c>
      <c r="M50" s="170" t="str">
        <f t="shared" si="1"/>
        <v>EQTY.IntlUS.off</v>
      </c>
      <c r="N50" s="171">
        <f t="shared" si="2"/>
        <v>0</v>
      </c>
      <c r="O50" s="171">
        <f t="shared" si="3"/>
        <v>1</v>
      </c>
    </row>
    <row r="51" spans="5:15">
      <c r="E51" s="169" t="s">
        <v>335</v>
      </c>
      <c r="F51" s="169" t="s">
        <v>1043</v>
      </c>
      <c r="G51" s="169" t="s">
        <v>208</v>
      </c>
      <c r="H51" s="169">
        <v>-628000</v>
      </c>
      <c r="I51" s="169">
        <v>-628000</v>
      </c>
      <c r="K51" s="170" t="str">
        <f t="shared" si="0"/>
        <v>Global Bonds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 4.875% 11/15/35</v>
      </c>
      <c r="M51" s="170" t="str">
        <f t="shared" si="1"/>
        <v>EQTY.IntlUS.off</v>
      </c>
      <c r="N51" s="171">
        <f t="shared" si="2"/>
        <v>-628000</v>
      </c>
      <c r="O51" s="171">
        <f t="shared" si="3"/>
        <v>-628000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490</v>
      </c>
      <c r="I52" s="169">
        <v>490</v>
      </c>
      <c r="K52" s="170" t="str">
        <f t="shared" si="0"/>
        <v>US Equity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</v>
      </c>
      <c r="M52" s="170" t="str">
        <f t="shared" si="1"/>
        <v>EQTY.IntlUS.off</v>
      </c>
      <c r="N52" s="171">
        <f t="shared" si="2"/>
        <v>490</v>
      </c>
      <c r="O52" s="171">
        <f t="shared" si="3"/>
        <v>490</v>
      </c>
    </row>
    <row r="53" spans="5:15">
      <c r="E53" s="169" t="s">
        <v>244</v>
      </c>
      <c r="F53" s="169" t="s">
        <v>1074</v>
      </c>
      <c r="G53" s="169" t="s">
        <v>208</v>
      </c>
      <c r="H53" s="169">
        <v>9</v>
      </c>
      <c r="I53" s="169">
        <v>9</v>
      </c>
      <c r="K53" s="170" t="str">
        <f t="shared" si="0"/>
        <v>US Equity Options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META US 07/17/26 C750</v>
      </c>
      <c r="M53" s="170" t="str">
        <f t="shared" si="1"/>
        <v>EQTY.IntlUS.off</v>
      </c>
      <c r="N53" s="171">
        <f t="shared" si="2"/>
        <v>9</v>
      </c>
      <c r="O53" s="171">
        <f t="shared" si="3"/>
        <v>9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-338</v>
      </c>
      <c r="I54" s="169">
        <v>-96</v>
      </c>
      <c r="K54" s="170" t="str">
        <f t="shared" si="0"/>
        <v>US Equity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</v>
      </c>
      <c r="M54" s="170" t="str">
        <f t="shared" si="1"/>
        <v>EQTY.IntlUS.off</v>
      </c>
      <c r="N54" s="171">
        <f t="shared" si="2"/>
        <v>-338</v>
      </c>
      <c r="O54" s="171">
        <f t="shared" si="3"/>
        <v>-96</v>
      </c>
    </row>
    <row r="55" spans="5:15">
      <c r="E55" s="169" t="s">
        <v>244</v>
      </c>
      <c r="F55" s="169" t="s">
        <v>1101</v>
      </c>
      <c r="G55" s="169" t="s">
        <v>208</v>
      </c>
      <c r="H55" s="169">
        <v>-28</v>
      </c>
      <c r="I55" s="169">
        <v>-28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P60</v>
      </c>
      <c r="M55" s="170" t="str">
        <f t="shared" si="1"/>
        <v>EQTY.IntlUS.off</v>
      </c>
      <c r="N55" s="171">
        <f t="shared" si="2"/>
        <v>-28</v>
      </c>
      <c r="O55" s="171">
        <f t="shared" si="3"/>
        <v>-28</v>
      </c>
    </row>
    <row r="56" spans="5:15">
      <c r="E56" s="169" t="s">
        <v>244</v>
      </c>
      <c r="F56" s="169" t="s">
        <v>925</v>
      </c>
      <c r="G56" s="169" t="s">
        <v>208</v>
      </c>
      <c r="H56" s="169">
        <v>28</v>
      </c>
      <c r="I56" s="169">
        <v>28</v>
      </c>
      <c r="K56" s="170" t="str">
        <f t="shared" si="0"/>
        <v>US Equity Options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MRVL US 03/20/26 P70</v>
      </c>
      <c r="M56" s="170" t="str">
        <f t="shared" si="1"/>
        <v>EQTY.IntlUS.off</v>
      </c>
      <c r="N56" s="171">
        <f t="shared" si="2"/>
        <v>28</v>
      </c>
      <c r="O56" s="171">
        <f t="shared" si="3"/>
        <v>28</v>
      </c>
    </row>
    <row r="57" spans="5:15">
      <c r="E57" s="169" t="s">
        <v>244</v>
      </c>
      <c r="F57" s="169" t="s">
        <v>1102</v>
      </c>
      <c r="G57" s="169" t="s">
        <v>208</v>
      </c>
      <c r="H57" s="169">
        <v>-12</v>
      </c>
      <c r="I57" s="169">
        <v>-12</v>
      </c>
      <c r="K57" s="170" t="str">
        <f t="shared" si="0"/>
        <v>US Equity Options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US 05/15/26 C90</v>
      </c>
      <c r="M57" s="170" t="str">
        <f t="shared" si="1"/>
        <v>EQTY.IntlUS.off</v>
      </c>
      <c r="N57" s="171">
        <f t="shared" si="2"/>
        <v>-12</v>
      </c>
      <c r="O57" s="171">
        <f t="shared" si="3"/>
        <v>-12</v>
      </c>
    </row>
    <row r="58" spans="5:15">
      <c r="E58" s="169" t="s">
        <v>244</v>
      </c>
      <c r="F58" s="169" t="s">
        <v>1103</v>
      </c>
      <c r="G58" s="169" t="s">
        <v>208</v>
      </c>
      <c r="H58" s="169">
        <v>-12</v>
      </c>
      <c r="I58" s="169">
        <v>-12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P70</v>
      </c>
      <c r="M58" s="170" t="str">
        <f t="shared" si="1"/>
        <v>EQTY.IntlUS.off</v>
      </c>
      <c r="N58" s="171">
        <f t="shared" si="2"/>
        <v>-12</v>
      </c>
      <c r="O58" s="171">
        <f t="shared" si="3"/>
        <v>-12</v>
      </c>
    </row>
    <row r="59" spans="5:15">
      <c r="E59" s="169" t="s">
        <v>1079</v>
      </c>
      <c r="F59" s="169" t="s">
        <v>1080</v>
      </c>
      <c r="G59" s="169" t="s">
        <v>208</v>
      </c>
      <c r="H59" s="169">
        <v>0</v>
      </c>
      <c r="I59" s="169">
        <v>0</v>
      </c>
      <c r="K59" s="170" t="str">
        <f t="shared" si="0"/>
        <v>NASDAQ-100 E-mini Futures - CME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NQH6</v>
      </c>
      <c r="M59" s="170" t="str">
        <f t="shared" si="1"/>
        <v>EQTY.IntlUS.off</v>
      </c>
      <c r="N59" s="171">
        <f t="shared" si="2"/>
        <v>0</v>
      </c>
      <c r="O59" s="171">
        <f t="shared" si="3"/>
        <v>0</v>
      </c>
    </row>
    <row r="60" spans="5:15">
      <c r="E60" s="169" t="s">
        <v>242</v>
      </c>
      <c r="F60" s="169" t="s">
        <v>42</v>
      </c>
      <c r="G60" s="169" t="s">
        <v>208</v>
      </c>
      <c r="H60" s="169">
        <v>2466</v>
      </c>
      <c r="I60" s="169">
        <v>2466</v>
      </c>
      <c r="K60" s="170" t="str">
        <f t="shared" si="0"/>
        <v>US Equity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</v>
      </c>
      <c r="M60" s="170" t="str">
        <f t="shared" si="1"/>
        <v>EQTY.IntlUS.off</v>
      </c>
      <c r="N60" s="171">
        <f t="shared" si="2"/>
        <v>2466</v>
      </c>
      <c r="O60" s="171">
        <f t="shared" si="3"/>
        <v>2466</v>
      </c>
    </row>
    <row r="61" spans="5:15">
      <c r="E61" s="169" t="s">
        <v>244</v>
      </c>
      <c r="F61" s="169" t="s">
        <v>1029</v>
      </c>
      <c r="G61" s="169" t="s">
        <v>208</v>
      </c>
      <c r="H61" s="169">
        <v>8</v>
      </c>
      <c r="I61" s="169">
        <v>8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05/15/26 C200</v>
      </c>
      <c r="M61" s="170" t="str">
        <f t="shared" si="1"/>
        <v>EQTY.IntlUS.off</v>
      </c>
      <c r="N61" s="171">
        <f t="shared" si="2"/>
        <v>8</v>
      </c>
      <c r="O61" s="171">
        <f t="shared" si="3"/>
        <v>8</v>
      </c>
    </row>
    <row r="62" spans="5:15">
      <c r="E62" s="169" t="s">
        <v>243</v>
      </c>
      <c r="F62" s="169" t="s">
        <v>1044</v>
      </c>
      <c r="G62" s="169" t="s">
        <v>208</v>
      </c>
      <c r="H62" s="179">
        <v>-5.6843418860808002E-14</v>
      </c>
      <c r="I62" s="169">
        <v>464.28</v>
      </c>
      <c r="K62" s="170" t="str">
        <f t="shared" si="0"/>
        <v>Provisions and Costs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Provision Equity Total Return Swap USD_</v>
      </c>
      <c r="M62" s="170" t="str">
        <f t="shared" si="1"/>
        <v>EQTY.IntlUS.off</v>
      </c>
      <c r="N62" s="171">
        <f t="shared" si="2"/>
        <v>-5.6843418860808002E-14</v>
      </c>
      <c r="O62" s="171">
        <f t="shared" si="3"/>
        <v>464.28</v>
      </c>
    </row>
    <row r="63" spans="5:15">
      <c r="E63" s="169" t="s">
        <v>243</v>
      </c>
      <c r="F63" s="169" t="s">
        <v>260</v>
      </c>
      <c r="G63" s="169" t="s">
        <v>208</v>
      </c>
      <c r="H63" s="169">
        <v>-1262</v>
      </c>
      <c r="I63" s="169">
        <v>-366</v>
      </c>
      <c r="K63" s="170" t="str">
        <f t="shared" si="0"/>
        <v>Provisions and Costs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Provision ETF Options USD_</v>
      </c>
      <c r="M63" s="170" t="str">
        <f t="shared" si="1"/>
        <v>EQTY.IntlUS.off</v>
      </c>
      <c r="N63" s="171">
        <f t="shared" si="2"/>
        <v>-1262</v>
      </c>
      <c r="O63" s="171">
        <f t="shared" si="3"/>
        <v>-366</v>
      </c>
    </row>
    <row r="64" spans="5:15">
      <c r="E64" s="169" t="s">
        <v>243</v>
      </c>
      <c r="F64" s="169" t="s">
        <v>232</v>
      </c>
      <c r="G64" s="169" t="s">
        <v>208</v>
      </c>
      <c r="H64" s="169">
        <v>269337.12</v>
      </c>
      <c r="I64" s="169">
        <v>257777.65</v>
      </c>
      <c r="K64" s="170" t="str">
        <f t="shared" si="0"/>
        <v>Provisions and Costs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Provision ETF USD_</v>
      </c>
      <c r="M64" s="170" t="str">
        <f t="shared" si="1"/>
        <v>EQTY.IntlUS.off</v>
      </c>
      <c r="N64" s="171">
        <f t="shared" si="2"/>
        <v>269337.12</v>
      </c>
      <c r="O64" s="171">
        <f t="shared" si="3"/>
        <v>257777.65</v>
      </c>
    </row>
    <row r="65" spans="5:15">
      <c r="E65" s="169" t="s">
        <v>243</v>
      </c>
      <c r="F65" s="169" t="s">
        <v>1198</v>
      </c>
      <c r="G65" s="169" t="s">
        <v>208</v>
      </c>
      <c r="H65" s="169">
        <v>-9385.4</v>
      </c>
      <c r="I65" s="169">
        <v>0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EUR Equity EUR_</v>
      </c>
      <c r="M65" s="170" t="str">
        <f t="shared" si="1"/>
        <v>EQTY.IntlUS.off</v>
      </c>
      <c r="N65" s="171">
        <f t="shared" si="2"/>
        <v>-9385.4</v>
      </c>
      <c r="O65" s="171">
        <f t="shared" si="3"/>
        <v>0</v>
      </c>
    </row>
    <row r="66" spans="5:15">
      <c r="E66" s="169" t="s">
        <v>243</v>
      </c>
      <c r="F66" s="169" t="s">
        <v>346</v>
      </c>
      <c r="G66" s="169" t="s">
        <v>208</v>
      </c>
      <c r="H66" s="169">
        <v>70780.25</v>
      </c>
      <c r="I66" s="169">
        <v>0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NYSE USD_</v>
      </c>
      <c r="M66" s="170" t="str">
        <f t="shared" si="1"/>
        <v>EQTY.IntlUS.off</v>
      </c>
      <c r="N66" s="171">
        <f t="shared" si="2"/>
        <v>70780.25</v>
      </c>
      <c r="O66" s="171">
        <f t="shared" si="3"/>
        <v>0</v>
      </c>
    </row>
    <row r="67" spans="5:15">
      <c r="E67" s="169" t="s">
        <v>243</v>
      </c>
      <c r="F67" s="169" t="s">
        <v>261</v>
      </c>
      <c r="G67" s="169" t="s">
        <v>208</v>
      </c>
      <c r="H67" s="169">
        <v>-22421</v>
      </c>
      <c r="I67" s="169">
        <v>-7530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US Equity Options USD_</v>
      </c>
      <c r="M67" s="170" t="str">
        <f t="shared" ref="M67:M130" si="5">IF(E67="","",G67)</f>
        <v>EQTY.IntlUS.off</v>
      </c>
      <c r="N67" s="171">
        <f t="shared" ref="N67:N130" si="6">IF(E67="","",H67)</f>
        <v>-22421</v>
      </c>
      <c r="O67" s="171">
        <f t="shared" ref="O67:O130" si="7">IF(E67="","",I67)</f>
        <v>-7530</v>
      </c>
    </row>
    <row r="68" spans="5:15">
      <c r="E68" s="169" t="s">
        <v>243</v>
      </c>
      <c r="F68" s="169" t="s">
        <v>233</v>
      </c>
      <c r="G68" s="169" t="s">
        <v>208</v>
      </c>
      <c r="H68" s="169">
        <v>126638.49</v>
      </c>
      <c r="I68" s="169">
        <v>-23111.57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US Equity USD_</v>
      </c>
      <c r="M68" s="170" t="str">
        <f t="shared" si="5"/>
        <v>EQTY.IntlUS.off</v>
      </c>
      <c r="N68" s="171">
        <f t="shared" si="6"/>
        <v>126638.49</v>
      </c>
      <c r="O68" s="171">
        <f t="shared" si="7"/>
        <v>-23111.57</v>
      </c>
    </row>
    <row r="69" spans="5:15">
      <c r="E69" s="169" t="s">
        <v>242</v>
      </c>
      <c r="F69" s="169" t="s">
        <v>791</v>
      </c>
      <c r="G69" s="169" t="s">
        <v>208</v>
      </c>
      <c r="H69" s="169">
        <v>1929</v>
      </c>
      <c r="I69" s="169">
        <v>1929</v>
      </c>
      <c r="K69" s="170" t="str">
        <f t="shared" si="4"/>
        <v>US Equity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RIOT</v>
      </c>
      <c r="M69" s="170" t="str">
        <f t="shared" si="5"/>
        <v>EQTY.IntlUS.off</v>
      </c>
      <c r="N69" s="171">
        <f t="shared" si="6"/>
        <v>1929</v>
      </c>
      <c r="O69" s="171">
        <f t="shared" si="7"/>
        <v>1929</v>
      </c>
    </row>
    <row r="70" spans="5:15">
      <c r="E70" s="169" t="s">
        <v>245</v>
      </c>
      <c r="F70" s="169" t="s">
        <v>43</v>
      </c>
      <c r="G70" s="169" t="s">
        <v>208</v>
      </c>
      <c r="H70" s="169">
        <v>0</v>
      </c>
      <c r="I70" s="169">
        <v>431</v>
      </c>
      <c r="K70" s="170" t="str">
        <f t="shared" si="4"/>
        <v>ETF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SOXX</v>
      </c>
      <c r="M70" s="170" t="str">
        <f t="shared" si="5"/>
        <v>EQTY.IntlUS.off</v>
      </c>
      <c r="N70" s="171">
        <f t="shared" si="6"/>
        <v>0</v>
      </c>
      <c r="O70" s="171">
        <f t="shared" si="7"/>
        <v>431</v>
      </c>
    </row>
    <row r="71" spans="5:15">
      <c r="E71" s="169" t="s">
        <v>793</v>
      </c>
      <c r="F71" s="169" t="s">
        <v>794</v>
      </c>
      <c r="G71" s="169" t="s">
        <v>208</v>
      </c>
      <c r="H71" s="169">
        <v>52</v>
      </c>
      <c r="I71" s="169">
        <v>52</v>
      </c>
      <c r="K71" s="170" t="str">
        <f t="shared" si="4"/>
        <v>Equity Total Return Swap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000660 KS</v>
      </c>
      <c r="M71" s="170" t="str">
        <f t="shared" si="5"/>
        <v>EQTY.IntlUS.off</v>
      </c>
      <c r="N71" s="171">
        <f t="shared" si="6"/>
        <v>52</v>
      </c>
      <c r="O71" s="171">
        <f t="shared" si="7"/>
        <v>52</v>
      </c>
    </row>
    <row r="72" spans="5:15">
      <c r="E72" s="169" t="s">
        <v>793</v>
      </c>
      <c r="F72" s="169" t="s">
        <v>1170</v>
      </c>
      <c r="G72" s="169" t="s">
        <v>208</v>
      </c>
      <c r="H72" s="169">
        <v>10</v>
      </c>
      <c r="I72" s="169">
        <v>10</v>
      </c>
      <c r="K72" s="170" t="str">
        <f t="shared" si="4"/>
        <v>Equity Total Return Swap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SWAP 000660 KS 10FEB2026 20APR2026 592.6251</v>
      </c>
      <c r="M72" s="170" t="str">
        <f t="shared" si="5"/>
        <v>EQTY.IntlUS.off</v>
      </c>
      <c r="N72" s="171">
        <f t="shared" si="6"/>
        <v>10</v>
      </c>
      <c r="O72" s="171">
        <f t="shared" si="7"/>
        <v>10</v>
      </c>
    </row>
    <row r="73" spans="5:15">
      <c r="E73" s="169" t="s">
        <v>793</v>
      </c>
      <c r="F73" s="169" t="s">
        <v>969</v>
      </c>
      <c r="G73" s="169" t="s">
        <v>208</v>
      </c>
      <c r="H73" s="169">
        <v>43</v>
      </c>
      <c r="I73" s="169">
        <v>43</v>
      </c>
      <c r="K73" s="170" t="str">
        <f t="shared" si="4"/>
        <v>Equity Total Return Swap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SWAP 000660 KS 26JAN2026 26JAN2027 509.6192</v>
      </c>
      <c r="M73" s="170" t="str">
        <f t="shared" si="5"/>
        <v>EQTY.IntlUS.off</v>
      </c>
      <c r="N73" s="171">
        <f t="shared" si="6"/>
        <v>43</v>
      </c>
      <c r="O73" s="171">
        <f t="shared" si="7"/>
        <v>43</v>
      </c>
    </row>
    <row r="74" spans="5:15">
      <c r="E74" s="169" t="s">
        <v>793</v>
      </c>
      <c r="F74" s="169" t="s">
        <v>1171</v>
      </c>
      <c r="G74" s="169" t="s">
        <v>208</v>
      </c>
      <c r="H74" s="169">
        <v>189</v>
      </c>
      <c r="I74" s="169">
        <v>189</v>
      </c>
      <c r="K74" s="170" t="str">
        <f t="shared" si="4"/>
        <v>Equity Total Return Swap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SWAP 005930 KS 03FEB2026 20APR2026 113.36</v>
      </c>
      <c r="M74" s="170" t="str">
        <f t="shared" si="5"/>
        <v>EQTY.IntlUS.off</v>
      </c>
      <c r="N74" s="171">
        <f t="shared" si="6"/>
        <v>189</v>
      </c>
      <c r="O74" s="171">
        <f t="shared" si="7"/>
        <v>189</v>
      </c>
    </row>
    <row r="75" spans="5:15">
      <c r="E75" s="169" t="s">
        <v>793</v>
      </c>
      <c r="F75" s="169" t="s">
        <v>1172</v>
      </c>
      <c r="G75" s="169" t="s">
        <v>208</v>
      </c>
      <c r="H75" s="169">
        <v>189</v>
      </c>
      <c r="I75" s="169">
        <v>189</v>
      </c>
      <c r="K75" s="170" t="str">
        <f t="shared" si="4"/>
        <v>Equity Total Return Swap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SWAP 005930 KS 04FEB2026 20APR2026 105.82</v>
      </c>
      <c r="M75" s="170" t="str">
        <f t="shared" si="5"/>
        <v>EQTY.IntlUS.off</v>
      </c>
      <c r="N75" s="171">
        <f t="shared" si="6"/>
        <v>189</v>
      </c>
      <c r="O75" s="171">
        <f t="shared" si="7"/>
        <v>189</v>
      </c>
    </row>
    <row r="76" spans="5:15">
      <c r="E76" s="169" t="s">
        <v>793</v>
      </c>
      <c r="F76" s="169" t="s">
        <v>1173</v>
      </c>
      <c r="G76" s="169" t="s">
        <v>208</v>
      </c>
      <c r="H76" s="169">
        <v>55</v>
      </c>
      <c r="I76" s="169">
        <v>55</v>
      </c>
      <c r="K76" s="170" t="str">
        <f t="shared" si="4"/>
        <v>Equity Total Return Swap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SWAP 005930 KS 10FEB2026 20APR2026 110.873</v>
      </c>
      <c r="M76" s="170" t="str">
        <f t="shared" si="5"/>
        <v>EQTY.IntlUS.off</v>
      </c>
      <c r="N76" s="171">
        <f t="shared" si="6"/>
        <v>55</v>
      </c>
      <c r="O76" s="171">
        <f t="shared" si="7"/>
        <v>55</v>
      </c>
    </row>
    <row r="77" spans="5:15">
      <c r="E77" s="169" t="s">
        <v>793</v>
      </c>
      <c r="F77" s="169" t="s">
        <v>1199</v>
      </c>
      <c r="G77" s="169" t="s">
        <v>208</v>
      </c>
      <c r="H77" s="169">
        <v>1090</v>
      </c>
      <c r="I77" s="169">
        <v>1090</v>
      </c>
      <c r="K77" s="170" t="str">
        <f t="shared" si="4"/>
        <v>Equity Total Return Swap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SWAP 2330 TT 11FEB2026 20APR2026 55.7697</v>
      </c>
      <c r="M77" s="170" t="str">
        <f t="shared" si="5"/>
        <v>EQTY.IntlUS.off</v>
      </c>
      <c r="N77" s="171">
        <f t="shared" si="6"/>
        <v>1090</v>
      </c>
      <c r="O77" s="171">
        <f t="shared" si="7"/>
        <v>1090</v>
      </c>
    </row>
    <row r="78" spans="5:15">
      <c r="E78" s="169" t="s">
        <v>793</v>
      </c>
      <c r="F78" s="169" t="s">
        <v>1174</v>
      </c>
      <c r="G78" s="169" t="s">
        <v>208</v>
      </c>
      <c r="H78" s="169">
        <v>17</v>
      </c>
      <c r="I78" s="169">
        <v>17</v>
      </c>
      <c r="K78" s="170" t="str">
        <f t="shared" si="4"/>
        <v>Equity Total Return Swap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SWAP 402340 KS 09FEB2026 20APR2026 348.49</v>
      </c>
      <c r="M78" s="170" t="str">
        <f t="shared" si="5"/>
        <v>EQTY.IntlUS.off</v>
      </c>
      <c r="N78" s="171">
        <f t="shared" si="6"/>
        <v>17</v>
      </c>
      <c r="O78" s="171">
        <f t="shared" si="7"/>
        <v>17</v>
      </c>
    </row>
    <row r="79" spans="5:15">
      <c r="E79" s="169" t="s">
        <v>793</v>
      </c>
      <c r="F79" s="169" t="s">
        <v>1175</v>
      </c>
      <c r="G79" s="169" t="s">
        <v>208</v>
      </c>
      <c r="H79" s="169">
        <v>38</v>
      </c>
      <c r="I79" s="169">
        <v>38</v>
      </c>
      <c r="K79" s="170" t="str">
        <f t="shared" si="4"/>
        <v>Equity Total Return Swap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SWAP 402340 KS 09FEB2026 20APR2026 390.92</v>
      </c>
      <c r="M79" s="170" t="str">
        <f t="shared" si="5"/>
        <v>EQTY.IntlUS.off</v>
      </c>
      <c r="N79" s="171">
        <f t="shared" si="6"/>
        <v>38</v>
      </c>
      <c r="O79" s="171">
        <f t="shared" si="7"/>
        <v>38</v>
      </c>
    </row>
    <row r="80" spans="5:15">
      <c r="E80" s="169" t="s">
        <v>793</v>
      </c>
      <c r="F80" s="169" t="s">
        <v>1176</v>
      </c>
      <c r="G80" s="169" t="s">
        <v>208</v>
      </c>
      <c r="H80" s="169">
        <v>16</v>
      </c>
      <c r="I80" s="169">
        <v>16</v>
      </c>
      <c r="K80" s="170" t="str">
        <f t="shared" si="4"/>
        <v>Equity Total Return Swap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SWAP 402340 KS 10FEB2026 20APR2026 377.6597</v>
      </c>
      <c r="M80" s="170" t="str">
        <f t="shared" si="5"/>
        <v>EQTY.IntlUS.off</v>
      </c>
      <c r="N80" s="171">
        <f t="shared" si="6"/>
        <v>16</v>
      </c>
      <c r="O80" s="171">
        <f t="shared" si="7"/>
        <v>16</v>
      </c>
    </row>
    <row r="81" spans="5:15">
      <c r="E81" s="169" t="s">
        <v>793</v>
      </c>
      <c r="F81" s="169" t="s">
        <v>1200</v>
      </c>
      <c r="G81" s="169" t="s">
        <v>208</v>
      </c>
      <c r="H81" s="169">
        <v>17</v>
      </c>
      <c r="I81" s="169">
        <v>17</v>
      </c>
      <c r="K81" s="170" t="str">
        <f t="shared" si="4"/>
        <v>Equity Total Return Swap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SWAP 402340 KS 11FEB2026 20APR2026 350.7653</v>
      </c>
      <c r="M81" s="170" t="str">
        <f t="shared" si="5"/>
        <v>EQTY.IntlUS.off</v>
      </c>
      <c r="N81" s="171">
        <f t="shared" si="6"/>
        <v>17</v>
      </c>
      <c r="O81" s="171">
        <f t="shared" si="7"/>
        <v>17</v>
      </c>
    </row>
    <row r="82" spans="5:15">
      <c r="E82" s="169" t="s">
        <v>1045</v>
      </c>
      <c r="F82" s="169" t="s">
        <v>1046</v>
      </c>
      <c r="G82" s="169" t="s">
        <v>208</v>
      </c>
      <c r="H82" s="169">
        <v>1207940</v>
      </c>
      <c r="I82" s="169">
        <v>1207940</v>
      </c>
      <c r="K82" s="170" t="str">
        <f t="shared" si="4"/>
        <v>TBOND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T 4.000% 11/15/35</v>
      </c>
      <c r="M82" s="170" t="str">
        <f t="shared" si="5"/>
        <v>EQTY.IntlUS.off</v>
      </c>
      <c r="N82" s="171">
        <f t="shared" si="6"/>
        <v>1207940</v>
      </c>
      <c r="O82" s="171">
        <f t="shared" si="7"/>
        <v>1207940</v>
      </c>
    </row>
    <row r="83" spans="5:15">
      <c r="E83" s="169" t="s">
        <v>8</v>
      </c>
      <c r="F83" s="169" t="s">
        <v>44</v>
      </c>
      <c r="G83" s="169" t="s">
        <v>208</v>
      </c>
      <c r="H83" s="169">
        <v>-121</v>
      </c>
      <c r="I83" s="169">
        <v>91</v>
      </c>
      <c r="K83" s="170" t="str">
        <f t="shared" si="4"/>
        <v>ADR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TSM</v>
      </c>
      <c r="M83" s="170" t="str">
        <f t="shared" si="5"/>
        <v>EQTY.IntlUS.off</v>
      </c>
      <c r="N83" s="171">
        <f t="shared" si="6"/>
        <v>-121</v>
      </c>
      <c r="O83" s="171">
        <f t="shared" si="7"/>
        <v>91</v>
      </c>
    </row>
    <row r="84" spans="5:15">
      <c r="E84" s="169" t="s">
        <v>251</v>
      </c>
      <c r="F84" s="169" t="s">
        <v>887</v>
      </c>
      <c r="G84" s="169" t="s">
        <v>208</v>
      </c>
      <c r="H84" s="169">
        <v>97</v>
      </c>
      <c r="I84" s="169">
        <v>97</v>
      </c>
      <c r="K84" s="170" t="str">
        <f t="shared" si="4"/>
        <v>ADR Options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TSM US 06/18/26 C340</v>
      </c>
      <c r="M84" s="170" t="str">
        <f t="shared" si="5"/>
        <v>EQTY.IntlUS.off</v>
      </c>
      <c r="N84" s="171">
        <f t="shared" si="6"/>
        <v>97</v>
      </c>
      <c r="O84" s="171">
        <f t="shared" si="7"/>
        <v>97</v>
      </c>
    </row>
    <row r="85" spans="5:15">
      <c r="E85" s="169" t="s">
        <v>251</v>
      </c>
      <c r="F85" s="169" t="s">
        <v>888</v>
      </c>
      <c r="G85" s="169" t="s">
        <v>208</v>
      </c>
      <c r="H85" s="169">
        <v>-80</v>
      </c>
      <c r="I85" s="169">
        <v>-80</v>
      </c>
      <c r="K85" s="170" t="str">
        <f t="shared" si="4"/>
        <v>ADR Options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TSM US 06/18/26 C380</v>
      </c>
      <c r="M85" s="170" t="str">
        <f t="shared" si="5"/>
        <v>EQTY.IntlUS.off</v>
      </c>
      <c r="N85" s="171">
        <f t="shared" si="6"/>
        <v>-80</v>
      </c>
      <c r="O85" s="171">
        <f t="shared" si="7"/>
        <v>-80</v>
      </c>
    </row>
    <row r="86" spans="5:15">
      <c r="E86" s="169" t="s">
        <v>242</v>
      </c>
      <c r="F86" s="169" t="s">
        <v>1096</v>
      </c>
      <c r="G86" s="169" t="s">
        <v>208</v>
      </c>
      <c r="H86" s="169">
        <v>1292</v>
      </c>
      <c r="I86" s="169">
        <v>698</v>
      </c>
      <c r="K86" s="170" t="str">
        <f t="shared" si="4"/>
        <v>US Equity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WMB</v>
      </c>
      <c r="M86" s="170" t="str">
        <f t="shared" si="5"/>
        <v>EQTY.IntlUS.off</v>
      </c>
      <c r="N86" s="171">
        <f t="shared" si="6"/>
        <v>1292</v>
      </c>
      <c r="O86" s="171">
        <f t="shared" si="7"/>
        <v>698</v>
      </c>
    </row>
    <row r="87" spans="5:15">
      <c r="E87" s="169" t="s">
        <v>245</v>
      </c>
      <c r="F87" s="169" t="s">
        <v>36</v>
      </c>
      <c r="G87" s="169" t="s">
        <v>208</v>
      </c>
      <c r="H87" s="169">
        <v>1523</v>
      </c>
      <c r="I87" s="169">
        <v>1523</v>
      </c>
      <c r="K87" s="170" t="str">
        <f t="shared" si="4"/>
        <v>ETF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XLF</v>
      </c>
      <c r="M87" s="170" t="str">
        <f t="shared" si="5"/>
        <v>EQTY.IntlUS.off</v>
      </c>
      <c r="N87" s="171">
        <f t="shared" si="6"/>
        <v>1523</v>
      </c>
      <c r="O87" s="171">
        <f t="shared" si="7"/>
        <v>1523</v>
      </c>
    </row>
    <row r="88" spans="5:15">
      <c r="E88" s="169" t="s">
        <v>245</v>
      </c>
      <c r="F88" s="169" t="s">
        <v>4</v>
      </c>
      <c r="G88" s="169" t="s">
        <v>208</v>
      </c>
      <c r="H88" s="169">
        <v>-1735</v>
      </c>
      <c r="I88" s="169">
        <v>-1735</v>
      </c>
      <c r="K88" s="170" t="str">
        <f t="shared" si="4"/>
        <v>ETF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XLP</v>
      </c>
      <c r="M88" s="170" t="str">
        <f t="shared" si="5"/>
        <v>EQTY.IntlUS.off</v>
      </c>
      <c r="N88" s="171">
        <f t="shared" si="6"/>
        <v>-1735</v>
      </c>
      <c r="O88" s="171">
        <f t="shared" si="7"/>
        <v>-1735</v>
      </c>
    </row>
    <row r="89" spans="5:15">
      <c r="K89" s="170" t="str">
        <f t="shared" si="4"/>
        <v/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170" t="str">
        <f t="shared" si="5"/>
        <v/>
      </c>
      <c r="N89" s="171" t="str">
        <f t="shared" si="6"/>
        <v/>
      </c>
      <c r="O89" s="171" t="str">
        <f t="shared" si="7"/>
        <v/>
      </c>
    </row>
    <row r="90" spans="5:15">
      <c r="K90" s="170" t="str">
        <f t="shared" si="4"/>
        <v/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170" t="str">
        <f t="shared" si="5"/>
        <v/>
      </c>
      <c r="N90" s="171" t="str">
        <f t="shared" si="6"/>
        <v/>
      </c>
      <c r="O90" s="171" t="str">
        <f t="shared" si="7"/>
        <v/>
      </c>
    </row>
    <row r="91" spans="5:15">
      <c r="K91" s="170" t="str">
        <f t="shared" si="4"/>
        <v/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H93" s="179"/>
      <c r="K93" s="170" t="str">
        <f t="shared" si="4"/>
        <v/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H94" s="179"/>
      <c r="K94" s="170" t="str">
        <f t="shared" si="4"/>
        <v/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0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0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490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490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-121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-121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46065</v>
      </c>
      <c r="C2" s="166">
        <v>0</v>
      </c>
    </row>
    <row r="3" spans="1:7">
      <c r="A3" s="164" t="s">
        <v>266</v>
      </c>
      <c r="B3" s="190">
        <f ca="1">B2-1</f>
        <v>46064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Daniel\BooksOverviewResume11Feb2026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Daniel\BooksOverviewResume11Feb2026_zenith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794</v>
      </c>
      <c r="G10" t="s">
        <v>433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526</v>
      </c>
      <c r="G22" s="280" t="s">
        <v>523</v>
      </c>
    </row>
    <row r="23" spans="6:7">
      <c r="F23" s="169" t="s">
        <v>526</v>
      </c>
      <c r="G23" s="280" t="s">
        <v>523</v>
      </c>
    </row>
    <row r="24" spans="6:7">
      <c r="F24" s="169" t="s">
        <v>533</v>
      </c>
      <c r="G24" s="280" t="s">
        <v>523</v>
      </c>
    </row>
    <row r="25" spans="6:7">
      <c r="F25" s="169" t="s">
        <v>533</v>
      </c>
      <c r="G25" s="280" t="s">
        <v>523</v>
      </c>
    </row>
    <row r="26" spans="6:7">
      <c r="F26" s="169" t="s">
        <v>536</v>
      </c>
      <c r="G26" s="280" t="s">
        <v>523</v>
      </c>
    </row>
    <row r="27" spans="6:7">
      <c r="F27" s="169" t="s">
        <v>536</v>
      </c>
      <c r="G27" s="280" t="s">
        <v>523</v>
      </c>
    </row>
    <row r="28" spans="6:7">
      <c r="F28" s="169" t="s">
        <v>539</v>
      </c>
      <c r="G28" s="280" t="s">
        <v>523</v>
      </c>
    </row>
    <row r="29" spans="6:7">
      <c r="F29" s="169" t="s">
        <v>539</v>
      </c>
      <c r="G29" s="280" t="s">
        <v>523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551</v>
      </c>
      <c r="G34" s="21" t="s">
        <v>414</v>
      </c>
    </row>
    <row r="35" spans="6:7">
      <c r="F35" s="289" t="s">
        <v>550</v>
      </c>
      <c r="G35" s="133" t="s">
        <v>547</v>
      </c>
    </row>
    <row r="36" spans="6:7">
      <c r="F36" s="289" t="s">
        <v>549</v>
      </c>
      <c r="G36" s="21" t="s">
        <v>548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>
      <c r="F39" s="21" t="s">
        <v>552</v>
      </c>
      <c r="G39" s="21" t="s">
        <v>2</v>
      </c>
    </row>
    <row r="40" spans="6:7">
      <c r="F40" t="s">
        <v>78</v>
      </c>
      <c r="G40" s="21" t="s">
        <v>799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574</v>
      </c>
      <c r="G50" s="21" t="s">
        <v>575</v>
      </c>
    </row>
    <row r="51" spans="6:7">
      <c r="F51" s="21" t="s">
        <v>514</v>
      </c>
      <c r="G51" s="21" t="s">
        <v>513</v>
      </c>
    </row>
    <row r="52" spans="6:7">
      <c r="F52" s="21" t="s">
        <v>281</v>
      </c>
      <c r="G52" s="21" t="s">
        <v>2</v>
      </c>
    </row>
    <row r="53" spans="6:7">
      <c r="F53" s="169" t="s">
        <v>537</v>
      </c>
      <c r="G53" s="280" t="s">
        <v>522</v>
      </c>
    </row>
    <row r="54" spans="6:7">
      <c r="F54" s="169" t="s">
        <v>537</v>
      </c>
      <c r="G54" s="280" t="s">
        <v>522</v>
      </c>
    </row>
    <row r="55" spans="6:7">
      <c r="F55" s="169" t="s">
        <v>534</v>
      </c>
      <c r="G55" s="280" t="s">
        <v>522</v>
      </c>
    </row>
    <row r="56" spans="6:7">
      <c r="F56" s="169" t="s">
        <v>534</v>
      </c>
      <c r="G56" s="280" t="s">
        <v>522</v>
      </c>
    </row>
    <row r="57" spans="6:7">
      <c r="F57" s="169" t="s">
        <v>538</v>
      </c>
      <c r="G57" s="280" t="s">
        <v>522</v>
      </c>
    </row>
    <row r="58" spans="6:7">
      <c r="F58" s="169" t="s">
        <v>538</v>
      </c>
      <c r="G58" s="280" t="s">
        <v>522</v>
      </c>
    </row>
    <row r="59" spans="6:7">
      <c r="F59" s="169" t="s">
        <v>540</v>
      </c>
      <c r="G59" s="280" t="s">
        <v>522</v>
      </c>
    </row>
    <row r="60" spans="6:7">
      <c r="F60" s="169" t="s">
        <v>540</v>
      </c>
      <c r="G60" s="280" t="s">
        <v>522</v>
      </c>
    </row>
    <row r="61" spans="6:7">
      <c r="F61" s="21" t="s">
        <v>520</v>
      </c>
      <c r="G61" s="21" t="s">
        <v>513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799</v>
      </c>
      <c r="G98" s="21" t="s">
        <v>799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526</v>
      </c>
      <c r="G104" s="21" t="s">
        <v>523</v>
      </c>
    </row>
    <row r="105" spans="6:7">
      <c r="F105" s="21" t="s">
        <v>353</v>
      </c>
      <c r="G105" s="21" t="s">
        <v>274</v>
      </c>
    </row>
    <row r="106" spans="6:7">
      <c r="F106" s="21" t="s">
        <v>353</v>
      </c>
      <c r="G106" s="21" t="s">
        <v>274</v>
      </c>
    </row>
    <row r="107" spans="6:7">
      <c r="F107" s="21" t="s">
        <v>402</v>
      </c>
      <c r="G107" s="21" t="s">
        <v>392</v>
      </c>
    </row>
    <row r="108" spans="6:7">
      <c r="F108" s="21" t="s">
        <v>402</v>
      </c>
      <c r="G108" s="21" t="s">
        <v>392</v>
      </c>
    </row>
    <row r="109" spans="6:7">
      <c r="F109" s="21" t="s">
        <v>403</v>
      </c>
      <c r="G109" s="21" t="s">
        <v>354</v>
      </c>
    </row>
    <row r="110" spans="6:7">
      <c r="F110" s="21" t="s">
        <v>427</v>
      </c>
      <c r="G110" s="21" t="s">
        <v>423</v>
      </c>
    </row>
    <row r="111" spans="6:7">
      <c r="F111" s="21" t="s">
        <v>428</v>
      </c>
      <c r="G111" s="21" t="s">
        <v>422</v>
      </c>
    </row>
    <row r="112" spans="6:7">
      <c r="F112" s="21" t="s">
        <v>525</v>
      </c>
      <c r="G112" s="21" t="s">
        <v>524</v>
      </c>
    </row>
    <row r="113" spans="6:7">
      <c r="F113" s="21" t="s">
        <v>438</v>
      </c>
      <c r="G113" s="21" t="s">
        <v>434</v>
      </c>
    </row>
    <row r="114" spans="6:7">
      <c r="F114" s="21" t="s">
        <v>438</v>
      </c>
      <c r="G114" s="21" t="s">
        <v>434</v>
      </c>
    </row>
    <row r="115" spans="6:7">
      <c r="F115" s="21" t="s">
        <v>439</v>
      </c>
      <c r="G115" s="21" t="s">
        <v>434</v>
      </c>
    </row>
    <row r="116" spans="6:7">
      <c r="F116" s="21" t="s">
        <v>439</v>
      </c>
      <c r="G116" s="21" t="s">
        <v>434</v>
      </c>
    </row>
    <row r="117" spans="6:7">
      <c r="F117" s="21" t="s">
        <v>437</v>
      </c>
      <c r="G117" s="21" t="s">
        <v>433</v>
      </c>
    </row>
    <row r="118" spans="6:7">
      <c r="F118" s="21" t="s">
        <v>437</v>
      </c>
      <c r="G118" s="21" t="s">
        <v>433</v>
      </c>
    </row>
    <row r="119" spans="6:7">
      <c r="F119" s="21" t="s">
        <v>430</v>
      </c>
      <c r="G119" s="21" t="s">
        <v>416</v>
      </c>
    </row>
    <row r="120" spans="6:7">
      <c r="F120" s="21" t="s">
        <v>430</v>
      </c>
      <c r="G120" s="21" t="s">
        <v>416</v>
      </c>
    </row>
    <row r="121" spans="6:7">
      <c r="F121" s="21" t="s">
        <v>440</v>
      </c>
      <c r="G121" s="21" t="s">
        <v>416</v>
      </c>
    </row>
    <row r="122" spans="6:7">
      <c r="F122" s="21" t="s">
        <v>440</v>
      </c>
      <c r="G122" s="21" t="s">
        <v>416</v>
      </c>
    </row>
    <row r="123" spans="6:7">
      <c r="F123" s="21" t="s">
        <v>432</v>
      </c>
      <c r="G123" s="21" t="s">
        <v>436</v>
      </c>
    </row>
    <row r="124" spans="6:7">
      <c r="F124" s="21" t="s">
        <v>448</v>
      </c>
      <c r="G124" s="21" t="s">
        <v>416</v>
      </c>
    </row>
    <row r="125" spans="6:7">
      <c r="F125" s="21" t="s">
        <v>448</v>
      </c>
      <c r="G125" s="21" t="s">
        <v>416</v>
      </c>
    </row>
    <row r="126" spans="6:7">
      <c r="F126" s="21" t="s">
        <v>527</v>
      </c>
      <c r="G126" s="21" t="s">
        <v>522</v>
      </c>
    </row>
    <row r="127" spans="6:7">
      <c r="F127" s="21" t="s">
        <v>534</v>
      </c>
      <c r="G127" s="21" t="s">
        <v>522</v>
      </c>
    </row>
    <row r="128" spans="6:7">
      <c r="F128" s="21" t="s">
        <v>533</v>
      </c>
      <c r="G128" s="21" t="s">
        <v>523</v>
      </c>
    </row>
    <row r="129" spans="6:7">
      <c r="F129" s="21" t="s">
        <v>535</v>
      </c>
      <c r="G129" s="21" t="s">
        <v>521</v>
      </c>
    </row>
    <row r="130" spans="6:7">
      <c r="F130" s="21" t="s">
        <v>531</v>
      </c>
      <c r="G130" s="21" t="s">
        <v>433</v>
      </c>
    </row>
    <row r="131" spans="6:7">
      <c r="F131" s="21" t="s">
        <v>532</v>
      </c>
      <c r="G131" s="21" t="s">
        <v>433</v>
      </c>
    </row>
    <row r="132" spans="6:7">
      <c r="F132" s="21" t="s">
        <v>529</v>
      </c>
      <c r="G132" s="21" t="s">
        <v>414</v>
      </c>
    </row>
    <row r="133" spans="6:7">
      <c r="F133" s="21" t="s">
        <v>530</v>
      </c>
      <c r="G133" s="21" t="s">
        <v>528</v>
      </c>
    </row>
    <row r="134" spans="6:7">
      <c r="F134" s="21" t="s">
        <v>537</v>
      </c>
      <c r="G134" s="21" t="s">
        <v>522</v>
      </c>
    </row>
    <row r="135" spans="6:7">
      <c r="F135" s="21" t="s">
        <v>538</v>
      </c>
      <c r="G135" s="21" t="s">
        <v>522</v>
      </c>
    </row>
    <row r="136" spans="6:7">
      <c r="F136" s="21" t="s">
        <v>536</v>
      </c>
      <c r="G136" s="21" t="s">
        <v>523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1001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6">
        <f>C45/C41*D41</f>
        <v>13303769.401330376</v>
      </c>
    </row>
    <row r="50" spans="1:10">
      <c r="I50" s="92" t="e" cm="1">
        <f t="array" aca="1" ref="I50" ca="1">_xll.BDP("cny Curncy","LAST_PRICE")</f>
        <v>#NAME?</v>
      </c>
    </row>
    <row r="51" spans="1:10">
      <c r="F51" s="79" t="s">
        <v>992</v>
      </c>
      <c r="G51" s="79" t="s">
        <v>993</v>
      </c>
      <c r="H51" s="79" t="str">
        <f>F51</f>
        <v>YEST</v>
      </c>
      <c r="I51" s="79" t="str">
        <f>G51</f>
        <v>TODAY</v>
      </c>
      <c r="J51" t="s">
        <v>966</v>
      </c>
    </row>
    <row r="52" spans="1:10">
      <c r="A52" s="358" t="s">
        <v>596</v>
      </c>
      <c r="B52" s="359">
        <v>46101</v>
      </c>
      <c r="C52" s="358">
        <v>276451</v>
      </c>
      <c r="D52" s="358" t="s">
        <v>598</v>
      </c>
      <c r="E52" s="358" t="s">
        <v>809</v>
      </c>
      <c r="F52" s="364">
        <f>Precificação!N2</f>
        <v>8.6999999999999993</v>
      </c>
      <c r="G52" s="205">
        <v>10.45</v>
      </c>
      <c r="H52" s="196" t="e">
        <f ca="1">$C52*F52/$I$50</f>
        <v>#NAME?</v>
      </c>
      <c r="I52" s="196" t="e">
        <f ca="1">$C52*G52/$I$50</f>
        <v>#NAME?</v>
      </c>
      <c r="J52" s="196" t="e">
        <f ca="1">I52-H52</f>
        <v>#NAME?</v>
      </c>
    </row>
    <row r="53" spans="1:10">
      <c r="A53" s="358" t="s">
        <v>596</v>
      </c>
      <c r="B53" s="359">
        <v>46101</v>
      </c>
      <c r="C53" s="358">
        <v>276451</v>
      </c>
      <c r="D53" s="358" t="s">
        <v>598</v>
      </c>
      <c r="E53" s="358" t="s">
        <v>810</v>
      </c>
      <c r="F53" s="364">
        <f>Precificação!N3</f>
        <v>1.05</v>
      </c>
      <c r="G53" s="205">
        <v>2.35</v>
      </c>
      <c r="H53" s="196" t="e">
        <f ca="1">$C53*F53/$I$50</f>
        <v>#NAME?</v>
      </c>
      <c r="I53" s="196" t="e">
        <f ca="1">$C53*G53/$I$50</f>
        <v>#NAME?</v>
      </c>
      <c r="J53" s="196" t="e">
        <f ca="1">I53-H53</f>
        <v>#NAME?</v>
      </c>
    </row>
    <row r="54" spans="1:10">
      <c r="E54" s="205">
        <f>E53-E52</f>
        <v>15</v>
      </c>
      <c r="F54" s="205">
        <f>F52-F53</f>
        <v>7.6499999999999995</v>
      </c>
      <c r="G54" s="205">
        <f>G52-G53</f>
        <v>8.1</v>
      </c>
      <c r="H54" s="334" t="e">
        <f ca="1">H52-H53</f>
        <v>#NAME?</v>
      </c>
      <c r="I54" s="334" t="e">
        <f ca="1">I52-I53</f>
        <v>#NAME?</v>
      </c>
      <c r="J54" s="334" t="e">
        <f ca="1">J52-J53</f>
        <v>#NAME?</v>
      </c>
    </row>
    <row r="55" spans="1:10">
      <c r="I55" t="s">
        <v>967</v>
      </c>
      <c r="J55" s="205" t="e">
        <f ca="1">J54/'Master P&amp;L'!AD7*10000</f>
        <v>#NAME?</v>
      </c>
    </row>
    <row r="58" spans="1:10">
      <c r="B58" s="5"/>
      <c r="D58" s="5"/>
    </row>
    <row r="61" spans="1:10">
      <c r="B61" t="s">
        <v>1002</v>
      </c>
    </row>
    <row r="62" spans="1:10">
      <c r="C62" t="s">
        <v>152</v>
      </c>
      <c r="D62" t="s">
        <v>153</v>
      </c>
    </row>
    <row r="63" spans="1:10">
      <c r="B63" t="s">
        <v>1004</v>
      </c>
      <c r="C63">
        <v>99.21</v>
      </c>
      <c r="D63">
        <v>99.06</v>
      </c>
    </row>
    <row r="64" spans="1:10">
      <c r="B64" t="s">
        <v>1006</v>
      </c>
      <c r="C64" s="42">
        <v>0.05</v>
      </c>
      <c r="D64" s="42">
        <v>4.9799999999999997E-2</v>
      </c>
    </row>
    <row r="65" spans="2:6">
      <c r="B65" t="s">
        <v>1005</v>
      </c>
      <c r="C65" s="42">
        <v>4.2299999999999997E-2</v>
      </c>
      <c r="D65" s="42">
        <v>4.2299999999999997E-2</v>
      </c>
    </row>
    <row r="66" spans="2:6">
      <c r="B66" t="s">
        <v>1003</v>
      </c>
      <c r="C66">
        <v>77</v>
      </c>
      <c r="D66">
        <v>75</v>
      </c>
    </row>
    <row r="67" spans="2:6">
      <c r="B67" t="s">
        <v>1012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1007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967</v>
      </c>
    </row>
    <row r="72" spans="2:6">
      <c r="B72" t="s">
        <v>1003</v>
      </c>
      <c r="C72" s="196">
        <f>(D72-$C$66)*$C$71</f>
        <v>-53410</v>
      </c>
      <c r="D72">
        <v>70</v>
      </c>
      <c r="E72" t="s">
        <v>1010</v>
      </c>
      <c r="F72" s="205">
        <f>C72/'Master P&amp;L'!$AD$7*10000</f>
        <v>-0.21157834195942643</v>
      </c>
    </row>
    <row r="73" spans="2:6">
      <c r="B73" t="s">
        <v>1003</v>
      </c>
      <c r="C73" s="196">
        <f>(D73-$C$66)*$C$71</f>
        <v>61040</v>
      </c>
      <c r="D73">
        <v>85</v>
      </c>
      <c r="E73" t="s">
        <v>1011</v>
      </c>
      <c r="F73" s="205">
        <f>C73/'Master P&amp;L'!$AD$7*10000</f>
        <v>0.24180381938220166</v>
      </c>
    </row>
    <row r="76" spans="2:6">
      <c r="B76" t="s">
        <v>1008</v>
      </c>
    </row>
    <row r="77" spans="2:6">
      <c r="B77" t="s">
        <v>1009</v>
      </c>
    </row>
  </sheetData>
  <conditionalFormatting sqref="F52:F53">
    <cfRule type="cellIs" dxfId="41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344</v>
      </c>
      <c r="B1" s="256" t="s">
        <v>239</v>
      </c>
      <c r="C1" s="256" t="s">
        <v>345</v>
      </c>
      <c r="D1" s="256" t="s">
        <v>118</v>
      </c>
      <c r="E1" s="256" t="s">
        <v>96</v>
      </c>
      <c r="F1" s="256" t="s">
        <v>315</v>
      </c>
      <c r="G1" t="s">
        <v>362</v>
      </c>
      <c r="R1" t="s">
        <v>350</v>
      </c>
      <c r="S1" t="s">
        <v>360</v>
      </c>
      <c r="T1" t="s">
        <v>361</v>
      </c>
      <c r="U1" t="s">
        <v>370</v>
      </c>
      <c r="V1" t="s">
        <v>351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407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IF(R2="","",IF(LEN(R2)&gt;9,SUMIFS(Options!$AZ$3:$AZ$28,Options!$B$3:$B$28,'Check result'!R2),SUMIFS('Master P&amp;L'!$AE$11:$AE$88,'Master P&amp;L'!$B$11:$B$88,'Check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499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IF(R3="","",IF(LEN(R3)&gt;9,SUMIFS(Options!$AZ$3:$AZ$28,Options!$B$3:$B$28,'Check result'!R3),SUMIFS('Master P&amp;L'!$AE$11:$AE$88,'Master P&amp;L'!$B$11:$B$88,'Check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475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IF(R4="","",IF(LEN(R4)&gt;9,SUMIFS(Options!$AZ$3:$AZ$28,Options!$B$3:$B$28,'Check result'!R4),SUMIFS('Master P&amp;L'!$AE$11:$AE$88,'Master P&amp;L'!$B$11:$B$88,'Check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411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IF(R5="","",IF(LEN(R5)&gt;9,SUMIFS(Options!$AZ$3:$AZ$28,Options!$B$3:$B$28,'Check result'!R5),SUMIFS('Master P&amp;L'!$AE$11:$AE$88,'Master P&amp;L'!$B$11:$B$88,'Check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358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IF(R6="","",IF(LEN(R6)&gt;9,SUMIFS(Options!$AZ$3:$AZ$28,Options!$B$3:$B$28,'Check result'!R6),SUMIFS('Master P&amp;L'!$AE$11:$AE$88,'Master P&amp;L'!$B$11:$B$88,'Check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397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IF(R7="","",IF(LEN(R7)&gt;9,SUMIFS(Options!$AZ$3:$AZ$28,Options!$B$3:$B$28,'Check result'!R7),SUMIFS('Master P&amp;L'!$AE$11:$AE$88,'Master P&amp;L'!$B$11:$B$88,'Check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IF(R8="","",IF(LEN(R8)&gt;9,SUMIFS(Options!$AZ$3:$AZ$28,Options!$B$3:$B$28,'Check result'!R8),SUMIFS('Master P&amp;L'!$AE$11:$AE$88,'Master P&amp;L'!$B$11:$B$88,'Check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412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IF(R9="","",IF(LEN(R9)&gt;9,SUMIFS(Options!$AZ$3:$AZ$28,Options!$B$3:$B$28,'Check result'!R9),SUMIFS('Master P&amp;L'!$AE$11:$AE$88,'Master P&amp;L'!$B$11:$B$88,'Check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501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IF(R10="","",IF(LEN(R10)&gt;9,SUMIFS(Options!$AZ$3:$AZ$28,Options!$B$3:$B$28,'Check result'!R10),SUMIFS('Master P&amp;L'!$AE$11:$AE$88,'Master P&amp;L'!$B$11:$B$88,'Check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384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IF(R11="","",IF(LEN(R11)&gt;9,SUMIFS(Options!$AZ$3:$AZ$28,Options!$B$3:$B$28,'Check result'!R11),SUMIFS('Master P&amp;L'!$AE$11:$AE$88,'Master P&amp;L'!$B$11:$B$88,'Check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IF(R12="","",IF(LEN(R12)&gt;9,SUMIFS(Options!$AZ$3:$AZ$28,Options!$B$3:$B$28,'Check result'!R12),SUMIFS('Master P&amp;L'!$AE$11:$AE$88,'Master P&amp;L'!$B$11:$B$88,'Check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399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IF(R13="","",IF(LEN(R13)&gt;9,SUMIFS(Options!$AZ$3:$AZ$28,Options!$B$3:$B$28,'Check result'!R13),SUMIFS('Master P&amp;L'!$AE$11:$AE$88,'Master P&amp;L'!$B$11:$B$88,'Check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459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IF(R14="","",IF(LEN(R14)&gt;9,SUMIFS(Options!$AZ$3:$AZ$28,Options!$B$3:$B$28,'Check result'!R14),SUMIFS('Master P&amp;L'!$AE$11:$AE$88,'Master P&amp;L'!$B$11:$B$88,'Check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487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IF(R15="","",IF(LEN(R15)&gt;9,SUMIFS(Options!$AZ$3:$AZ$28,Options!$B$3:$B$28,'Check result'!R15),SUMIFS('Master P&amp;L'!$AE$11:$AE$88,'Master P&amp;L'!$B$11:$B$88,'Check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483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IF(R16="","",IF(LEN(R16)&gt;9,SUMIFS(Options!$AZ$3:$AZ$28,Options!$B$3:$B$28,'Check result'!R16),SUMIFS('Master P&amp;L'!$AE$11:$AE$88,'Master P&amp;L'!$B$11:$B$88,'Check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IF(R17="","",IF(LEN(R17)&gt;9,SUMIFS(Options!$AZ$3:$AZ$28,Options!$B$3:$B$28,'Check result'!R17),SUMIFS('Master P&amp;L'!$AE$11:$AE$88,'Master P&amp;L'!$B$11:$B$88,'Check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395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IF(R18="","",IF(LEN(R18)&gt;9,SUMIFS(Options!$AZ$3:$AZ$28,Options!$B$3:$B$28,'Check result'!R18),SUMIFS('Master P&amp;L'!$AE$11:$AE$88,'Master P&amp;L'!$B$11:$B$88,'Check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IF(R19="","",IF(LEN(R19)&gt;9,SUMIFS(Options!$AZ$3:$AZ$28,Options!$B$3:$B$28,'Check result'!R19),SUMIFS('Master P&amp;L'!$AE$11:$AE$88,'Master P&amp;L'!$B$11:$B$88,'Check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408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IF(R20="","",IF(LEN(R20)&gt;9,SUMIFS(Options!$AZ$3:$AZ$28,Options!$B$3:$B$28,'Check result'!R20),SUMIFS('Master P&amp;L'!$AE$11:$AE$88,'Master P&amp;L'!$B$11:$B$88,'Check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410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IF(R21="","",IF(LEN(R21)&gt;9,SUMIFS(Options!$AZ$3:$AZ$28,Options!$B$3:$B$28,'Check result'!R21),SUMIFS('Master P&amp;L'!$AE$11:$AE$88,'Master P&amp;L'!$B$11:$B$88,'Check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493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IF(R22="","",IF(LEN(R22)&gt;9,SUMIFS(Options!$AZ$3:$AZ$28,Options!$B$3:$B$28,'Check result'!R22),SUMIFS('Master P&amp;L'!$AE$11:$AE$88,'Master P&amp;L'!$B$11:$B$88,'Check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368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IF(R23="","",IF(LEN(R23)&gt;9,SUMIFS(Options!$AZ$3:$AZ$28,Options!$B$3:$B$28,'Check result'!R23),SUMIFS('Master P&amp;L'!$AE$11:$AE$88,'Master P&amp;L'!$B$11:$B$88,'Check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IF(R24="","",IF(LEN(R24)&gt;9,SUMIFS(Options!$AZ$3:$AZ$28,Options!$B$3:$B$28,'Check result'!R24),SUMIFS('Master P&amp;L'!$AE$11:$AE$88,'Master P&amp;L'!$B$11:$B$88,'Check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485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IF(R25="","",IF(LEN(R25)&gt;9,SUMIFS(Options!$AZ$3:$AZ$28,Options!$B$3:$B$28,'Check result'!R25),SUMIFS('Master P&amp;L'!$AE$11:$AE$88,'Master P&amp;L'!$B$11:$B$88,'Check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IF(R26="","",IF(LEN(R26)&gt;9,SUMIFS(Options!$AZ$3:$AZ$28,Options!$B$3:$B$28,'Check result'!R26),SUMIFS('Master P&amp;L'!$AE$11:$AE$88,'Master P&amp;L'!$B$11:$B$88,'Check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497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IF(R27="","",IF(LEN(R27)&gt;9,SUMIFS(Options!$AZ$3:$AZ$28,Options!$B$3:$B$28,'Check result'!R27),SUMIFS('Master P&amp;L'!$AE$11:$AE$88,'Master P&amp;L'!$B$11:$B$88,'Check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484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IF(R28="","",IF(LEN(R28)&gt;9,SUMIFS(Options!$AZ$3:$AZ$28,Options!$B$3:$B$28,'Check result'!R28),SUMIFS('Master P&amp;L'!$AE$11:$AE$88,'Master P&amp;L'!$B$11:$B$88,'Check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443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IF(R29="","",IF(LEN(R29)&gt;9,SUMIFS(Options!$AZ$3:$AZ$28,Options!$B$3:$B$28,'Check result'!R29),SUMIFS('Master P&amp;L'!$AE$11:$AE$88,'Master P&amp;L'!$B$11:$B$88,'Check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504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IF(R30="","",IF(LEN(R30)&gt;9,SUMIFS(Options!$AZ$3:$AZ$28,Options!$B$3:$B$28,'Check result'!R30),SUMIFS('Master P&amp;L'!$AE$11:$AE$88,'Master P&amp;L'!$B$11:$B$88,'Check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413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IF(R31="","",IF(LEN(R31)&gt;9,SUMIFS(Options!$AZ$3:$AZ$28,Options!$B$3:$B$28,'Check result'!R31),SUMIFS('Master P&amp;L'!$AE$11:$AE$88,'Master P&amp;L'!$B$11:$B$88,'Check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460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IF(R32="","",IF(LEN(R32)&gt;9,SUMIFS(Options!$AZ$3:$AZ$28,Options!$B$3:$B$28,'Check result'!R32),SUMIFS('Master P&amp;L'!$AE$11:$AE$88,'Master P&amp;L'!$B$11:$B$88,'Check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IF(R33="","",IF(LEN(R33)&gt;9,SUMIFS(Options!$AZ$3:$AZ$28,Options!$B$3:$B$28,'Check result'!R33),SUMIFS('Master P&amp;L'!$AE$11:$AE$88,'Master P&amp;L'!$B$11:$B$88,'Check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450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IF(R34="","",IF(LEN(R34)&gt;9,SUMIFS(Options!$AZ$3:$AZ$28,Options!$B$3:$B$28,'Check result'!R34),SUMIFS('Master P&amp;L'!$AE$11:$AE$88,'Master P&amp;L'!$B$11:$B$88,'Check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IF(R35="","",IF(LEN(R35)&gt;9,SUMIFS(Options!$AZ$3:$AZ$28,Options!$B$3:$B$28,'Check result'!R35),SUMIFS('Master P&amp;L'!$AE$11:$AE$88,'Master P&amp;L'!$B$11:$B$88,'Check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IF(R36="","",IF(LEN(R36)&gt;9,SUMIFS(Options!$AZ$3:$AZ$28,Options!$B$3:$B$28,'Check result'!R36),SUMIFS('Master P&amp;L'!$AE$11:$AE$88,'Master P&amp;L'!$B$11:$B$88,'Check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495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IF(R37="","",IF(LEN(R37)&gt;9,SUMIFS(Options!$AZ$3:$AZ$28,Options!$B$3:$B$28,'Check result'!R37),SUMIFS('Master P&amp;L'!$AE$11:$AE$88,'Master P&amp;L'!$B$11:$B$88,'Check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490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IF(R38="","",IF(LEN(R38)&gt;9,SUMIFS(Options!$AZ$3:$AZ$28,Options!$B$3:$B$28,'Check result'!R38),SUMIFS('Master P&amp;L'!$AE$11:$AE$88,'Master P&amp;L'!$B$11:$B$88,'Check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488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IF(R39="","",IF(LEN(R39)&gt;9,SUMIFS(Options!$AZ$3:$AZ$28,Options!$B$3:$B$28,'Check result'!R39),SUMIFS('Master P&amp;L'!$AE$11:$AE$88,'Master P&amp;L'!$B$11:$B$88,'Check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390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IF(R40="","",IF(LEN(R40)&gt;9,SUMIFS(Options!$AZ$3:$AZ$28,Options!$B$3:$B$28,'Check result'!R40),SUMIFS('Master P&amp;L'!$AE$11:$AE$88,'Master P&amp;L'!$B$11:$B$88,'Check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IF(R41="","",IF(LEN(R41)&gt;9,SUMIFS(Options!$AZ$3:$AZ$28,Options!$B$3:$B$28,'Check result'!R41),SUMIFS('Master P&amp;L'!$AE$11:$AE$88,'Master P&amp;L'!$B$11:$B$88,'Check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357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IF(R42="","",IF(LEN(R42)&gt;9,SUMIFS(Options!$AZ$3:$AZ$28,Options!$B$3:$B$28,'Check result'!R42),SUMIFS('Master P&amp;L'!$AE$11:$AE$88,'Master P&amp;L'!$B$11:$B$88,'Check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IF(R43="","",IF(LEN(R43)&gt;9,SUMIFS(Options!$AZ$3:$AZ$28,Options!$B$3:$B$28,'Check result'!R43),SUMIFS('Master P&amp;L'!$AE$11:$AE$88,'Master P&amp;L'!$B$11:$B$88,'Check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IF(R44="","",IF(LEN(R44)&gt;9,SUMIFS(Options!$AZ$3:$AZ$28,Options!$B$3:$B$28,'Check result'!R44),SUMIFS('Master P&amp;L'!$AE$11:$AE$88,'Master P&amp;L'!$B$11:$B$88,'Check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363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IF(R45="","",IF(LEN(R45)&gt;9,SUMIFS(Options!$AZ$3:$AZ$28,Options!$B$3:$B$28,'Check result'!R45),SUMIFS('Master P&amp;L'!$AE$11:$AE$88,'Master P&amp;L'!$B$11:$B$88,'Check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467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IF(R46="","",IF(LEN(R46)&gt;9,SUMIFS(Options!$AZ$3:$AZ$28,Options!$B$3:$B$28,'Check result'!R46),SUMIFS('Master P&amp;L'!$AE$11:$AE$88,'Master P&amp;L'!$B$11:$B$88,'Check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367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IF(R47="","",IF(LEN(R47)&gt;9,SUMIFS(Options!$AZ$3:$AZ$28,Options!$B$3:$B$28,'Check result'!R47),SUMIFS('Master P&amp;L'!$AE$11:$AE$88,'Master P&amp;L'!$B$11:$B$88,'Check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IF(R48="","",IF(LEN(R48)&gt;9,SUMIFS(Options!$AZ$3:$AZ$28,Options!$B$3:$B$28,'Check result'!R48),SUMIFS('Master P&amp;L'!$AE$11:$AE$88,'Master P&amp;L'!$B$11:$B$88,'Check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385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IF(R49="","",IF(LEN(R49)&gt;9,SUMIFS(Options!$AZ$3:$AZ$28,Options!$B$3:$B$28,'Check result'!R49),SUMIFS('Master P&amp;L'!$AE$11:$AE$88,'Master P&amp;L'!$B$11:$B$88,'Check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IF(R50="","",IF(LEN(R50)&gt;9,SUMIFS(Options!$AZ$3:$AZ$28,Options!$B$3:$B$28,'Check result'!R50),SUMIFS('Master P&amp;L'!$AE$11:$AE$88,'Master P&amp;L'!$B$11:$B$88,'Check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342</v>
      </c>
      <c r="D51" s="258" t="s">
        <v>403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IF(R51="","",IF(LEN(R51)&gt;9,SUMIFS(Options!$AZ$3:$AZ$28,Options!$B$3:$B$28,'Check result'!R51),SUMIFS('Master P&amp;L'!$AE$11:$AE$88,'Master P&amp;L'!$B$11:$B$88,'Check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IF(R52="","",IF(LEN(R52)&gt;9,SUMIFS(Options!$AZ$3:$AZ$28,Options!$B$3:$B$28,'Check result'!R52),SUMIFS('Master P&amp;L'!$AE$11:$AE$88,'Master P&amp;L'!$B$11:$B$88,'Check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IF(R53="","",IF(LEN(R53)&gt;9,SUMIFS(Options!$AZ$3:$AZ$28,Options!$B$3:$B$28,'Check result'!R53),SUMIFS('Master P&amp;L'!$AE$11:$AE$88,'Master P&amp;L'!$B$11:$B$88,'Check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476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IF(R54="","",IF(LEN(R54)&gt;9,SUMIFS(Options!$AZ$3:$AZ$28,Options!$B$3:$B$28,'Check result'!R54),SUMIFS('Master P&amp;L'!$AE$11:$AE$88,'Master P&amp;L'!$B$11:$B$88,'Check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387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IF(R55="","",IF(LEN(R55)&gt;9,SUMIFS(Options!$AZ$3:$AZ$28,Options!$B$3:$B$28,'Check result'!R55),SUMIFS('Master P&amp;L'!$AE$11:$AE$88,'Master P&amp;L'!$B$11:$B$88,'Check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IF(R56="","",IF(LEN(R56)&gt;9,SUMIFS(Options!$AZ$3:$AZ$28,Options!$B$3:$B$28,'Check result'!R56),SUMIFS('Master P&amp;L'!$AE$11:$AE$88,'Master P&amp;L'!$B$11:$B$88,'Check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505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IF(R57="","",IF(LEN(R57)&gt;9,SUMIFS(Options!$AZ$3:$AZ$28,Options!$B$3:$B$28,'Check result'!R57),SUMIFS('Master P&amp;L'!$AE$11:$AE$88,'Master P&amp;L'!$B$11:$B$88,'Check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400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IF(R58="","",IF(LEN(R58)&gt;9,SUMIFS(Options!$AZ$3:$AZ$28,Options!$B$3:$B$28,'Check result'!R58),SUMIFS('Master P&amp;L'!$AE$11:$AE$88,'Master P&amp;L'!$B$11:$B$88,'Check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479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IF(R59="","",IF(LEN(R59)&gt;9,SUMIFS(Options!$AZ$3:$AZ$28,Options!$B$3:$B$28,'Check result'!R59),SUMIFS('Master P&amp;L'!$AE$11:$AE$88,'Master P&amp;L'!$B$11:$B$88,'Check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375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IF(R60="","",IF(LEN(R60)&gt;9,SUMIFS(Options!$AZ$3:$AZ$28,Options!$B$3:$B$28,'Check result'!R60),SUMIFS('Master P&amp;L'!$AE$11:$AE$88,'Master P&amp;L'!$B$11:$B$88,'Check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IF(R61="","",IF(LEN(R61)&gt;9,SUMIFS(Options!$AZ$3:$AZ$28,Options!$B$3:$B$28,'Check result'!R61),SUMIFS('Master P&amp;L'!$AE$11:$AE$88,'Master P&amp;L'!$B$11:$B$88,'Check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444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IF(R62="","",IF(LEN(R62)&gt;9,SUMIFS(Options!$AZ$3:$AZ$28,Options!$B$3:$B$28,'Check result'!R62),SUMIFS('Master P&amp;L'!$AE$11:$AE$88,'Master P&amp;L'!$B$11:$B$88,'Check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366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IF(R63="","",IF(LEN(R63)&gt;9,SUMIFS(Options!$AZ$3:$AZ$28,Options!$B$3:$B$28,'Check result'!R63),SUMIFS('Master P&amp;L'!$AE$11:$AE$88,'Master P&amp;L'!$B$11:$B$88,'Check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381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IF(R64="","",IF(LEN(R64)&gt;9,SUMIFS(Options!$AZ$3:$AZ$28,Options!$B$3:$B$28,'Check result'!R64),SUMIFS('Master P&amp;L'!$AE$11:$AE$88,'Master P&amp;L'!$B$11:$B$88,'Check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405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IF(R65="","",IF(LEN(R65)&gt;9,SUMIFS(Options!$AZ$3:$AZ$28,Options!$B$3:$B$28,'Check result'!R65),SUMIFS('Master P&amp;L'!$AE$11:$AE$88,'Master P&amp;L'!$B$11:$B$88,'Check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417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IF(R66="","",IF(LEN(R66)&gt;9,SUMIFS(Options!$AZ$3:$AZ$28,Options!$B$3:$B$28,'Check result'!R66),SUMIFS('Master P&amp;L'!$AE$11:$AE$88,'Master P&amp;L'!$B$11:$B$88,'Check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445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IF(R67="","",IF(LEN(R67)&gt;9,SUMIFS(Options!$AZ$3:$AZ$28,Options!$B$3:$B$28,'Check result'!R67),SUMIFS('Master P&amp;L'!$AE$11:$AE$88,'Master P&amp;L'!$B$11:$B$88,'Check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IF(R68="","",IF(LEN(R68)&gt;9,SUMIFS(Options!$AZ$3:$AZ$28,Options!$B$3:$B$28,'Check result'!R68),SUMIFS('Master P&amp;L'!$AE$11:$AE$88,'Master P&amp;L'!$B$11:$B$88,'Check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464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IF(R69="","",IF(LEN(R69)&gt;9,SUMIFS(Options!$AZ$3:$AZ$28,Options!$B$3:$B$28,'Check result'!R69),SUMIFS('Master P&amp;L'!$AE$11:$AE$88,'Master P&amp;L'!$B$11:$B$88,'Check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469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IF(R70="","",IF(LEN(R70)&gt;9,SUMIFS(Options!$AZ$3:$AZ$28,Options!$B$3:$B$28,'Check result'!R70),SUMIFS('Master P&amp;L'!$AE$11:$AE$88,'Master P&amp;L'!$B$11:$B$88,'Check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472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IF(R71="","",IF(LEN(R71)&gt;9,SUMIFS(Options!$AZ$3:$AZ$28,Options!$B$3:$B$28,'Check result'!R71),SUMIFS('Master P&amp;L'!$AE$11:$AE$88,'Master P&amp;L'!$B$11:$B$88,'Check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424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IF(R72="","",IF(LEN(R72)&gt;9,SUMIFS(Options!$AZ$3:$AZ$28,Options!$B$3:$B$28,'Check result'!R72),SUMIFS('Master P&amp;L'!$AE$11:$AE$88,'Master P&amp;L'!$B$11:$B$88,'Check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420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IF(R73="","",IF(LEN(R73)&gt;9,SUMIFS(Options!$AZ$3:$AZ$28,Options!$B$3:$B$28,'Check result'!R73),SUMIFS('Master P&amp;L'!$AE$11:$AE$88,'Master P&amp;L'!$B$11:$B$88,'Check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466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IF(R74="","",IF(LEN(R74)&gt;9,SUMIFS(Options!$AZ$3:$AZ$28,Options!$B$3:$B$28,'Check result'!R74),SUMIFS('Master P&amp;L'!$AE$11:$AE$88,'Master P&amp;L'!$B$11:$B$88,'Check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506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IF(R75="","",IF(LEN(R75)&gt;9,SUMIFS(Options!$AZ$3:$AZ$28,Options!$B$3:$B$28,'Check result'!R75),SUMIFS('Master P&amp;L'!$AE$11:$AE$88,'Master P&amp;L'!$B$11:$B$88,'Check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461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IF(R76="","",IF(LEN(R76)&gt;9,SUMIFS(Options!$AZ$3:$AZ$28,Options!$B$3:$B$28,'Check result'!R76),SUMIFS('Master P&amp;L'!$AE$11:$AE$88,'Master P&amp;L'!$B$11:$B$88,'Check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455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IF(R77="","",IF(LEN(R77)&gt;9,SUMIFS(Options!$AZ$3:$AZ$28,Options!$B$3:$B$28,'Check result'!R77),SUMIFS('Master P&amp;L'!$AE$11:$AE$88,'Master P&amp;L'!$B$11:$B$88,'Check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380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IF(R78="","",IF(LEN(R78)&gt;9,SUMIFS(Options!$AZ$3:$AZ$28,Options!$B$3:$B$28,'Check result'!R78),SUMIFS('Master P&amp;L'!$AE$11:$AE$88,'Master P&amp;L'!$B$11:$B$88,'Check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IF(R79="","",IF(LEN(R79)&gt;9,SUMIFS(Options!$AZ$3:$AZ$28,Options!$B$3:$B$28,'Check result'!R79),SUMIFS('Master P&amp;L'!$AE$11:$AE$88,'Master P&amp;L'!$B$11:$B$88,'Check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393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IF(R80="","",IF(LEN(R80)&gt;9,SUMIFS(Options!$AZ$3:$AZ$28,Options!$B$3:$B$28,'Check result'!R80),SUMIFS('Master P&amp;L'!$AE$11:$AE$88,'Master P&amp;L'!$B$11:$B$88,'Check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IF(R81="","",IF(LEN(R81)&gt;9,SUMIFS(Options!$AZ$3:$AZ$28,Options!$B$3:$B$28,'Check result'!R81),SUMIFS('Master P&amp;L'!$AE$11:$AE$88,'Master P&amp;L'!$B$11:$B$88,'Check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491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IF(R82="","",IF(LEN(R82)&gt;9,SUMIFS(Options!$AZ$3:$AZ$28,Options!$B$3:$B$28,'Check result'!R82),SUMIFS('Master P&amp;L'!$AE$11:$AE$88,'Master P&amp;L'!$B$11:$B$88,'Check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449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IF(R83="","",IF(LEN(R83)&gt;9,SUMIFS(Options!$AZ$3:$AZ$28,Options!$B$3:$B$28,'Check result'!R83),SUMIFS('Master P&amp;L'!$AE$11:$AE$88,'Master P&amp;L'!$B$11:$B$88,'Check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429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IF(R84="","",IF(LEN(R84)&gt;9,SUMIFS(Options!$AZ$3:$AZ$28,Options!$B$3:$B$28,'Check result'!R84),SUMIFS('Master P&amp;L'!$AE$11:$AE$88,'Master P&amp;L'!$B$11:$B$88,'Check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431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IF(R85="","",IF(LEN(R85)&gt;9,SUMIFS(Options!$AZ$3:$AZ$28,Options!$B$3:$B$28,'Check result'!R85),SUMIFS('Master P&amp;L'!$AE$11:$AE$88,'Master P&amp;L'!$B$11:$B$88,'Check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502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IF(R86="","",IF(LEN(R86)&gt;9,SUMIFS(Options!$AZ$3:$AZ$28,Options!$B$3:$B$28,'Check result'!R86),SUMIFS('Master P&amp;L'!$AE$11:$AE$88,'Master P&amp;L'!$B$11:$B$88,'Check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IF(R87="","",IF(LEN(R87)&gt;9,SUMIFS(Options!$AZ$3:$AZ$28,Options!$B$3:$B$28,'Check result'!R87),SUMIFS('Master P&amp;L'!$AE$11:$AE$88,'Master P&amp;L'!$B$11:$B$88,'Check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507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IF(R88="","",IF(LEN(R88)&gt;9,SUMIFS(Options!$AZ$3:$AZ$28,Options!$B$3:$B$28,'Check result'!R88),SUMIFS('Master P&amp;L'!$AE$11:$AE$88,'Master P&amp;L'!$B$11:$B$88,'Check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IF(R89="","",IF(LEN(R89)&gt;9,SUMIFS(Options!$AZ$3:$AZ$28,Options!$B$3:$B$28,'Check result'!R89),SUMIFS('Master P&amp;L'!$AE$11:$AE$88,'Master P&amp;L'!$B$11:$B$88,'Check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447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IF(R90="","",IF(LEN(R90)&gt;9,SUMIFS(Options!$AZ$3:$AZ$28,Options!$B$3:$B$28,'Check result'!R90),SUMIFS('Master P&amp;L'!$AE$11:$AE$88,'Master P&amp;L'!$B$11:$B$88,'Check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IF(R91="","",IF(LEN(R91)&gt;9,SUMIFS(Options!$AZ$3:$AZ$28,Options!$B$3:$B$28,'Check result'!R91),SUMIFS('Master P&amp;L'!$AE$11:$AE$88,'Master P&amp;L'!$B$11:$B$88,'Check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IF(R92="","",IF(LEN(R92)&gt;9,SUMIFS(Options!$AZ$3:$AZ$28,Options!$B$3:$B$28,'Check result'!R92),SUMIFS('Master P&amp;L'!$AE$11:$AE$88,'Master P&amp;L'!$B$11:$B$88,'Check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346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IF(R93="","",IF(LEN(R93)&gt;9,SUMIFS(Options!$AZ$3:$AZ$28,Options!$B$3:$B$28,'Check result'!R93),SUMIFS('Master P&amp;L'!$AE$11:$AE$88,'Master P&amp;L'!$B$11:$B$88,'Check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470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IF(R94="","",IF(LEN(R94)&gt;9,SUMIFS(Options!$AZ$3:$AZ$28,Options!$B$3:$B$28,'Check result'!R94),SUMIFS('Master P&amp;L'!$AE$11:$AE$88,'Master P&amp;L'!$B$11:$B$88,'Check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IF(R95="","",IF(LEN(R95)&gt;9,SUMIFS(Options!$AZ$3:$AZ$28,Options!$B$3:$B$28,'Check result'!R95),SUMIFS('Master P&amp;L'!$AE$11:$AE$88,'Master P&amp;L'!$B$11:$B$88,'Check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IF(R96="","",IF(LEN(R96)&gt;9,SUMIFS(Options!$AZ$3:$AZ$28,Options!$B$3:$B$28,'Check result'!R96),SUMIFS('Master P&amp;L'!$AE$11:$AE$88,'Master P&amp;L'!$B$11:$B$88,'Check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347</v>
      </c>
      <c r="C97" s="258" t="s">
        <v>348</v>
      </c>
      <c r="D97" s="258" t="s">
        <v>349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IF(R97="","",IF(LEN(R97)&gt;9,SUMIFS(Options!$AZ$3:$AZ$28,Options!$B$3:$B$28,'Check result'!R97),SUMIFS('Master P&amp;L'!$AE$11:$AE$88,'Master P&amp;L'!$B$11:$B$88,'Check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IF(R98="","",IF(LEN(R98)&gt;9,SUMIFS(Options!$AZ$3:$AZ$28,Options!$B$3:$B$28,'Check result'!R98),SUMIFS('Master P&amp;L'!$AE$11:$AE$88,'Master P&amp;L'!$B$11:$B$88,'Check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IF(R99="","",IF(LEN(R99)&gt;9,SUMIFS(Options!$AZ$3:$AZ$28,Options!$B$3:$B$28,'Check result'!R99),SUMIFS('Master P&amp;L'!$AE$11:$AE$88,'Master P&amp;L'!$B$11:$B$88,'Check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IF(R100="","",IF(LEN(R100)&gt;9,SUMIFS(Options!$AZ$3:$AZ$28,Options!$B$3:$B$28,'Check result'!R100),SUMIFS('Master P&amp;L'!$AE$11:$AE$88,'Master P&amp;L'!$B$11:$B$88,'Check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492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IF(R101="","",IF(LEN(R101)&gt;9,SUMIFS(Options!$AZ$3:$AZ$28,Options!$B$3:$B$28,'Check result'!R101),SUMIFS('Master P&amp;L'!$AE$11:$AE$88,'Master P&amp;L'!$B$11:$B$88,'Check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456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IF(R102="","",IF(LEN(R102)&gt;9,SUMIFS(Options!$AZ$3:$AZ$28,Options!$B$3:$B$28,'Check result'!R102),SUMIFS('Master P&amp;L'!$AE$11:$AE$88,'Master P&amp;L'!$B$11:$B$88,'Check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IF(R103="","",IF(LEN(R103)&gt;9,SUMIFS(Options!$AZ$3:$AZ$28,Options!$B$3:$B$28,'Check result'!R103),SUMIFS('Master P&amp;L'!$AE$11:$AE$88,'Master P&amp;L'!$B$11:$B$88,'Check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462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IF(R104="","",IF(LEN(R104)&gt;9,SUMIFS(Options!$AZ$3:$AZ$28,Options!$B$3:$B$28,'Check result'!R104),SUMIFS('Master P&amp;L'!$AE$11:$AE$88,'Master P&amp;L'!$B$11:$B$88,'Check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IF(R105="","",IF(LEN(R105)&gt;9,SUMIFS(Options!$AZ$3:$AZ$28,Options!$B$3:$B$28,'Check result'!R105),SUMIFS('Master P&amp;L'!$AE$11:$AE$88,'Master P&amp;L'!$B$11:$B$88,'Check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480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IF(R106="","",IF(LEN(R106)&gt;9,SUMIFS(Options!$AZ$3:$AZ$28,Options!$B$3:$B$28,'Check result'!R106),SUMIFS('Master P&amp;L'!$AE$11:$AE$88,'Master P&amp;L'!$B$11:$B$88,'Check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IF(R107="","",IF(LEN(R107)&gt;9,SUMIFS(Options!$AZ$3:$AZ$28,Options!$B$3:$B$28,'Check result'!R107),SUMIFS('Master P&amp;L'!$AE$11:$AE$88,'Master P&amp;L'!$B$11:$B$88,'Check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404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IF(R108="","",IF(LEN(R108)&gt;9,SUMIFS(Options!$AZ$3:$AZ$28,Options!$B$3:$B$28,'Check result'!R108),SUMIFS('Master P&amp;L'!$AE$11:$AE$88,'Master P&amp;L'!$B$11:$B$88,'Check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369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IF(R109="","",IF(LEN(R109)&gt;9,SUMIFS(Options!$AZ$3:$AZ$28,Options!$B$3:$B$28,'Check result'!R109),SUMIFS('Master P&amp;L'!$AE$11:$AE$88,'Master P&amp;L'!$B$11:$B$88,'Check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401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IF(R110="","",IF(LEN(R110)&gt;9,SUMIFS(Options!$AZ$3:$AZ$28,Options!$B$3:$B$28,'Check result'!R110),SUMIFS('Master P&amp;L'!$AE$11:$AE$88,'Master P&amp;L'!$B$11:$B$88,'Check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388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IF(R111="","",IF(LEN(R111)&gt;9,SUMIFS(Options!$AZ$3:$AZ$28,Options!$B$3:$B$28,'Check result'!R111),SUMIFS('Master P&amp;L'!$AE$11:$AE$88,'Master P&amp;L'!$B$11:$B$88,'Check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418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IF(R112="","",IF(LEN(R112)&gt;9,SUMIFS(Options!$AZ$3:$AZ$28,Options!$B$3:$B$28,'Check result'!R112),SUMIFS('Master P&amp;L'!$AE$11:$AE$88,'Master P&amp;L'!$B$11:$B$88,'Check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463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IF(R113="","",IF(LEN(R113)&gt;9,SUMIFS(Options!$AZ$3:$AZ$28,Options!$B$3:$B$28,'Check result'!R113),SUMIFS('Master P&amp;L'!$AE$11:$AE$88,'Master P&amp;L'!$B$11:$B$88,'Check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391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IF(R114="","",IF(LEN(R114)&gt;9,SUMIFS(Options!$AZ$3:$AZ$28,Options!$B$3:$B$28,'Check result'!R114),SUMIFS('Master P&amp;L'!$AE$11:$AE$88,'Master P&amp;L'!$B$11:$B$88,'Check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386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IF(R115="","",IF(LEN(R115)&gt;9,SUMIFS(Options!$AZ$3:$AZ$28,Options!$B$3:$B$28,'Check result'!R115),SUMIFS('Master P&amp;L'!$AE$11:$AE$88,'Master P&amp;L'!$B$11:$B$88,'Check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465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IF(R116="","",IF(LEN(R116)&gt;9,SUMIFS(Options!$AZ$3:$AZ$28,Options!$B$3:$B$28,'Check result'!R116),SUMIFS('Master P&amp;L'!$AE$11:$AE$88,'Master P&amp;L'!$B$11:$B$88,'Check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IF(R117="","",IF(LEN(R117)&gt;9,SUMIFS(Options!$AZ$3:$AZ$28,Options!$B$3:$B$28,'Check result'!R117),SUMIFS('Master P&amp;L'!$AE$11:$AE$88,'Master P&amp;L'!$B$11:$B$88,'Check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477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IF(R118="","",IF(LEN(R118)&gt;9,SUMIFS(Options!$AZ$3:$AZ$28,Options!$B$3:$B$28,'Check result'!R118),SUMIFS('Master P&amp;L'!$AE$11:$AE$88,'Master P&amp;L'!$B$11:$B$88,'Check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419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IF(R119="","",IF(LEN(R119)&gt;9,SUMIFS(Options!$AZ$3:$AZ$28,Options!$B$3:$B$28,'Check result'!R119),SUMIFS('Master P&amp;L'!$AE$11:$AE$88,'Master P&amp;L'!$B$11:$B$88,'Check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426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IF(R120="","",IF(LEN(R120)&gt;9,SUMIFS(Options!$AZ$3:$AZ$28,Options!$B$3:$B$28,'Check result'!R120),SUMIFS('Master P&amp;L'!$AE$11:$AE$88,'Master P&amp;L'!$B$11:$B$88,'Check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494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IF(R121="","",IF(LEN(R121)&gt;9,SUMIFS(Options!$AZ$3:$AZ$28,Options!$B$3:$B$28,'Check result'!R121),SUMIFS('Master P&amp;L'!$AE$11:$AE$88,'Master P&amp;L'!$B$11:$B$88,'Check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458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IF(R122="","",IF(LEN(R122)&gt;9,SUMIFS(Options!$AZ$3:$AZ$28,Options!$B$3:$B$28,'Check result'!R122),SUMIFS('Master P&amp;L'!$AE$11:$AE$88,'Master P&amp;L'!$B$11:$B$88,'Check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IF(R123="","",IF(LEN(R123)&gt;9,SUMIFS(Options!$AZ$3:$AZ$28,Options!$B$3:$B$28,'Check result'!R123),SUMIFS('Master P&amp;L'!$AE$11:$AE$88,'Master P&amp;L'!$B$11:$B$88,'Check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478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IF(R124="","",IF(LEN(R124)&gt;9,SUMIFS(Options!$AZ$3:$AZ$28,Options!$B$3:$B$28,'Check result'!R124),SUMIFS('Master P&amp;L'!$AE$11:$AE$88,'Master P&amp;L'!$B$11:$B$88,'Check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IF(R125="","",IF(LEN(R125)&gt;9,SUMIFS(Options!$AZ$3:$AZ$28,Options!$B$3:$B$28,'Check result'!R125),SUMIFS('Master P&amp;L'!$AE$11:$AE$88,'Master P&amp;L'!$B$11:$B$88,'Check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415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IF(R126="","",IF(LEN(R126)&gt;9,SUMIFS(Options!$AZ$3:$AZ$28,Options!$B$3:$B$28,'Check result'!R126),SUMIFS('Master P&amp;L'!$AE$11:$AE$88,'Master P&amp;L'!$B$11:$B$88,'Check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371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IF(R127="","",IF(LEN(R127)&gt;9,SUMIFS(Options!$AZ$3:$AZ$28,Options!$B$3:$B$28,'Check result'!R127),SUMIFS('Master P&amp;L'!$AE$11:$AE$88,'Master P&amp;L'!$B$11:$B$88,'Check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435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IF(R128="","",IF(LEN(R128)&gt;9,SUMIFS(Options!$AZ$3:$AZ$28,Options!$B$3:$B$28,'Check result'!R128),SUMIFS('Master P&amp;L'!$AE$11:$AE$88,'Master P&amp;L'!$B$11:$B$88,'Check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489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IF(R129="","",IF(LEN(R129)&gt;9,SUMIFS(Options!$AZ$3:$AZ$28,Options!$B$3:$B$28,'Check result'!R129),SUMIFS('Master P&amp;L'!$AE$11:$AE$88,'Master P&amp;L'!$B$11:$B$88,'Check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451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IF(R130="","",IF(LEN(R130)&gt;9,SUMIFS(Options!$AZ$3:$AZ$28,Options!$B$3:$B$28,'Check result'!R130),SUMIFS('Master P&amp;L'!$AE$11:$AE$88,'Master P&amp;L'!$B$11:$B$88,'Check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IF(R131="","",IF(LEN(R131)&gt;9,SUMIFS(Options!$AZ$3:$AZ$28,Options!$B$3:$B$28,'Check result'!R131),SUMIFS('Master P&amp;L'!$AE$11:$AE$88,'Master P&amp;L'!$B$11:$B$88,'Check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376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IF(R132="","",IF(LEN(R132)&gt;9,SUMIFS(Options!$AZ$3:$AZ$28,Options!$B$3:$B$28,'Check result'!R132),SUMIFS('Master P&amp;L'!$AE$11:$AE$88,'Master P&amp;L'!$B$11:$B$88,'Check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468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IF(R133="","",IF(LEN(R133)&gt;9,SUMIFS(Options!$AZ$3:$AZ$28,Options!$B$3:$B$28,'Check result'!R133),SUMIFS('Master P&amp;L'!$AE$11:$AE$88,'Master P&amp;L'!$B$11:$B$88,'Check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364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IF(R134="","",IF(LEN(R134)&gt;9,SUMIFS(Options!$AZ$3:$AZ$28,Options!$B$3:$B$28,'Check result'!R134),SUMIFS('Master P&amp;L'!$AE$11:$AE$88,'Master P&amp;L'!$B$11:$B$88,'Check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486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IF(R135="","",IF(LEN(R135)&gt;9,SUMIFS(Options!$AZ$3:$AZ$28,Options!$B$3:$B$28,'Check result'!R135),SUMIFS('Master P&amp;L'!$AE$11:$AE$88,'Master P&amp;L'!$B$11:$B$88,'Check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425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IF(R136="","",IF(LEN(R136)&gt;9,SUMIFS(Options!$AZ$3:$AZ$28,Options!$B$3:$B$28,'Check result'!R136),SUMIFS('Master P&amp;L'!$AE$11:$AE$88,'Master P&amp;L'!$B$11:$B$88,'Check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441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IF(R137="","",IF(LEN(R137)&gt;9,SUMIFS(Options!$AZ$3:$AZ$28,Options!$B$3:$B$28,'Check result'!R137),SUMIFS('Master P&amp;L'!$AE$11:$AE$88,'Master P&amp;L'!$B$11:$B$88,'Check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471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IF(R138="","",IF(LEN(R138)&gt;9,SUMIFS(Options!$AZ$3:$AZ$28,Options!$B$3:$B$28,'Check result'!R138),SUMIFS('Master P&amp;L'!$AE$11:$AE$88,'Master P&amp;L'!$B$11:$B$88,'Check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481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IF(R139="","",IF(LEN(R139)&gt;9,SUMIFS(Options!$AZ$3:$AZ$28,Options!$B$3:$B$28,'Check result'!R139),SUMIFS('Master P&amp;L'!$AE$11:$AE$88,'Master P&amp;L'!$B$11:$B$88,'Check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457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IF(R140="","",IF(LEN(R140)&gt;9,SUMIFS(Options!$AZ$3:$AZ$28,Options!$B$3:$B$28,'Check result'!R140),SUMIFS('Master P&amp;L'!$AE$11:$AE$88,'Master P&amp;L'!$B$11:$B$88,'Check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409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IF(R141="","",IF(LEN(R141)&gt;9,SUMIFS(Options!$AZ$3:$AZ$28,Options!$B$3:$B$28,'Check result'!R141),SUMIFS('Master P&amp;L'!$AE$11:$AE$88,'Master P&amp;L'!$B$11:$B$88,'Check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341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IF(R142="","",IF(LEN(R142)&gt;9,SUMIFS(Options!$AZ$3:$AZ$28,Options!$B$3:$B$28,'Check result'!R142),SUMIFS('Master P&amp;L'!$AE$11:$AE$88,'Master P&amp;L'!$B$11:$B$88,'Check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IF(R143="","",IF(LEN(R143)&gt;9,SUMIFS(Options!$AZ$3:$AZ$28,Options!$B$3:$B$28,'Check result'!R143),SUMIFS('Master P&amp;L'!$AE$11:$AE$88,'Master P&amp;L'!$B$11:$B$88,'Check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446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IF(R144="","",IF(LEN(R144)&gt;9,SUMIFS(Options!$AZ$3:$AZ$28,Options!$B$3:$B$28,'Check result'!R144),SUMIFS('Master P&amp;L'!$AE$11:$AE$88,'Master P&amp;L'!$B$11:$B$88,'Check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396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IF(R145="","",IF(LEN(R145)&gt;9,SUMIFS(Options!$AZ$3:$AZ$28,Options!$B$3:$B$28,'Check result'!R145),SUMIFS('Master P&amp;L'!$AE$11:$AE$88,'Master P&amp;L'!$B$11:$B$88,'Check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IF(R146="","",IF(LEN(R146)&gt;9,SUMIFS(Options!$AZ$3:$AZ$28,Options!$B$3:$B$28,'Check result'!R146),SUMIFS('Master P&amp;L'!$AE$11:$AE$88,'Master P&amp;L'!$B$11:$B$88,'Check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500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IF(R147="","",IF(LEN(R147)&gt;9,SUMIFS(Options!$AZ$3:$AZ$28,Options!$B$3:$B$28,'Check result'!R147),SUMIFS('Master P&amp;L'!$AE$11:$AE$88,'Master P&amp;L'!$B$11:$B$88,'Check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394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IF(R148="","",IF(LEN(R148)&gt;9,SUMIFS(Options!$AZ$3:$AZ$28,Options!$B$3:$B$28,'Check result'!R148),SUMIFS('Master P&amp;L'!$AE$11:$AE$88,'Master P&amp;L'!$B$11:$B$88,'Check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IF(R149="","",IF(LEN(R149)&gt;9,SUMIFS(Options!$AZ$3:$AZ$28,Options!$B$3:$B$28,'Check result'!R149),SUMIFS('Master P&amp;L'!$AE$11:$AE$88,'Master P&amp;L'!$B$11:$B$88,'Check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IF(R150="","",IF(LEN(R150)&gt;9,SUMIFS(Options!$AZ$3:$AZ$28,Options!$B$3:$B$28,'Check result'!R150),SUMIFS('Master P&amp;L'!$AE$11:$AE$88,'Master P&amp;L'!$B$11:$B$88,'Check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365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IF(R151="","",IF(LEN(R151)&gt;9,SUMIFS(Options!$AZ$3:$AZ$28,Options!$B$3:$B$28,'Check result'!R151),SUMIFS('Master P&amp;L'!$AE$11:$AE$88,'Master P&amp;L'!$B$11:$B$88,'Check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389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IF(R152="","",IF(LEN(R152)&gt;9,SUMIFS(Options!$AZ$3:$AZ$28,Options!$B$3:$B$28,'Check result'!R152),SUMIFS('Master P&amp;L'!$AE$11:$AE$88,'Master P&amp;L'!$B$11:$B$88,'Check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398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IF(R153="","",IF(LEN(R153)&gt;9,SUMIFS(Options!$AZ$3:$AZ$28,Options!$B$3:$B$28,'Check result'!R153),SUMIFS('Master P&amp;L'!$AE$11:$AE$88,'Master P&amp;L'!$B$11:$B$88,'Check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IF(R154="","",IF(LEN(R154)&gt;9,SUMIFS(Options!$AZ$3:$AZ$28,Options!$B$3:$B$28,'Check result'!R154),SUMIFS('Master P&amp;L'!$AE$11:$AE$88,'Master P&amp;L'!$B$11:$B$88,'Check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359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IF(R155="","",IF(LEN(R155)&gt;9,SUMIFS(Options!$AZ$3:$AZ$28,Options!$B$3:$B$28,'Check result'!R155),SUMIFS('Master P&amp;L'!$AE$11:$AE$88,'Master P&amp;L'!$B$11:$B$88,'Check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503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IF(R156="","",IF(LEN(R156)&gt;9,SUMIFS(Options!$AZ$3:$AZ$28,Options!$B$3:$B$28,'Check result'!R156),SUMIFS('Master P&amp;L'!$AE$11:$AE$88,'Master P&amp;L'!$B$11:$B$88,'Check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496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IF(R157="","",IF(LEN(R157)&gt;9,SUMIFS(Options!$AZ$3:$AZ$28,Options!$B$3:$B$28,'Check result'!R157),SUMIFS('Master P&amp;L'!$AE$11:$AE$88,'Master P&amp;L'!$B$11:$B$88,'Check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379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IF(R158="","",IF(LEN(R158)&gt;9,SUMIFS(Options!$AZ$3:$AZ$28,Options!$B$3:$B$28,'Check result'!R158),SUMIFS('Master P&amp;L'!$AE$11:$AE$88,'Master P&amp;L'!$B$11:$B$88,'Check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356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IF(R159="","",IF(LEN(R159)&gt;9,SUMIFS(Options!$AZ$3:$AZ$28,Options!$B$3:$B$28,'Check result'!R159),SUMIFS('Master P&amp;L'!$AE$11:$AE$88,'Master P&amp;L'!$B$11:$B$88,'Check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383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IF(R160="","",IF(LEN(R160)&gt;9,SUMIFS(Options!$AZ$3:$AZ$28,Options!$B$3:$B$28,'Check result'!R160),SUMIFS('Master P&amp;L'!$AE$11:$AE$88,'Master P&amp;L'!$B$11:$B$88,'Check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IF(R161="","",IF(LEN(R161)&gt;9,SUMIFS(Options!$AZ$3:$AZ$28,Options!$B$3:$B$28,'Check result'!R161),SUMIFS('Master P&amp;L'!$AE$11:$AE$88,'Master P&amp;L'!$B$11:$B$88,'Check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474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IF(R162="","",IF(LEN(R162)&gt;9,SUMIFS(Options!$AZ$3:$AZ$28,Options!$B$3:$B$28,'Check result'!R162),SUMIFS('Master P&amp;L'!$AE$11:$AE$88,'Master P&amp;L'!$B$11:$B$88,'Check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498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IF(R163="","",IF(LEN(R163)&gt;9,SUMIFS(Options!$AZ$3:$AZ$28,Options!$B$3:$B$28,'Check result'!R163),SUMIFS('Master P&amp;L'!$AE$11:$AE$88,'Master P&amp;L'!$B$11:$B$88,'Check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IF(R164="","",IF(LEN(R164)&gt;9,SUMIFS(Options!$AZ$3:$AZ$28,Options!$B$3:$B$28,'Check result'!R164),SUMIFS('Master P&amp;L'!$AE$11:$AE$88,'Master P&amp;L'!$B$11:$B$88,'Check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406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IF(R165="","",IF(LEN(R165)&gt;9,SUMIFS(Options!$AZ$3:$AZ$28,Options!$B$3:$B$28,'Check result'!R165),SUMIFS('Master P&amp;L'!$AE$11:$AE$88,'Master P&amp;L'!$B$11:$B$88,'Check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87"/>
  <sheetViews>
    <sheetView workbookViewId="0">
      <selection activeCell="B2" sqref="B2"/>
    </sheetView>
  </sheetViews>
  <sheetFormatPr defaultRowHeight="15"/>
  <cols>
    <col min="2" max="2" width="27.28515625" bestFit="1" customWidth="1"/>
  </cols>
  <sheetData>
    <row r="1" spans="1:24">
      <c r="A1" s="541" t="s">
        <v>263</v>
      </c>
      <c r="B1" s="542" t="s">
        <v>579</v>
      </c>
      <c r="C1" s="543" t="s">
        <v>580</v>
      </c>
      <c r="D1" s="544" t="s">
        <v>581</v>
      </c>
      <c r="E1" s="545" t="s">
        <v>582</v>
      </c>
      <c r="F1" s="545" t="s">
        <v>583</v>
      </c>
      <c r="G1" s="545" t="s">
        <v>146</v>
      </c>
      <c r="H1" s="545" t="s">
        <v>161</v>
      </c>
      <c r="I1" s="545" t="s">
        <v>584</v>
      </c>
      <c r="J1" s="545" t="s">
        <v>585</v>
      </c>
      <c r="K1" s="546" t="s">
        <v>586</v>
      </c>
      <c r="L1" s="547" t="s">
        <v>587</v>
      </c>
      <c r="M1" s="548" t="s">
        <v>588</v>
      </c>
      <c r="N1" s="544" t="s">
        <v>589</v>
      </c>
      <c r="O1" s="539" t="s">
        <v>590</v>
      </c>
      <c r="P1" s="549" t="s">
        <v>1</v>
      </c>
      <c r="Q1" s="573" t="s">
        <v>591</v>
      </c>
    </row>
    <row r="2" spans="1:24">
      <c r="A2" s="538">
        <v>46064</v>
      </c>
      <c r="B2" s="550" t="s">
        <v>562</v>
      </c>
      <c r="C2" s="551" t="s">
        <v>595</v>
      </c>
      <c r="D2" s="358" t="s">
        <v>596</v>
      </c>
      <c r="E2" s="359">
        <v>46101</v>
      </c>
      <c r="F2" s="358" t="s">
        <v>597</v>
      </c>
      <c r="G2" s="358" t="s">
        <v>598</v>
      </c>
      <c r="H2" s="358" t="s">
        <v>809</v>
      </c>
      <c r="I2" s="358" t="s">
        <v>593</v>
      </c>
      <c r="J2" s="552">
        <v>111.66</v>
      </c>
      <c r="K2" s="358">
        <v>7.6599999999999966</v>
      </c>
      <c r="L2" s="365">
        <v>8.6999999999999993</v>
      </c>
      <c r="M2" s="553">
        <v>8.6999999999999993</v>
      </c>
      <c r="N2" s="552">
        <v>8.6999999999999993</v>
      </c>
      <c r="O2" s="554">
        <v>8.6999999999999993</v>
      </c>
      <c r="P2" s="555">
        <v>26.61559827</v>
      </c>
      <c r="Q2" s="574" t="s">
        <v>594</v>
      </c>
      <c r="R2" s="340">
        <f>L2-L3</f>
        <v>7.6499999999999995</v>
      </c>
      <c r="T2" s="365">
        <v>8.64</v>
      </c>
      <c r="U2" s="340">
        <f>T2-T3</f>
        <v>7.08</v>
      </c>
      <c r="W2" s="365">
        <v>11.6</v>
      </c>
      <c r="X2" s="340">
        <f>W2-W3</f>
        <v>8.8999999999999986</v>
      </c>
    </row>
    <row r="3" spans="1:24">
      <c r="A3" s="538">
        <v>46064</v>
      </c>
      <c r="B3" s="550" t="s">
        <v>563</v>
      </c>
      <c r="C3" s="551" t="s">
        <v>600</v>
      </c>
      <c r="D3" s="358" t="s">
        <v>596</v>
      </c>
      <c r="E3" s="359">
        <v>46101</v>
      </c>
      <c r="F3" s="358" t="s">
        <v>597</v>
      </c>
      <c r="G3" s="358" t="s">
        <v>598</v>
      </c>
      <c r="H3" s="358" t="s">
        <v>810</v>
      </c>
      <c r="I3" s="358" t="s">
        <v>593</v>
      </c>
      <c r="J3" s="552">
        <v>111.66</v>
      </c>
      <c r="K3" s="358">
        <v>0</v>
      </c>
      <c r="L3" s="365">
        <v>1.05</v>
      </c>
      <c r="M3" s="553">
        <v>1.05</v>
      </c>
      <c r="N3" s="552">
        <v>1.05</v>
      </c>
      <c r="O3" s="554">
        <v>1.05</v>
      </c>
      <c r="P3" s="555">
        <v>24.459155790000001</v>
      </c>
      <c r="Q3" s="574" t="s">
        <v>599</v>
      </c>
      <c r="T3" s="365">
        <v>1.56</v>
      </c>
      <c r="W3" s="365">
        <v>2.7</v>
      </c>
    </row>
    <row r="4" spans="1:24">
      <c r="A4" s="538">
        <v>46064</v>
      </c>
      <c r="B4" s="550" t="s">
        <v>605</v>
      </c>
      <c r="C4" s="551" t="s">
        <v>606</v>
      </c>
      <c r="D4" s="358" t="s">
        <v>607</v>
      </c>
      <c r="E4" s="359">
        <v>46280</v>
      </c>
      <c r="F4" s="358" t="s">
        <v>597</v>
      </c>
      <c r="G4" s="358" t="s">
        <v>598</v>
      </c>
      <c r="H4" s="358" t="s">
        <v>811</v>
      </c>
      <c r="I4" s="358" t="s">
        <v>593</v>
      </c>
      <c r="J4" s="556">
        <v>8252.86</v>
      </c>
      <c r="K4" s="358">
        <v>765.61100000000079</v>
      </c>
      <c r="L4" s="557">
        <v>904.85958714476942</v>
      </c>
      <c r="M4" s="558">
        <v>904.85958714476942</v>
      </c>
      <c r="N4" s="358">
        <v>904.85958714476942</v>
      </c>
      <c r="O4" s="559">
        <v>776.67617219961141</v>
      </c>
      <c r="P4" s="560">
        <v>18.074284143196675</v>
      </c>
      <c r="Q4" s="574" t="s">
        <v>594</v>
      </c>
    </row>
    <row r="5" spans="1:24">
      <c r="A5" s="538">
        <v>46064</v>
      </c>
      <c r="B5" s="550" t="s">
        <v>608</v>
      </c>
      <c r="C5" s="551" t="s">
        <v>609</v>
      </c>
      <c r="D5" s="358" t="s">
        <v>607</v>
      </c>
      <c r="E5" s="359">
        <v>46280</v>
      </c>
      <c r="F5" s="358" t="s">
        <v>597</v>
      </c>
      <c r="G5" s="358" t="s">
        <v>598</v>
      </c>
      <c r="H5" s="358" t="s">
        <v>812</v>
      </c>
      <c r="I5" s="358" t="s">
        <v>593</v>
      </c>
      <c r="J5" s="556">
        <v>8252.86</v>
      </c>
      <c r="K5" s="358">
        <v>52.539700000001176</v>
      </c>
      <c r="L5" s="557">
        <v>472.41186989062669</v>
      </c>
      <c r="M5" s="558">
        <v>472.41186989062669</v>
      </c>
      <c r="N5" s="358">
        <v>472.41186989062669</v>
      </c>
      <c r="O5" s="559">
        <v>384.87377793775306</v>
      </c>
      <c r="P5" s="560">
        <v>18.074284143196675</v>
      </c>
      <c r="Q5" s="574" t="s">
        <v>594</v>
      </c>
    </row>
    <row r="6" spans="1:24">
      <c r="A6" s="538">
        <v>46064</v>
      </c>
      <c r="B6" s="560" t="s">
        <v>610</v>
      </c>
      <c r="C6" s="551" t="s">
        <v>611</v>
      </c>
      <c r="D6" s="358" t="s">
        <v>612</v>
      </c>
      <c r="E6" s="359">
        <v>46129</v>
      </c>
      <c r="F6" s="358" t="s">
        <v>597</v>
      </c>
      <c r="G6" s="358" t="s">
        <v>137</v>
      </c>
      <c r="H6" s="358" t="s">
        <v>813</v>
      </c>
      <c r="I6" s="358"/>
      <c r="J6" s="561">
        <v>3.05</v>
      </c>
      <c r="K6" s="358">
        <v>0.5</v>
      </c>
      <c r="L6" s="562">
        <v>0.53800543385727539</v>
      </c>
      <c r="M6" s="563">
        <v>0.53800543385727539</v>
      </c>
      <c r="N6" s="358">
        <v>0.53800543385727539</v>
      </c>
      <c r="O6" s="358">
        <v>0.53800543385727539</v>
      </c>
      <c r="P6" s="560">
        <v>33.38368023295881</v>
      </c>
      <c r="Q6" s="574" t="s">
        <v>594</v>
      </c>
    </row>
    <row r="7" spans="1:24">
      <c r="A7" s="538">
        <v>46064</v>
      </c>
      <c r="B7" s="560" t="s">
        <v>613</v>
      </c>
      <c r="C7" s="551" t="s">
        <v>614</v>
      </c>
      <c r="D7" s="358" t="s">
        <v>612</v>
      </c>
      <c r="E7" s="359">
        <v>46129</v>
      </c>
      <c r="F7" s="358" t="s">
        <v>592</v>
      </c>
      <c r="G7" s="358" t="s">
        <v>137</v>
      </c>
      <c r="H7" s="358" t="s">
        <v>814</v>
      </c>
      <c r="I7" s="358"/>
      <c r="J7" s="561">
        <v>3.05</v>
      </c>
      <c r="K7" s="358">
        <v>0</v>
      </c>
      <c r="L7" s="562">
        <v>7.284581005305716E-3</v>
      </c>
      <c r="M7" s="563">
        <v>7.284581005305716E-3</v>
      </c>
      <c r="N7" s="358">
        <v>7.284581005305716E-3</v>
      </c>
      <c r="O7" s="358">
        <v>7.284581005305716E-3</v>
      </c>
      <c r="P7" s="560">
        <v>58.035760328923061</v>
      </c>
      <c r="Q7" s="574" t="s">
        <v>594</v>
      </c>
    </row>
    <row r="8" spans="1:24">
      <c r="A8" s="538">
        <v>46064</v>
      </c>
      <c r="B8" s="560" t="s">
        <v>615</v>
      </c>
      <c r="C8" s="551" t="s">
        <v>616</v>
      </c>
      <c r="D8" s="358" t="s">
        <v>612</v>
      </c>
      <c r="E8" s="359">
        <v>46129</v>
      </c>
      <c r="F8" s="358" t="s">
        <v>592</v>
      </c>
      <c r="G8" s="358" t="s">
        <v>137</v>
      </c>
      <c r="H8" s="358" t="s">
        <v>815</v>
      </c>
      <c r="I8" s="358"/>
      <c r="J8" s="561">
        <v>3.05</v>
      </c>
      <c r="K8" s="358">
        <v>0</v>
      </c>
      <c r="L8" s="562">
        <v>1.097877615683928E-2</v>
      </c>
      <c r="M8" s="563">
        <v>1.097877615683928E-2</v>
      </c>
      <c r="N8" s="358">
        <v>1.097877615683928E-2</v>
      </c>
      <c r="O8" s="358">
        <v>1.097877615683928E-2</v>
      </c>
      <c r="P8" s="560">
        <v>45.533750091298771</v>
      </c>
      <c r="Q8" s="574" t="s">
        <v>594</v>
      </c>
    </row>
    <row r="9" spans="1:24">
      <c r="A9" s="538">
        <v>46064</v>
      </c>
      <c r="B9" s="560" t="s">
        <v>683</v>
      </c>
      <c r="C9" s="551" t="s">
        <v>689</v>
      </c>
      <c r="D9" s="358" t="s">
        <v>604</v>
      </c>
      <c r="E9" s="359">
        <v>46191</v>
      </c>
      <c r="F9" s="358" t="s">
        <v>597</v>
      </c>
      <c r="G9" s="358" t="s">
        <v>137</v>
      </c>
      <c r="H9" s="358" t="s">
        <v>816</v>
      </c>
      <c r="I9" s="358"/>
      <c r="J9" s="561">
        <v>374.09</v>
      </c>
      <c r="K9" s="358">
        <v>74.089999999999975</v>
      </c>
      <c r="L9" s="562">
        <v>86.65</v>
      </c>
      <c r="M9" s="563">
        <v>89.9</v>
      </c>
      <c r="N9" s="358">
        <v>88.275000000000006</v>
      </c>
      <c r="O9" s="358">
        <v>88.275000000000006</v>
      </c>
      <c r="P9" s="560"/>
      <c r="Q9" s="574" t="s">
        <v>601</v>
      </c>
    </row>
    <row r="10" spans="1:24">
      <c r="A10" s="538">
        <v>46064</v>
      </c>
      <c r="B10" s="560" t="s">
        <v>682</v>
      </c>
      <c r="C10" s="551" t="s">
        <v>690</v>
      </c>
      <c r="D10" s="358" t="s">
        <v>604</v>
      </c>
      <c r="E10" s="359">
        <v>46191</v>
      </c>
      <c r="F10" s="358" t="s">
        <v>597</v>
      </c>
      <c r="G10" s="358" t="s">
        <v>137</v>
      </c>
      <c r="H10" s="358" t="s">
        <v>817</v>
      </c>
      <c r="I10" s="358"/>
      <c r="J10" s="561">
        <v>374.09</v>
      </c>
      <c r="K10" s="358">
        <v>4.089999999999975</v>
      </c>
      <c r="L10" s="562">
        <v>42.4</v>
      </c>
      <c r="M10" s="563">
        <v>43.5</v>
      </c>
      <c r="N10" s="358">
        <v>42.95</v>
      </c>
      <c r="O10" s="358">
        <v>42.95</v>
      </c>
      <c r="P10" s="560"/>
      <c r="Q10" s="574" t="s">
        <v>601</v>
      </c>
    </row>
    <row r="11" spans="1:24">
      <c r="A11" s="538">
        <v>46064</v>
      </c>
      <c r="B11" s="560" t="s">
        <v>685</v>
      </c>
      <c r="C11" s="551" t="s">
        <v>691</v>
      </c>
      <c r="D11" s="358" t="s">
        <v>604</v>
      </c>
      <c r="E11" s="359">
        <v>46191</v>
      </c>
      <c r="F11" s="358" t="s">
        <v>592</v>
      </c>
      <c r="G11" s="358" t="s">
        <v>137</v>
      </c>
      <c r="H11" s="358" t="s">
        <v>818</v>
      </c>
      <c r="I11" s="358"/>
      <c r="J11" s="564">
        <v>374.09</v>
      </c>
      <c r="K11" s="565">
        <v>0</v>
      </c>
      <c r="L11" s="566">
        <v>3.8249658597163934</v>
      </c>
      <c r="M11" s="567">
        <v>3.8249658597163934</v>
      </c>
      <c r="N11" s="565">
        <v>3.8249658597163934</v>
      </c>
      <c r="O11" s="358">
        <v>3.8354693425595188</v>
      </c>
      <c r="P11" s="555">
        <v>51.662882757114581</v>
      </c>
      <c r="Q11" s="575" t="s">
        <v>594</v>
      </c>
    </row>
    <row r="12" spans="1:24">
      <c r="A12" s="538">
        <v>46064</v>
      </c>
      <c r="B12" s="560" t="s">
        <v>684</v>
      </c>
      <c r="C12" s="551" t="s">
        <v>692</v>
      </c>
      <c r="D12" s="358" t="s">
        <v>604</v>
      </c>
      <c r="E12" s="359">
        <v>46191</v>
      </c>
      <c r="F12" s="358" t="s">
        <v>592</v>
      </c>
      <c r="G12" s="358" t="s">
        <v>137</v>
      </c>
      <c r="H12" s="358" t="s">
        <v>819</v>
      </c>
      <c r="I12" s="358"/>
      <c r="J12" s="561">
        <v>374.09</v>
      </c>
      <c r="K12" s="358">
        <v>0</v>
      </c>
      <c r="L12" s="562">
        <v>1.54</v>
      </c>
      <c r="M12" s="563">
        <v>2.38</v>
      </c>
      <c r="N12" s="358">
        <v>1.96</v>
      </c>
      <c r="O12" s="358">
        <v>1.96</v>
      </c>
      <c r="P12" s="560"/>
      <c r="Q12" s="574" t="s">
        <v>601</v>
      </c>
    </row>
    <row r="13" spans="1:24">
      <c r="A13" s="538">
        <v>46064</v>
      </c>
      <c r="B13" s="560" t="s">
        <v>688</v>
      </c>
      <c r="C13" s="551" t="s">
        <v>693</v>
      </c>
      <c r="D13" s="358" t="s">
        <v>603</v>
      </c>
      <c r="E13" s="359">
        <v>46191</v>
      </c>
      <c r="F13" s="358" t="s">
        <v>592</v>
      </c>
      <c r="G13" s="358" t="s">
        <v>137</v>
      </c>
      <c r="H13" s="358" t="s">
        <v>820</v>
      </c>
      <c r="I13" s="358"/>
      <c r="J13" s="561">
        <v>404.37</v>
      </c>
      <c r="K13" s="358">
        <v>20.629999999999995</v>
      </c>
      <c r="L13" s="562">
        <v>38.049999999999997</v>
      </c>
      <c r="M13" s="563">
        <v>38.25</v>
      </c>
      <c r="N13" s="358">
        <v>38.15</v>
      </c>
      <c r="O13" s="358">
        <v>38.15</v>
      </c>
      <c r="P13" s="560"/>
      <c r="Q13" s="574" t="s">
        <v>601</v>
      </c>
    </row>
    <row r="14" spans="1:24">
      <c r="A14" s="538">
        <v>46064</v>
      </c>
      <c r="B14" s="560" t="s">
        <v>687</v>
      </c>
      <c r="C14" s="551" t="s">
        <v>694</v>
      </c>
      <c r="D14" s="358" t="s">
        <v>603</v>
      </c>
      <c r="E14" s="359">
        <v>46191</v>
      </c>
      <c r="F14" s="358" t="s">
        <v>597</v>
      </c>
      <c r="G14" s="358" t="s">
        <v>137</v>
      </c>
      <c r="H14" s="358" t="s">
        <v>821</v>
      </c>
      <c r="I14" s="358"/>
      <c r="J14" s="561">
        <v>404.37</v>
      </c>
      <c r="K14" s="358">
        <v>0</v>
      </c>
      <c r="L14" s="562">
        <v>3.5</v>
      </c>
      <c r="M14" s="563">
        <v>3.6</v>
      </c>
      <c r="N14" s="358">
        <v>3.55</v>
      </c>
      <c r="O14" s="358">
        <v>3.55</v>
      </c>
      <c r="P14" s="560"/>
      <c r="Q14" s="574" t="s">
        <v>601</v>
      </c>
    </row>
    <row r="15" spans="1:24">
      <c r="A15" s="538">
        <v>46064</v>
      </c>
      <c r="B15" s="560" t="s">
        <v>686</v>
      </c>
      <c r="C15" s="551" t="s">
        <v>695</v>
      </c>
      <c r="D15" s="358" t="s">
        <v>603</v>
      </c>
      <c r="E15" s="359">
        <v>46191</v>
      </c>
      <c r="F15" s="358" t="s">
        <v>597</v>
      </c>
      <c r="G15" s="358" t="s">
        <v>137</v>
      </c>
      <c r="H15" s="358" t="s">
        <v>822</v>
      </c>
      <c r="I15" s="358"/>
      <c r="J15" s="561">
        <v>404.37</v>
      </c>
      <c r="K15" s="358">
        <v>0</v>
      </c>
      <c r="L15" s="562">
        <v>1.06</v>
      </c>
      <c r="M15" s="563">
        <v>1.1200000000000001</v>
      </c>
      <c r="N15" s="358">
        <v>1.0900000000000001</v>
      </c>
      <c r="O15" s="358">
        <v>1.0900000000000001</v>
      </c>
      <c r="P15" s="560"/>
      <c r="Q15" s="574" t="s">
        <v>601</v>
      </c>
    </row>
    <row r="16" spans="1:24">
      <c r="A16" s="538">
        <v>46064</v>
      </c>
      <c r="B16" s="560" t="s">
        <v>697</v>
      </c>
      <c r="C16" s="551" t="s">
        <v>698</v>
      </c>
      <c r="D16" s="358" t="s">
        <v>617</v>
      </c>
      <c r="E16" s="359">
        <v>46101</v>
      </c>
      <c r="F16" s="358" t="s">
        <v>592</v>
      </c>
      <c r="G16" s="358" t="s">
        <v>137</v>
      </c>
      <c r="H16" s="358" t="s">
        <v>823</v>
      </c>
      <c r="I16" s="358"/>
      <c r="J16" s="561">
        <v>613.11</v>
      </c>
      <c r="K16" s="358">
        <v>0</v>
      </c>
      <c r="L16" s="562">
        <v>3.02</v>
      </c>
      <c r="M16" s="563">
        <v>3.09</v>
      </c>
      <c r="N16" s="358">
        <v>3.0549999999999997</v>
      </c>
      <c r="O16" s="358">
        <v>3.0549999999999997</v>
      </c>
      <c r="P16" s="560"/>
      <c r="Q16" s="574" t="s">
        <v>601</v>
      </c>
    </row>
    <row r="17" spans="1:17">
      <c r="A17" s="538">
        <v>46064</v>
      </c>
      <c r="B17" s="560" t="s">
        <v>696</v>
      </c>
      <c r="C17" s="551" t="s">
        <v>700</v>
      </c>
      <c r="D17" s="358" t="s">
        <v>617</v>
      </c>
      <c r="E17" s="359">
        <v>46101</v>
      </c>
      <c r="F17" s="358" t="s">
        <v>592</v>
      </c>
      <c r="G17" s="358" t="s">
        <v>137</v>
      </c>
      <c r="H17" s="358" t="s">
        <v>824</v>
      </c>
      <c r="I17" s="358"/>
      <c r="J17" s="561">
        <v>613.11</v>
      </c>
      <c r="K17" s="358">
        <v>0</v>
      </c>
      <c r="L17" s="562">
        <v>6.52</v>
      </c>
      <c r="M17" s="563">
        <v>6.62</v>
      </c>
      <c r="N17" s="358">
        <v>6.57</v>
      </c>
      <c r="O17" s="358">
        <v>6.57</v>
      </c>
      <c r="P17" s="560"/>
      <c r="Q17" s="574" t="s">
        <v>601</v>
      </c>
    </row>
    <row r="18" spans="1:17">
      <c r="A18" s="538">
        <v>46064</v>
      </c>
      <c r="B18" s="560" t="s">
        <v>701</v>
      </c>
      <c r="C18" s="551" t="s">
        <v>704</v>
      </c>
      <c r="D18" s="358" t="s">
        <v>699</v>
      </c>
      <c r="E18" s="359">
        <v>46191</v>
      </c>
      <c r="F18" s="358" t="s">
        <v>597</v>
      </c>
      <c r="G18" s="358" t="s">
        <v>137</v>
      </c>
      <c r="H18" s="358" t="s">
        <v>825</v>
      </c>
      <c r="I18" s="358"/>
      <c r="J18" s="561">
        <v>204.08</v>
      </c>
      <c r="K18" s="358">
        <v>0</v>
      </c>
      <c r="L18" s="562">
        <v>8.65</v>
      </c>
      <c r="M18" s="563">
        <v>8.75</v>
      </c>
      <c r="N18" s="358">
        <v>8.6999999999999993</v>
      </c>
      <c r="O18" s="358">
        <v>8.6999999999999993</v>
      </c>
      <c r="P18" s="560"/>
      <c r="Q18" s="574" t="s">
        <v>601</v>
      </c>
    </row>
    <row r="19" spans="1:17">
      <c r="A19" s="538">
        <v>46064</v>
      </c>
      <c r="B19" s="560" t="s">
        <v>702</v>
      </c>
      <c r="C19" s="551" t="s">
        <v>705</v>
      </c>
      <c r="D19" s="358" t="s">
        <v>699</v>
      </c>
      <c r="E19" s="359">
        <v>46191</v>
      </c>
      <c r="F19" s="358" t="s">
        <v>597</v>
      </c>
      <c r="G19" s="358" t="s">
        <v>137</v>
      </c>
      <c r="H19" s="358" t="s">
        <v>826</v>
      </c>
      <c r="I19" s="358"/>
      <c r="J19" s="561">
        <v>204.08</v>
      </c>
      <c r="K19" s="358">
        <v>0</v>
      </c>
      <c r="L19" s="562">
        <v>3.3</v>
      </c>
      <c r="M19" s="563">
        <v>3.4</v>
      </c>
      <c r="N19" s="358">
        <v>3.3499999999999996</v>
      </c>
      <c r="O19" s="358">
        <v>3.3499999999999996</v>
      </c>
      <c r="P19" s="560"/>
      <c r="Q19" s="574" t="s">
        <v>601</v>
      </c>
    </row>
    <row r="20" spans="1:17">
      <c r="A20" s="538">
        <v>46064</v>
      </c>
      <c r="B20" s="560" t="s">
        <v>703</v>
      </c>
      <c r="C20" s="551" t="s">
        <v>706</v>
      </c>
      <c r="D20" s="358" t="s">
        <v>699</v>
      </c>
      <c r="E20" s="359">
        <v>46191</v>
      </c>
      <c r="F20" s="358" t="s">
        <v>592</v>
      </c>
      <c r="G20" s="358" t="s">
        <v>137</v>
      </c>
      <c r="H20" s="358" t="s">
        <v>827</v>
      </c>
      <c r="I20" s="358"/>
      <c r="J20" s="561">
        <v>204.08</v>
      </c>
      <c r="K20" s="358">
        <v>0</v>
      </c>
      <c r="L20" s="562">
        <v>13.9</v>
      </c>
      <c r="M20" s="563">
        <v>14.05</v>
      </c>
      <c r="N20" s="358">
        <v>13.975000000000001</v>
      </c>
      <c r="O20" s="358">
        <v>13.975000000000001</v>
      </c>
      <c r="P20" s="560"/>
      <c r="Q20" s="574" t="s">
        <v>601</v>
      </c>
    </row>
    <row r="21" spans="1:17">
      <c r="A21" s="538">
        <v>46064</v>
      </c>
      <c r="B21" s="560" t="s">
        <v>714</v>
      </c>
      <c r="C21" s="551" t="s">
        <v>717</v>
      </c>
      <c r="D21" s="358" t="s">
        <v>603</v>
      </c>
      <c r="E21" s="359">
        <v>46101</v>
      </c>
      <c r="F21" s="358" t="s">
        <v>597</v>
      </c>
      <c r="G21" s="358" t="s">
        <v>137</v>
      </c>
      <c r="H21" s="358" t="s">
        <v>829</v>
      </c>
      <c r="I21" s="358"/>
      <c r="J21" s="561">
        <v>404.37</v>
      </c>
      <c r="K21" s="358">
        <v>0</v>
      </c>
      <c r="L21" s="562">
        <v>0.51</v>
      </c>
      <c r="M21" s="563">
        <v>0.54</v>
      </c>
      <c r="N21" s="358">
        <v>0.52500000000000002</v>
      </c>
      <c r="O21" s="358">
        <v>0.52500000000000002</v>
      </c>
      <c r="P21" s="560"/>
      <c r="Q21" s="574" t="s">
        <v>601</v>
      </c>
    </row>
    <row r="22" spans="1:17">
      <c r="A22" s="568">
        <v>46064</v>
      </c>
      <c r="B22" s="555" t="s">
        <v>713</v>
      </c>
      <c r="C22" s="569" t="s">
        <v>718</v>
      </c>
      <c r="D22" s="565" t="s">
        <v>603</v>
      </c>
      <c r="E22" s="570">
        <v>46101</v>
      </c>
      <c r="F22" s="565" t="s">
        <v>597</v>
      </c>
      <c r="G22" s="565" t="s">
        <v>137</v>
      </c>
      <c r="H22" s="565" t="s">
        <v>821</v>
      </c>
      <c r="I22" s="565"/>
      <c r="J22" s="564">
        <v>404.37</v>
      </c>
      <c r="K22" s="565">
        <v>0</v>
      </c>
      <c r="L22" s="566">
        <v>0.22776969410982301</v>
      </c>
      <c r="M22" s="567">
        <v>0.22776969410982301</v>
      </c>
      <c r="N22" s="565">
        <v>0.22776969410982301</v>
      </c>
      <c r="O22" s="358">
        <v>0.23215770027447488</v>
      </c>
      <c r="P22" s="555">
        <v>34.067863748151161</v>
      </c>
      <c r="Q22" s="575" t="s">
        <v>594</v>
      </c>
    </row>
    <row r="23" spans="1:17">
      <c r="A23" s="538">
        <v>46064</v>
      </c>
      <c r="B23" s="540" t="s">
        <v>716</v>
      </c>
      <c r="C23" s="551" t="s">
        <v>719</v>
      </c>
      <c r="D23" s="358" t="s">
        <v>603</v>
      </c>
      <c r="E23" s="359">
        <v>46101</v>
      </c>
      <c r="F23" s="358" t="s">
        <v>592</v>
      </c>
      <c r="G23" s="358" t="s">
        <v>137</v>
      </c>
      <c r="H23" s="358" t="s">
        <v>830</v>
      </c>
      <c r="I23" s="358"/>
      <c r="J23" s="561">
        <v>404.37</v>
      </c>
      <c r="K23" s="358">
        <v>50.629999999999995</v>
      </c>
      <c r="L23" s="562">
        <v>50.95</v>
      </c>
      <c r="M23" s="563">
        <v>52.7</v>
      </c>
      <c r="N23" s="358">
        <v>51.825000000000003</v>
      </c>
      <c r="O23" s="358">
        <v>51.825000000000003</v>
      </c>
      <c r="P23" s="560"/>
      <c r="Q23" s="574" t="s">
        <v>601</v>
      </c>
    </row>
    <row r="24" spans="1:17">
      <c r="A24" s="538">
        <v>46064</v>
      </c>
      <c r="B24" s="540" t="s">
        <v>715</v>
      </c>
      <c r="C24" s="551" t="s">
        <v>720</v>
      </c>
      <c r="D24" s="358" t="s">
        <v>603</v>
      </c>
      <c r="E24" s="359">
        <v>46101</v>
      </c>
      <c r="F24" s="358" t="s">
        <v>592</v>
      </c>
      <c r="G24" s="358" t="s">
        <v>137</v>
      </c>
      <c r="H24" s="358" t="s">
        <v>831</v>
      </c>
      <c r="I24" s="358"/>
      <c r="J24" s="561">
        <v>404.37</v>
      </c>
      <c r="K24" s="358">
        <v>60.629999999999995</v>
      </c>
      <c r="L24" s="562">
        <v>60.25</v>
      </c>
      <c r="M24" s="563">
        <v>62.95</v>
      </c>
      <c r="N24" s="358">
        <v>61.6</v>
      </c>
      <c r="O24" s="358">
        <v>61.6</v>
      </c>
      <c r="P24" s="560"/>
      <c r="Q24" s="574" t="s">
        <v>601</v>
      </c>
    </row>
    <row r="25" spans="1:17">
      <c r="A25" s="538">
        <v>46064</v>
      </c>
      <c r="B25" s="540" t="s">
        <v>724</v>
      </c>
      <c r="C25" s="551" t="s">
        <v>726</v>
      </c>
      <c r="D25" s="358" t="s">
        <v>727</v>
      </c>
      <c r="E25" s="359">
        <v>46101</v>
      </c>
      <c r="F25" s="358" t="s">
        <v>592</v>
      </c>
      <c r="G25" s="358" t="s">
        <v>137</v>
      </c>
      <c r="H25" s="358" t="s">
        <v>832</v>
      </c>
      <c r="I25" s="358"/>
      <c r="J25" s="561">
        <v>81.34</v>
      </c>
      <c r="K25" s="358">
        <v>0</v>
      </c>
      <c r="L25" s="562">
        <v>6.05</v>
      </c>
      <c r="M25" s="563">
        <v>6.3</v>
      </c>
      <c r="N25" s="358">
        <v>6.1749999999999998</v>
      </c>
      <c r="O25" s="358">
        <v>6.1749999999999998</v>
      </c>
      <c r="P25" s="560"/>
      <c r="Q25" s="574" t="s">
        <v>601</v>
      </c>
    </row>
    <row r="26" spans="1:17">
      <c r="A26" s="538">
        <v>46064</v>
      </c>
      <c r="B26" s="540" t="s">
        <v>725</v>
      </c>
      <c r="C26" s="551" t="s">
        <v>728</v>
      </c>
      <c r="D26" s="358" t="s">
        <v>727</v>
      </c>
      <c r="E26" s="359">
        <v>46101</v>
      </c>
      <c r="F26" s="358" t="s">
        <v>592</v>
      </c>
      <c r="G26" s="358" t="s">
        <v>137</v>
      </c>
      <c r="H26" s="358" t="s">
        <v>833</v>
      </c>
      <c r="I26" s="358"/>
      <c r="J26" s="561">
        <v>81.34</v>
      </c>
      <c r="K26" s="358">
        <v>8.6599999999999966</v>
      </c>
      <c r="L26" s="562">
        <v>11.95</v>
      </c>
      <c r="M26" s="563">
        <v>12.5</v>
      </c>
      <c r="N26" s="358">
        <v>12.225</v>
      </c>
      <c r="O26" s="358">
        <v>12.225</v>
      </c>
      <c r="P26" s="560"/>
      <c r="Q26" s="574" t="s">
        <v>601</v>
      </c>
    </row>
    <row r="27" spans="1:17">
      <c r="A27" s="538">
        <v>46064</v>
      </c>
      <c r="B27" s="540" t="s">
        <v>732</v>
      </c>
      <c r="C27" s="551" t="s">
        <v>734</v>
      </c>
      <c r="D27" s="358" t="s">
        <v>735</v>
      </c>
      <c r="E27" s="359">
        <v>46129</v>
      </c>
      <c r="F27" s="358" t="s">
        <v>597</v>
      </c>
      <c r="G27" s="358" t="s">
        <v>137</v>
      </c>
      <c r="H27" s="358" t="s">
        <v>834</v>
      </c>
      <c r="I27" s="358"/>
      <c r="J27" s="561">
        <v>668.69</v>
      </c>
      <c r="K27" s="358">
        <v>0</v>
      </c>
      <c r="L27" s="562">
        <v>27.75</v>
      </c>
      <c r="M27" s="563">
        <v>27.95</v>
      </c>
      <c r="N27" s="358">
        <v>27.85</v>
      </c>
      <c r="O27" s="358">
        <v>27.85</v>
      </c>
      <c r="P27" s="560"/>
      <c r="Q27" s="574" t="s">
        <v>601</v>
      </c>
    </row>
    <row r="28" spans="1:17">
      <c r="A28" s="538">
        <v>46064</v>
      </c>
      <c r="B28" s="550" t="s">
        <v>731</v>
      </c>
      <c r="C28" s="551" t="s">
        <v>736</v>
      </c>
      <c r="D28" s="358" t="s">
        <v>735</v>
      </c>
      <c r="E28" s="359">
        <v>46129</v>
      </c>
      <c r="F28" s="358" t="s">
        <v>597</v>
      </c>
      <c r="G28" s="358" t="s">
        <v>137</v>
      </c>
      <c r="H28" s="358" t="s">
        <v>835</v>
      </c>
      <c r="I28" s="358"/>
      <c r="J28" s="561">
        <v>668.69</v>
      </c>
      <c r="K28" s="358">
        <v>0</v>
      </c>
      <c r="L28" s="562">
        <v>10.050000000000001</v>
      </c>
      <c r="M28" s="563">
        <v>10.15</v>
      </c>
      <c r="N28" s="358">
        <v>10.100000000000001</v>
      </c>
      <c r="O28" s="358">
        <v>10.100000000000001</v>
      </c>
      <c r="P28" s="560"/>
      <c r="Q28" s="574" t="s">
        <v>601</v>
      </c>
    </row>
    <row r="29" spans="1:17">
      <c r="A29" s="538">
        <v>46064</v>
      </c>
      <c r="B29" s="540" t="s">
        <v>733</v>
      </c>
      <c r="C29" s="551" t="s">
        <v>737</v>
      </c>
      <c r="D29" s="358" t="s">
        <v>735</v>
      </c>
      <c r="E29" s="359">
        <v>46129</v>
      </c>
      <c r="F29" s="358" t="s">
        <v>592</v>
      </c>
      <c r="G29" s="358" t="s">
        <v>137</v>
      </c>
      <c r="H29" s="358" t="s">
        <v>836</v>
      </c>
      <c r="I29" s="358"/>
      <c r="J29" s="561">
        <v>668.69</v>
      </c>
      <c r="K29" s="358">
        <v>0</v>
      </c>
      <c r="L29" s="562">
        <v>9.5</v>
      </c>
      <c r="M29" s="563">
        <v>9.65</v>
      </c>
      <c r="N29" s="358">
        <v>9.5749999999999993</v>
      </c>
      <c r="O29" s="358">
        <v>9.5749999999999993</v>
      </c>
      <c r="P29" s="560"/>
      <c r="Q29" s="574" t="s">
        <v>601</v>
      </c>
    </row>
    <row r="30" spans="1:17">
      <c r="A30" s="538">
        <v>46064</v>
      </c>
      <c r="B30" s="540" t="s">
        <v>739</v>
      </c>
      <c r="C30" s="551" t="s">
        <v>744</v>
      </c>
      <c r="D30" s="358" t="s">
        <v>745</v>
      </c>
      <c r="E30" s="359">
        <v>46073</v>
      </c>
      <c r="F30" s="358" t="s">
        <v>597</v>
      </c>
      <c r="G30" s="358" t="s">
        <v>137</v>
      </c>
      <c r="H30" s="358" t="s">
        <v>837</v>
      </c>
      <c r="I30" s="358"/>
      <c r="J30" s="561">
        <v>574.11</v>
      </c>
      <c r="K30" s="358">
        <v>124.11000000000001</v>
      </c>
      <c r="L30" s="562">
        <v>125.9</v>
      </c>
      <c r="M30" s="563">
        <v>130</v>
      </c>
      <c r="N30" s="358">
        <v>127.95</v>
      </c>
      <c r="O30" s="358">
        <v>127.95</v>
      </c>
      <c r="P30" s="560"/>
      <c r="Q30" s="574" t="s">
        <v>601</v>
      </c>
    </row>
    <row r="31" spans="1:17">
      <c r="A31" s="538">
        <v>46064</v>
      </c>
      <c r="B31" s="540" t="s">
        <v>738</v>
      </c>
      <c r="C31" s="551" t="s">
        <v>746</v>
      </c>
      <c r="D31" s="358" t="s">
        <v>745</v>
      </c>
      <c r="E31" s="359">
        <v>46073</v>
      </c>
      <c r="F31" s="358" t="s">
        <v>597</v>
      </c>
      <c r="G31" s="358" t="s">
        <v>137</v>
      </c>
      <c r="H31" s="358" t="s">
        <v>838</v>
      </c>
      <c r="I31" s="358"/>
      <c r="J31" s="561">
        <v>574.11</v>
      </c>
      <c r="K31" s="358">
        <v>174.11</v>
      </c>
      <c r="L31" s="562">
        <v>173.1</v>
      </c>
      <c r="M31" s="563">
        <v>177.7</v>
      </c>
      <c r="N31" s="358">
        <v>175.39999999999998</v>
      </c>
      <c r="O31" s="358">
        <v>175.39999999999998</v>
      </c>
      <c r="P31" s="560"/>
      <c r="Q31" s="574" t="s">
        <v>601</v>
      </c>
    </row>
    <row r="32" spans="1:17">
      <c r="A32" s="538">
        <v>46064</v>
      </c>
      <c r="B32" s="540" t="s">
        <v>742</v>
      </c>
      <c r="C32" s="551" t="s">
        <v>747</v>
      </c>
      <c r="D32" s="358" t="s">
        <v>748</v>
      </c>
      <c r="E32" s="359">
        <v>46101</v>
      </c>
      <c r="F32" s="358" t="s">
        <v>597</v>
      </c>
      <c r="G32" s="358" t="s">
        <v>137</v>
      </c>
      <c r="H32" s="358" t="s">
        <v>819</v>
      </c>
      <c r="I32" s="358"/>
      <c r="J32" s="561">
        <v>223.69</v>
      </c>
      <c r="K32" s="358">
        <v>13.689999999999998</v>
      </c>
      <c r="L32" s="562">
        <v>30.2</v>
      </c>
      <c r="M32" s="563">
        <v>32.700000000000003</v>
      </c>
      <c r="N32" s="358">
        <v>31.450000000000003</v>
      </c>
      <c r="O32" s="358">
        <v>31.450000000000003</v>
      </c>
      <c r="P32" s="560"/>
      <c r="Q32" s="574" t="s">
        <v>601</v>
      </c>
    </row>
    <row r="33" spans="1:17">
      <c r="A33" s="538">
        <v>46064</v>
      </c>
      <c r="B33" s="540" t="s">
        <v>743</v>
      </c>
      <c r="C33" s="551" t="s">
        <v>749</v>
      </c>
      <c r="D33" s="358" t="s">
        <v>748</v>
      </c>
      <c r="E33" s="359">
        <v>46101</v>
      </c>
      <c r="F33" s="358" t="s">
        <v>597</v>
      </c>
      <c r="G33" s="358" t="s">
        <v>137</v>
      </c>
      <c r="H33" s="358" t="s">
        <v>818</v>
      </c>
      <c r="I33" s="358"/>
      <c r="J33" s="561">
        <v>223.69</v>
      </c>
      <c r="K33" s="358">
        <v>0</v>
      </c>
      <c r="L33" s="562">
        <v>13.3</v>
      </c>
      <c r="M33" s="563">
        <v>15.1</v>
      </c>
      <c r="N33" s="358">
        <v>14.2</v>
      </c>
      <c r="O33" s="358">
        <v>14.2</v>
      </c>
      <c r="P33" s="560"/>
      <c r="Q33" s="574" t="s">
        <v>601</v>
      </c>
    </row>
    <row r="34" spans="1:17">
      <c r="A34" s="538">
        <v>46064</v>
      </c>
      <c r="B34" s="540" t="s">
        <v>752</v>
      </c>
      <c r="C34" s="551" t="s">
        <v>754</v>
      </c>
      <c r="D34" s="358" t="s">
        <v>755</v>
      </c>
      <c r="E34" s="359">
        <v>46101</v>
      </c>
      <c r="F34" s="358" t="s">
        <v>597</v>
      </c>
      <c r="G34" s="358" t="s">
        <v>137</v>
      </c>
      <c r="H34" s="358" t="s">
        <v>809</v>
      </c>
      <c r="I34" s="358"/>
      <c r="J34" s="556">
        <v>79.62</v>
      </c>
      <c r="K34" s="358">
        <v>0</v>
      </c>
      <c r="L34" s="557">
        <v>0.11033490026622443</v>
      </c>
      <c r="M34" s="558">
        <v>0.11033490026622443</v>
      </c>
      <c r="N34" s="358">
        <v>0.11033490026622443</v>
      </c>
      <c r="O34" s="358">
        <v>0.11212770466999578</v>
      </c>
      <c r="P34" s="560">
        <v>41.972271833241628</v>
      </c>
      <c r="Q34" s="574" t="s">
        <v>594</v>
      </c>
    </row>
    <row r="35" spans="1:17">
      <c r="A35" s="538">
        <v>46064</v>
      </c>
      <c r="B35" s="540" t="s">
        <v>753</v>
      </c>
      <c r="C35" s="551" t="s">
        <v>756</v>
      </c>
      <c r="D35" s="358" t="s">
        <v>755</v>
      </c>
      <c r="E35" s="359">
        <v>46101</v>
      </c>
      <c r="F35" s="358" t="s">
        <v>592</v>
      </c>
      <c r="G35" s="358" t="s">
        <v>137</v>
      </c>
      <c r="H35" s="358" t="s">
        <v>839</v>
      </c>
      <c r="I35" s="358"/>
      <c r="J35" s="561">
        <v>79.62</v>
      </c>
      <c r="K35" s="358">
        <v>3.3799999999999955</v>
      </c>
      <c r="L35" s="562">
        <v>5.3</v>
      </c>
      <c r="M35" s="563">
        <v>5.55</v>
      </c>
      <c r="N35" s="358">
        <v>5.4249999999999998</v>
      </c>
      <c r="O35" s="358">
        <v>5.4249999999999998</v>
      </c>
      <c r="P35" s="560"/>
      <c r="Q35" s="574" t="s">
        <v>601</v>
      </c>
    </row>
    <row r="36" spans="1:17">
      <c r="A36" s="538">
        <v>46064</v>
      </c>
      <c r="B36" s="540" t="s">
        <v>751</v>
      </c>
      <c r="C36" s="551" t="s">
        <v>757</v>
      </c>
      <c r="D36" s="358" t="s">
        <v>755</v>
      </c>
      <c r="E36" s="359">
        <v>46101</v>
      </c>
      <c r="F36" s="358" t="s">
        <v>592</v>
      </c>
      <c r="G36" s="358" t="s">
        <v>137</v>
      </c>
      <c r="H36" s="358" t="s">
        <v>840</v>
      </c>
      <c r="I36" s="358"/>
      <c r="J36" s="561">
        <v>79.62</v>
      </c>
      <c r="K36" s="358">
        <v>12.379999999999995</v>
      </c>
      <c r="L36" s="562">
        <v>12.5</v>
      </c>
      <c r="M36" s="563">
        <v>12.8</v>
      </c>
      <c r="N36" s="358">
        <v>12.65</v>
      </c>
      <c r="O36" s="358">
        <v>12.65</v>
      </c>
      <c r="P36" s="560"/>
      <c r="Q36" s="574" t="s">
        <v>601</v>
      </c>
    </row>
    <row r="37" spans="1:17">
      <c r="A37" s="538">
        <v>46064</v>
      </c>
      <c r="B37" s="540" t="s">
        <v>759</v>
      </c>
      <c r="C37" s="551" t="s">
        <v>762</v>
      </c>
      <c r="D37" s="358" t="s">
        <v>727</v>
      </c>
      <c r="E37" s="359">
        <v>46101</v>
      </c>
      <c r="F37" s="358" t="s">
        <v>592</v>
      </c>
      <c r="G37" s="358" t="s">
        <v>137</v>
      </c>
      <c r="H37" s="358" t="s">
        <v>841</v>
      </c>
      <c r="I37" s="358"/>
      <c r="J37" s="561">
        <v>81.34</v>
      </c>
      <c r="K37" s="358">
        <v>0</v>
      </c>
      <c r="L37" s="562">
        <v>3.9</v>
      </c>
      <c r="M37" s="563">
        <v>4.05</v>
      </c>
      <c r="N37" s="358">
        <v>3.9749999999999996</v>
      </c>
      <c r="O37" s="358">
        <v>3.9749999999999996</v>
      </c>
      <c r="P37" s="560"/>
      <c r="Q37" s="574" t="s">
        <v>601</v>
      </c>
    </row>
    <row r="38" spans="1:17">
      <c r="A38" s="538">
        <v>46064</v>
      </c>
      <c r="B38" s="540" t="s">
        <v>758</v>
      </c>
      <c r="C38" s="551" t="s">
        <v>763</v>
      </c>
      <c r="D38" s="358" t="s">
        <v>727</v>
      </c>
      <c r="E38" s="359">
        <v>46101</v>
      </c>
      <c r="F38" s="358" t="s">
        <v>592</v>
      </c>
      <c r="G38" s="358" t="s">
        <v>137</v>
      </c>
      <c r="H38" s="358" t="s">
        <v>842</v>
      </c>
      <c r="I38" s="358"/>
      <c r="J38" s="561">
        <v>81.34</v>
      </c>
      <c r="K38" s="358">
        <v>3.6599999999999966</v>
      </c>
      <c r="L38" s="562">
        <v>8.6999999999999993</v>
      </c>
      <c r="M38" s="563">
        <v>9</v>
      </c>
      <c r="N38" s="358">
        <v>8.85</v>
      </c>
      <c r="O38" s="358">
        <v>8.85</v>
      </c>
      <c r="P38" s="560"/>
      <c r="Q38" s="574" t="s">
        <v>601</v>
      </c>
    </row>
    <row r="39" spans="1:17">
      <c r="A39" s="538">
        <v>46064</v>
      </c>
      <c r="B39" s="540" t="s">
        <v>766</v>
      </c>
      <c r="C39" s="551" t="s">
        <v>772</v>
      </c>
      <c r="D39" s="358" t="s">
        <v>773</v>
      </c>
      <c r="E39" s="359">
        <v>46191</v>
      </c>
      <c r="F39" s="358" t="s">
        <v>597</v>
      </c>
      <c r="G39" s="358" t="s">
        <v>137</v>
      </c>
      <c r="H39" s="358" t="s">
        <v>843</v>
      </c>
      <c r="I39" s="358"/>
      <c r="J39" s="561">
        <v>342.76</v>
      </c>
      <c r="K39" s="358">
        <v>0</v>
      </c>
      <c r="L39" s="562">
        <v>41.6</v>
      </c>
      <c r="M39" s="563">
        <v>42.15</v>
      </c>
      <c r="N39" s="358">
        <v>41.875</v>
      </c>
      <c r="O39" s="358">
        <v>41.875</v>
      </c>
      <c r="P39" s="560"/>
      <c r="Q39" s="574" t="s">
        <v>601</v>
      </c>
    </row>
    <row r="40" spans="1:17">
      <c r="A40" s="538">
        <v>46064</v>
      </c>
      <c r="B40" s="540" t="s">
        <v>768</v>
      </c>
      <c r="C40" s="551" t="s">
        <v>774</v>
      </c>
      <c r="D40" s="358" t="s">
        <v>773</v>
      </c>
      <c r="E40" s="359">
        <v>46191</v>
      </c>
      <c r="F40" s="358" t="s">
        <v>597</v>
      </c>
      <c r="G40" s="358" t="s">
        <v>137</v>
      </c>
      <c r="H40" s="358" t="s">
        <v>844</v>
      </c>
      <c r="I40" s="358"/>
      <c r="J40" s="561">
        <v>342.76</v>
      </c>
      <c r="K40" s="358">
        <v>0</v>
      </c>
      <c r="L40" s="562">
        <v>20.85</v>
      </c>
      <c r="M40" s="563">
        <v>21.4</v>
      </c>
      <c r="N40" s="358">
        <v>21.125</v>
      </c>
      <c r="O40" s="358">
        <v>21.125</v>
      </c>
      <c r="P40" s="560"/>
      <c r="Q40" s="574" t="s">
        <v>601</v>
      </c>
    </row>
    <row r="41" spans="1:17">
      <c r="A41" s="538">
        <v>46064</v>
      </c>
      <c r="B41" s="540" t="s">
        <v>767</v>
      </c>
      <c r="C41" s="551" t="s">
        <v>775</v>
      </c>
      <c r="D41" s="358" t="s">
        <v>773</v>
      </c>
      <c r="E41" s="359">
        <v>46191</v>
      </c>
      <c r="F41" s="358" t="s">
        <v>592</v>
      </c>
      <c r="G41" s="358" t="s">
        <v>137</v>
      </c>
      <c r="H41" s="358" t="s">
        <v>845</v>
      </c>
      <c r="I41" s="358"/>
      <c r="J41" s="561">
        <v>342.76</v>
      </c>
      <c r="K41" s="358">
        <v>0</v>
      </c>
      <c r="L41" s="562">
        <v>13.5</v>
      </c>
      <c r="M41" s="563">
        <v>13.9</v>
      </c>
      <c r="N41" s="358">
        <v>13.7</v>
      </c>
      <c r="O41" s="358">
        <v>13.7</v>
      </c>
      <c r="P41" s="560"/>
      <c r="Q41" s="574" t="s">
        <v>601</v>
      </c>
    </row>
    <row r="42" spans="1:17">
      <c r="A42" s="538">
        <v>46064</v>
      </c>
      <c r="B42" s="540" t="s">
        <v>765</v>
      </c>
      <c r="C42" s="551" t="s">
        <v>776</v>
      </c>
      <c r="D42" s="358" t="s">
        <v>773</v>
      </c>
      <c r="E42" s="359">
        <v>46191</v>
      </c>
      <c r="F42" s="358" t="s">
        <v>592</v>
      </c>
      <c r="G42" s="358" t="s">
        <v>137</v>
      </c>
      <c r="H42" s="358" t="s">
        <v>816</v>
      </c>
      <c r="I42" s="358"/>
      <c r="J42" s="561">
        <v>342.76</v>
      </c>
      <c r="K42" s="358">
        <v>0</v>
      </c>
      <c r="L42" s="562">
        <v>22.4</v>
      </c>
      <c r="M42" s="563">
        <v>22.7</v>
      </c>
      <c r="N42" s="358">
        <v>22.549999999999997</v>
      </c>
      <c r="O42" s="358">
        <v>22.549999999999997</v>
      </c>
      <c r="P42" s="560"/>
      <c r="Q42" s="574" t="s">
        <v>601</v>
      </c>
    </row>
    <row r="43" spans="1:17">
      <c r="A43" s="538">
        <v>46064</v>
      </c>
      <c r="B43" s="540" t="s">
        <v>769</v>
      </c>
      <c r="C43" s="551" t="s">
        <v>777</v>
      </c>
      <c r="D43" s="358" t="s">
        <v>735</v>
      </c>
      <c r="E43" s="359">
        <v>46129</v>
      </c>
      <c r="F43" s="358" t="s">
        <v>592</v>
      </c>
      <c r="G43" s="358" t="s">
        <v>137</v>
      </c>
      <c r="H43" s="358" t="s">
        <v>846</v>
      </c>
      <c r="I43" s="358"/>
      <c r="J43" s="561">
        <v>668.69</v>
      </c>
      <c r="K43" s="358">
        <v>0</v>
      </c>
      <c r="L43" s="562">
        <v>11.3</v>
      </c>
      <c r="M43" s="563">
        <v>11.45</v>
      </c>
      <c r="N43" s="358">
        <v>11.375</v>
      </c>
      <c r="O43" s="358">
        <v>11.375</v>
      </c>
      <c r="P43" s="560"/>
      <c r="Q43" s="574" t="s">
        <v>601</v>
      </c>
    </row>
    <row r="44" spans="1:17">
      <c r="A44" s="538">
        <v>46064</v>
      </c>
      <c r="B44" s="540" t="s">
        <v>761</v>
      </c>
      <c r="C44" s="551" t="s">
        <v>778</v>
      </c>
      <c r="D44" s="358" t="s">
        <v>604</v>
      </c>
      <c r="E44" s="359">
        <v>46101</v>
      </c>
      <c r="F44" s="358" t="s">
        <v>597</v>
      </c>
      <c r="G44" s="358" t="s">
        <v>137</v>
      </c>
      <c r="H44" s="358" t="s">
        <v>828</v>
      </c>
      <c r="I44" s="358"/>
      <c r="J44" s="561">
        <v>374.09</v>
      </c>
      <c r="K44" s="358">
        <v>44.089999999999975</v>
      </c>
      <c r="L44" s="562">
        <v>48.8</v>
      </c>
      <c r="M44" s="563">
        <v>51.7</v>
      </c>
      <c r="N44" s="358">
        <v>50.25</v>
      </c>
      <c r="O44" s="358">
        <v>50.25</v>
      </c>
      <c r="P44" s="560"/>
      <c r="Q44" s="574" t="s">
        <v>601</v>
      </c>
    </row>
    <row r="45" spans="1:17">
      <c r="A45" s="538">
        <v>46064</v>
      </c>
      <c r="B45" s="540" t="s">
        <v>760</v>
      </c>
      <c r="C45" s="551" t="s">
        <v>779</v>
      </c>
      <c r="D45" s="358" t="s">
        <v>604</v>
      </c>
      <c r="E45" s="359">
        <v>46101</v>
      </c>
      <c r="F45" s="358" t="s">
        <v>597</v>
      </c>
      <c r="G45" s="358" t="s">
        <v>137</v>
      </c>
      <c r="H45" s="358" t="s">
        <v>816</v>
      </c>
      <c r="I45" s="358"/>
      <c r="J45" s="561">
        <v>374.09</v>
      </c>
      <c r="K45" s="358">
        <v>74.089999999999975</v>
      </c>
      <c r="L45" s="562">
        <v>75.400000000000006</v>
      </c>
      <c r="M45" s="563">
        <v>78.400000000000006</v>
      </c>
      <c r="N45" s="358">
        <v>76.900000000000006</v>
      </c>
      <c r="O45" s="358">
        <v>76.900000000000006</v>
      </c>
      <c r="P45" s="560"/>
      <c r="Q45" s="574" t="s">
        <v>601</v>
      </c>
    </row>
    <row r="46" spans="1:17">
      <c r="A46" s="538">
        <v>46064</v>
      </c>
      <c r="B46" s="540" t="s">
        <v>770</v>
      </c>
      <c r="C46" s="551" t="s">
        <v>780</v>
      </c>
      <c r="D46" s="358" t="s">
        <v>735</v>
      </c>
      <c r="E46" s="359">
        <v>46129</v>
      </c>
      <c r="F46" s="358" t="s">
        <v>592</v>
      </c>
      <c r="G46" s="358" t="s">
        <v>137</v>
      </c>
      <c r="H46" s="358" t="s">
        <v>847</v>
      </c>
      <c r="I46" s="358"/>
      <c r="J46" s="561">
        <v>668.69</v>
      </c>
      <c r="K46" s="358">
        <v>0</v>
      </c>
      <c r="L46" s="562">
        <v>6.75</v>
      </c>
      <c r="M46" s="563">
        <v>6.9</v>
      </c>
      <c r="N46" s="358">
        <v>6.8250000000000002</v>
      </c>
      <c r="O46" s="358">
        <v>6.8250000000000002</v>
      </c>
      <c r="P46" s="560"/>
      <c r="Q46" s="574" t="s">
        <v>601</v>
      </c>
    </row>
    <row r="47" spans="1:17">
      <c r="A47" s="538">
        <v>46064</v>
      </c>
      <c r="B47" s="571" t="s">
        <v>887</v>
      </c>
      <c r="C47" s="551" t="s">
        <v>889</v>
      </c>
      <c r="D47" s="358" t="s">
        <v>604</v>
      </c>
      <c r="E47" s="359">
        <v>46191</v>
      </c>
      <c r="F47" s="358" t="s">
        <v>597</v>
      </c>
      <c r="G47" s="358" t="s">
        <v>137</v>
      </c>
      <c r="H47" s="358" t="s">
        <v>890</v>
      </c>
      <c r="I47" s="358"/>
      <c r="J47" s="561">
        <v>374.09</v>
      </c>
      <c r="K47" s="358">
        <v>34.089999999999975</v>
      </c>
      <c r="L47" s="562">
        <v>58.25</v>
      </c>
      <c r="M47" s="563">
        <v>60.3</v>
      </c>
      <c r="N47" s="358">
        <v>59.274999999999999</v>
      </c>
      <c r="O47" s="358">
        <v>59.274999999999999</v>
      </c>
      <c r="P47" s="560"/>
      <c r="Q47" s="574" t="s">
        <v>601</v>
      </c>
    </row>
    <row r="48" spans="1:17">
      <c r="A48" s="538">
        <v>46064</v>
      </c>
      <c r="B48" s="571" t="s">
        <v>888</v>
      </c>
      <c r="C48" s="551" t="s">
        <v>891</v>
      </c>
      <c r="D48" s="358" t="s">
        <v>604</v>
      </c>
      <c r="E48" s="359">
        <v>46191</v>
      </c>
      <c r="F48" s="358" t="s">
        <v>597</v>
      </c>
      <c r="G48" s="358" t="s">
        <v>137</v>
      </c>
      <c r="H48" s="358" t="s">
        <v>892</v>
      </c>
      <c r="I48" s="358"/>
      <c r="J48" s="561">
        <v>374.09</v>
      </c>
      <c r="K48" s="358">
        <v>0</v>
      </c>
      <c r="L48" s="562">
        <v>37.15</v>
      </c>
      <c r="M48" s="563">
        <v>38.65</v>
      </c>
      <c r="N48" s="358">
        <v>37.9</v>
      </c>
      <c r="O48" s="358">
        <v>37.9</v>
      </c>
      <c r="P48" s="560"/>
      <c r="Q48" s="574" t="s">
        <v>601</v>
      </c>
    </row>
    <row r="49" spans="1:17">
      <c r="A49" s="538">
        <v>46064</v>
      </c>
      <c r="B49" s="571" t="s">
        <v>886</v>
      </c>
      <c r="C49" s="551" t="s">
        <v>893</v>
      </c>
      <c r="D49" s="358" t="s">
        <v>894</v>
      </c>
      <c r="E49" s="359">
        <v>46073</v>
      </c>
      <c r="F49" s="358" t="s">
        <v>597</v>
      </c>
      <c r="G49" s="358" t="s">
        <v>137</v>
      </c>
      <c r="H49" s="358" t="s">
        <v>895</v>
      </c>
      <c r="I49" s="358"/>
      <c r="J49" s="556">
        <v>34.01</v>
      </c>
      <c r="K49" s="358">
        <v>0</v>
      </c>
      <c r="L49" s="557">
        <v>6.8161349756894543E-2</v>
      </c>
      <c r="M49" s="558">
        <v>6.8161349756894543E-2</v>
      </c>
      <c r="N49" s="358">
        <v>6.8161349756894543E-2</v>
      </c>
      <c r="O49" s="358">
        <v>7.041852690014426E-2</v>
      </c>
      <c r="P49" s="560">
        <v>16.984929584439627</v>
      </c>
      <c r="Q49" s="574" t="s">
        <v>594</v>
      </c>
    </row>
    <row r="50" spans="1:17">
      <c r="A50" s="538">
        <v>46064</v>
      </c>
      <c r="B50" s="571" t="s">
        <v>916</v>
      </c>
      <c r="C50" s="551" t="s">
        <v>918</v>
      </c>
      <c r="D50" s="358" t="s">
        <v>919</v>
      </c>
      <c r="E50" s="359">
        <v>46283</v>
      </c>
      <c r="F50" s="358" t="s">
        <v>597</v>
      </c>
      <c r="G50" s="358" t="s">
        <v>137</v>
      </c>
      <c r="H50" s="358" t="s">
        <v>920</v>
      </c>
      <c r="I50" s="358"/>
      <c r="J50" s="561">
        <v>105.97</v>
      </c>
      <c r="K50" s="358">
        <v>0</v>
      </c>
      <c r="L50" s="562">
        <v>11.45</v>
      </c>
      <c r="M50" s="563">
        <v>12.35</v>
      </c>
      <c r="N50" s="358">
        <v>11.899999999999999</v>
      </c>
      <c r="O50" s="358">
        <v>11.899999999999999</v>
      </c>
      <c r="P50" s="560"/>
      <c r="Q50" s="574" t="s">
        <v>601</v>
      </c>
    </row>
    <row r="51" spans="1:17">
      <c r="A51" s="538">
        <v>46064</v>
      </c>
      <c r="B51" s="571" t="s">
        <v>915</v>
      </c>
      <c r="C51" s="551" t="s">
        <v>921</v>
      </c>
      <c r="D51" s="358" t="s">
        <v>919</v>
      </c>
      <c r="E51" s="359">
        <v>46283</v>
      </c>
      <c r="F51" s="358" t="s">
        <v>597</v>
      </c>
      <c r="G51" s="358" t="s">
        <v>137</v>
      </c>
      <c r="H51" s="358" t="s">
        <v>922</v>
      </c>
      <c r="I51" s="358"/>
      <c r="J51" s="561">
        <v>105.97</v>
      </c>
      <c r="K51" s="358">
        <v>0.96999999999999886</v>
      </c>
      <c r="L51" s="562">
        <v>15.4</v>
      </c>
      <c r="M51" s="563">
        <v>16.2</v>
      </c>
      <c r="N51" s="358">
        <v>15.8</v>
      </c>
      <c r="O51" s="358">
        <v>15.8</v>
      </c>
      <c r="P51" s="560"/>
      <c r="Q51" s="574" t="s">
        <v>601</v>
      </c>
    </row>
    <row r="52" spans="1:17">
      <c r="A52" s="538">
        <v>46064</v>
      </c>
      <c r="B52" s="571" t="s">
        <v>924</v>
      </c>
      <c r="C52" s="551" t="s">
        <v>928</v>
      </c>
      <c r="D52" s="358" t="s">
        <v>929</v>
      </c>
      <c r="E52" s="359">
        <v>46073</v>
      </c>
      <c r="F52" s="358" t="s">
        <v>597</v>
      </c>
      <c r="G52" s="358" t="s">
        <v>137</v>
      </c>
      <c r="H52" s="358" t="s">
        <v>930</v>
      </c>
      <c r="I52" s="358"/>
      <c r="J52" s="561">
        <v>599.34</v>
      </c>
      <c r="K52" s="358">
        <v>99.340000000000032</v>
      </c>
      <c r="L52" s="562">
        <v>101.1</v>
      </c>
      <c r="M52" s="563">
        <v>109.1</v>
      </c>
      <c r="N52" s="358">
        <v>105.1</v>
      </c>
      <c r="O52" s="358">
        <v>105.1</v>
      </c>
      <c r="P52" s="560"/>
      <c r="Q52" s="574" t="s">
        <v>601</v>
      </c>
    </row>
    <row r="53" spans="1:17">
      <c r="A53" s="538">
        <v>46064</v>
      </c>
      <c r="B53" s="571" t="s">
        <v>931</v>
      </c>
      <c r="C53" s="551" t="s">
        <v>932</v>
      </c>
      <c r="D53" s="358" t="s">
        <v>602</v>
      </c>
      <c r="E53" s="359">
        <v>46073</v>
      </c>
      <c r="F53" s="358" t="s">
        <v>597</v>
      </c>
      <c r="G53" s="358" t="s">
        <v>137</v>
      </c>
      <c r="H53" s="358" t="s">
        <v>895</v>
      </c>
      <c r="I53" s="358"/>
      <c r="J53" s="556">
        <v>39.159999999999997</v>
      </c>
      <c r="K53" s="358">
        <v>4.1599999999999966</v>
      </c>
      <c r="L53" s="557">
        <v>4.1865017029520128</v>
      </c>
      <c r="M53" s="558">
        <v>4.1865017029520128</v>
      </c>
      <c r="N53" s="358">
        <v>4.1865017029520128</v>
      </c>
      <c r="O53" s="358">
        <v>4.1884588443755666</v>
      </c>
      <c r="P53" s="560">
        <v>37.20728750126473</v>
      </c>
      <c r="Q53" s="574" t="s">
        <v>594</v>
      </c>
    </row>
    <row r="54" spans="1:17">
      <c r="A54" s="538">
        <v>46064</v>
      </c>
      <c r="B54" t="s">
        <v>925</v>
      </c>
      <c r="C54" s="551" t="s">
        <v>933</v>
      </c>
      <c r="D54" s="358" t="s">
        <v>727</v>
      </c>
      <c r="E54" s="359">
        <v>46101</v>
      </c>
      <c r="F54" s="358" t="s">
        <v>592</v>
      </c>
      <c r="G54" s="358" t="s">
        <v>137</v>
      </c>
      <c r="H54" s="358" t="s">
        <v>934</v>
      </c>
      <c r="I54" s="358"/>
      <c r="J54" s="561">
        <v>81.34</v>
      </c>
      <c r="K54" s="358">
        <v>0</v>
      </c>
      <c r="L54" s="562">
        <v>2.35</v>
      </c>
      <c r="M54" s="563">
        <v>2.48</v>
      </c>
      <c r="N54" s="358">
        <v>2.415</v>
      </c>
      <c r="O54" s="358">
        <v>2.415</v>
      </c>
      <c r="P54" s="560"/>
      <c r="Q54" s="574" t="s">
        <v>601</v>
      </c>
    </row>
    <row r="55" spans="1:17">
      <c r="A55" s="538">
        <v>46064</v>
      </c>
      <c r="B55" t="s">
        <v>936</v>
      </c>
      <c r="C55" s="551" t="s">
        <v>942</v>
      </c>
      <c r="D55" s="358" t="s">
        <v>929</v>
      </c>
      <c r="E55" s="359">
        <v>46073</v>
      </c>
      <c r="F55" s="358" t="s">
        <v>597</v>
      </c>
      <c r="G55" s="358" t="s">
        <v>137</v>
      </c>
      <c r="H55" s="358" t="s">
        <v>823</v>
      </c>
      <c r="I55" s="358"/>
      <c r="J55" s="561">
        <v>599.34</v>
      </c>
      <c r="K55" s="358">
        <v>49.340000000000032</v>
      </c>
      <c r="L55" s="562">
        <v>62.5</v>
      </c>
      <c r="M55" s="563">
        <v>68.7</v>
      </c>
      <c r="N55" s="358">
        <v>65.599999999999994</v>
      </c>
      <c r="O55" s="358">
        <v>65.599999999999994</v>
      </c>
      <c r="P55" s="560"/>
      <c r="Q55" s="574" t="s">
        <v>601</v>
      </c>
    </row>
    <row r="56" spans="1:17">
      <c r="A56" s="538">
        <v>46064</v>
      </c>
      <c r="B56" t="s">
        <v>939</v>
      </c>
      <c r="C56" s="551" t="s">
        <v>943</v>
      </c>
      <c r="D56" s="358" t="s">
        <v>735</v>
      </c>
      <c r="E56" s="359">
        <v>46220</v>
      </c>
      <c r="F56" s="358" t="s">
        <v>597</v>
      </c>
      <c r="G56" s="358" t="s">
        <v>137</v>
      </c>
      <c r="H56" s="358" t="s">
        <v>944</v>
      </c>
      <c r="I56" s="358"/>
      <c r="J56" s="561">
        <v>668.69</v>
      </c>
      <c r="K56" s="358">
        <v>0</v>
      </c>
      <c r="L56" s="562">
        <v>65.099999999999994</v>
      </c>
      <c r="M56" s="563">
        <v>65.45</v>
      </c>
      <c r="N56" s="358">
        <v>65.275000000000006</v>
      </c>
      <c r="O56" s="358">
        <v>65.275000000000006</v>
      </c>
      <c r="P56" s="560"/>
      <c r="Q56" s="574" t="s">
        <v>601</v>
      </c>
    </row>
    <row r="57" spans="1:17">
      <c r="A57" s="538">
        <v>46064</v>
      </c>
      <c r="B57" t="s">
        <v>938</v>
      </c>
      <c r="C57" s="551" t="s">
        <v>945</v>
      </c>
      <c r="D57" s="358" t="s">
        <v>699</v>
      </c>
      <c r="E57" s="359">
        <v>46220</v>
      </c>
      <c r="F57" s="358" t="s">
        <v>597</v>
      </c>
      <c r="G57" s="358" t="s">
        <v>137</v>
      </c>
      <c r="H57" s="358" t="s">
        <v>946</v>
      </c>
      <c r="I57" s="358"/>
      <c r="J57" s="561">
        <v>204.08</v>
      </c>
      <c r="K57" s="358">
        <v>0</v>
      </c>
      <c r="L57" s="562">
        <v>6.6</v>
      </c>
      <c r="M57" s="563">
        <v>6.7</v>
      </c>
      <c r="N57" s="358">
        <v>6.65</v>
      </c>
      <c r="O57" s="358">
        <v>6.65</v>
      </c>
      <c r="P57" s="560"/>
      <c r="Q57" s="574" t="s">
        <v>601</v>
      </c>
    </row>
    <row r="58" spans="1:17">
      <c r="A58" s="538">
        <v>46064</v>
      </c>
      <c r="B58" s="560" t="s">
        <v>947</v>
      </c>
      <c r="C58" s="551" t="s">
        <v>948</v>
      </c>
      <c r="D58" s="358" t="s">
        <v>949</v>
      </c>
      <c r="E58" s="359">
        <v>46366</v>
      </c>
      <c r="F58" s="358" t="s">
        <v>597</v>
      </c>
      <c r="G58" s="358" t="s">
        <v>771</v>
      </c>
      <c r="H58" s="358" t="s">
        <v>950</v>
      </c>
      <c r="I58" s="358"/>
      <c r="J58" s="556">
        <v>788.75</v>
      </c>
      <c r="K58" s="358">
        <v>0</v>
      </c>
      <c r="L58" s="556">
        <v>30.565244133853962</v>
      </c>
      <c r="M58" s="556">
        <v>30.565244133853962</v>
      </c>
      <c r="N58" s="556">
        <v>30.565244133853962</v>
      </c>
      <c r="O58" s="556">
        <v>30.58969294117437</v>
      </c>
      <c r="P58" s="358">
        <v>31.353067002497525</v>
      </c>
      <c r="Q58" s="574" t="s">
        <v>594</v>
      </c>
    </row>
    <row r="59" spans="1:17">
      <c r="A59" s="538">
        <v>46064</v>
      </c>
      <c r="B59" t="s">
        <v>937</v>
      </c>
      <c r="C59" s="551" t="s">
        <v>951</v>
      </c>
      <c r="D59" s="358" t="s">
        <v>745</v>
      </c>
      <c r="E59" s="359">
        <v>46101</v>
      </c>
      <c r="F59" s="358" t="s">
        <v>597</v>
      </c>
      <c r="G59" s="358" t="s">
        <v>137</v>
      </c>
      <c r="H59" s="358" t="s">
        <v>952</v>
      </c>
      <c r="I59" s="358"/>
      <c r="J59" s="561">
        <v>574.11</v>
      </c>
      <c r="K59" s="358">
        <v>154.11000000000001</v>
      </c>
      <c r="L59" s="562">
        <v>172.9</v>
      </c>
      <c r="M59" s="563">
        <v>176.5</v>
      </c>
      <c r="N59" s="358">
        <v>174.7</v>
      </c>
      <c r="O59" s="358">
        <v>174.7</v>
      </c>
      <c r="P59" s="560"/>
      <c r="Q59" s="574" t="s">
        <v>601</v>
      </c>
    </row>
    <row r="60" spans="1:17">
      <c r="A60" s="538">
        <v>46064</v>
      </c>
      <c r="B60" t="s">
        <v>940</v>
      </c>
      <c r="C60" s="551" t="s">
        <v>953</v>
      </c>
      <c r="D60" s="358" t="s">
        <v>603</v>
      </c>
      <c r="E60" s="359">
        <v>46220</v>
      </c>
      <c r="F60" s="358" t="s">
        <v>597</v>
      </c>
      <c r="G60" s="358" t="s">
        <v>137</v>
      </c>
      <c r="H60" s="358" t="s">
        <v>831</v>
      </c>
      <c r="I60" s="358"/>
      <c r="J60" s="561">
        <v>404.37</v>
      </c>
      <c r="K60" s="358">
        <v>0</v>
      </c>
      <c r="L60" s="562">
        <v>12</v>
      </c>
      <c r="M60" s="563">
        <v>12.1</v>
      </c>
      <c r="N60" s="358">
        <v>12.05</v>
      </c>
      <c r="O60" s="358">
        <v>12.05</v>
      </c>
      <c r="P60" s="560"/>
      <c r="Q60" s="574" t="s">
        <v>601</v>
      </c>
    </row>
    <row r="61" spans="1:17">
      <c r="A61" s="538">
        <v>46064</v>
      </c>
      <c r="B61" s="550" t="s">
        <v>974</v>
      </c>
      <c r="C61" s="551" t="s">
        <v>975</v>
      </c>
      <c r="D61" s="358" t="s">
        <v>602</v>
      </c>
      <c r="E61" s="359">
        <v>46073</v>
      </c>
      <c r="F61" s="358" t="s">
        <v>597</v>
      </c>
      <c r="G61" s="358" t="s">
        <v>137</v>
      </c>
      <c r="H61" s="358" t="s">
        <v>976</v>
      </c>
      <c r="I61" s="358"/>
      <c r="J61" s="556">
        <v>39.159999999999997</v>
      </c>
      <c r="K61" s="358">
        <v>2.1599999999999966</v>
      </c>
      <c r="L61" s="556">
        <v>2.2885010976290561</v>
      </c>
      <c r="M61" s="556">
        <v>2.2885010976290561</v>
      </c>
      <c r="N61" s="556">
        <v>2.2885010976290561</v>
      </c>
      <c r="O61" s="556">
        <v>2.2931920709373954</v>
      </c>
      <c r="P61" s="358">
        <v>32.006083496372668</v>
      </c>
      <c r="Q61" s="574" t="s">
        <v>594</v>
      </c>
    </row>
    <row r="62" spans="1:17">
      <c r="A62" s="538">
        <v>46064</v>
      </c>
      <c r="B62" s="550" t="s">
        <v>971</v>
      </c>
      <c r="C62" s="551" t="s">
        <v>977</v>
      </c>
      <c r="D62" s="358" t="s">
        <v>978</v>
      </c>
      <c r="E62" s="359">
        <v>46220</v>
      </c>
      <c r="F62" s="358" t="s">
        <v>597</v>
      </c>
      <c r="G62" s="358" t="s">
        <v>137</v>
      </c>
      <c r="H62" s="358" t="s">
        <v>979</v>
      </c>
      <c r="I62" s="358"/>
      <c r="J62" s="561">
        <v>48.29</v>
      </c>
      <c r="K62" s="358">
        <v>0</v>
      </c>
      <c r="L62" s="562">
        <v>7.15</v>
      </c>
      <c r="M62" s="563">
        <v>7.45</v>
      </c>
      <c r="N62" s="358">
        <v>7.3000000000000007</v>
      </c>
      <c r="O62" s="358">
        <v>7.3000000000000007</v>
      </c>
      <c r="P62" s="560"/>
      <c r="Q62" s="574" t="s">
        <v>601</v>
      </c>
    </row>
    <row r="63" spans="1:17">
      <c r="A63" s="538">
        <v>46064</v>
      </c>
      <c r="B63" s="550" t="s">
        <v>972</v>
      </c>
      <c r="C63" s="551" t="s">
        <v>980</v>
      </c>
      <c r="D63" s="358" t="s">
        <v>978</v>
      </c>
      <c r="E63" s="359">
        <v>46220</v>
      </c>
      <c r="F63" s="358" t="s">
        <v>597</v>
      </c>
      <c r="G63" s="358" t="s">
        <v>137</v>
      </c>
      <c r="H63" s="358" t="s">
        <v>981</v>
      </c>
      <c r="I63" s="358"/>
      <c r="J63" s="561">
        <v>48.29</v>
      </c>
      <c r="K63" s="358">
        <v>0</v>
      </c>
      <c r="L63" s="562">
        <v>3.85</v>
      </c>
      <c r="M63" s="563">
        <v>4.4000000000000004</v>
      </c>
      <c r="N63" s="358">
        <v>4.125</v>
      </c>
      <c r="O63" s="358">
        <v>4.125</v>
      </c>
      <c r="P63" s="560"/>
      <c r="Q63" s="574" t="s">
        <v>601</v>
      </c>
    </row>
    <row r="64" spans="1:17">
      <c r="A64" s="538">
        <v>46064</v>
      </c>
      <c r="B64" s="550" t="s">
        <v>970</v>
      </c>
      <c r="C64" s="551" t="s">
        <v>982</v>
      </c>
      <c r="D64" s="358" t="s">
        <v>978</v>
      </c>
      <c r="E64" s="359">
        <v>46220</v>
      </c>
      <c r="F64" s="358" t="s">
        <v>592</v>
      </c>
      <c r="G64" s="358" t="s">
        <v>137</v>
      </c>
      <c r="H64" s="358" t="s">
        <v>983</v>
      </c>
      <c r="I64" s="358"/>
      <c r="J64" s="561">
        <v>48.29</v>
      </c>
      <c r="K64" s="358">
        <v>0</v>
      </c>
      <c r="L64" s="562">
        <v>3.2</v>
      </c>
      <c r="M64" s="563">
        <v>3.6</v>
      </c>
      <c r="N64" s="358">
        <v>3.4000000000000004</v>
      </c>
      <c r="O64" s="358">
        <v>3.4000000000000004</v>
      </c>
      <c r="P64" s="560"/>
      <c r="Q64" s="574" t="s">
        <v>601</v>
      </c>
    </row>
    <row r="65" spans="1:17">
      <c r="A65" s="538">
        <v>46064</v>
      </c>
      <c r="B65" s="550" t="s">
        <v>973</v>
      </c>
      <c r="C65" s="551" t="s">
        <v>984</v>
      </c>
      <c r="D65" s="358" t="s">
        <v>603</v>
      </c>
      <c r="E65" s="359">
        <v>46220</v>
      </c>
      <c r="F65" s="358" t="s">
        <v>597</v>
      </c>
      <c r="G65" s="358" t="s">
        <v>137</v>
      </c>
      <c r="H65" s="358" t="s">
        <v>985</v>
      </c>
      <c r="I65" s="358"/>
      <c r="J65" s="561">
        <v>404.37</v>
      </c>
      <c r="K65" s="358">
        <v>0</v>
      </c>
      <c r="L65" s="562">
        <v>9.9499999999999993</v>
      </c>
      <c r="M65" s="563">
        <v>10.050000000000001</v>
      </c>
      <c r="N65" s="358">
        <v>10</v>
      </c>
      <c r="O65" s="358">
        <v>10</v>
      </c>
      <c r="P65" s="560"/>
      <c r="Q65" s="574" t="s">
        <v>601</v>
      </c>
    </row>
    <row r="66" spans="1:17">
      <c r="A66" s="538">
        <v>46064</v>
      </c>
      <c r="B66" s="571" t="s">
        <v>1000</v>
      </c>
      <c r="C66" s="551" t="s">
        <v>1013</v>
      </c>
      <c r="D66" s="358" t="s">
        <v>603</v>
      </c>
      <c r="E66" s="359">
        <v>46220</v>
      </c>
      <c r="F66" s="358" t="s">
        <v>597</v>
      </c>
      <c r="G66" s="358" t="s">
        <v>137</v>
      </c>
      <c r="H66" s="358" t="s">
        <v>930</v>
      </c>
      <c r="I66" s="358"/>
      <c r="J66" s="561">
        <v>404.37</v>
      </c>
      <c r="K66" s="358">
        <v>0</v>
      </c>
      <c r="L66" s="562">
        <v>6.25</v>
      </c>
      <c r="M66" s="563">
        <v>6.35</v>
      </c>
      <c r="N66" s="358">
        <v>6.3</v>
      </c>
      <c r="O66" s="358">
        <v>6.3</v>
      </c>
      <c r="P66" s="560"/>
      <c r="Q66" s="574" t="s">
        <v>601</v>
      </c>
    </row>
    <row r="67" spans="1:17">
      <c r="A67" s="538">
        <v>46064</v>
      </c>
      <c r="B67" s="571" t="s">
        <v>1014</v>
      </c>
      <c r="C67" s="551" t="s">
        <v>1015</v>
      </c>
      <c r="D67" s="358" t="s">
        <v>1016</v>
      </c>
      <c r="E67" s="359">
        <v>46129</v>
      </c>
      <c r="F67" s="358" t="s">
        <v>597</v>
      </c>
      <c r="G67" s="358" t="s">
        <v>137</v>
      </c>
      <c r="H67" s="358" t="s">
        <v>1017</v>
      </c>
      <c r="I67" s="358"/>
      <c r="J67" s="561">
        <v>61.56</v>
      </c>
      <c r="K67" s="358">
        <v>0.56000000000000227</v>
      </c>
      <c r="L67" s="562">
        <v>2.4900000000000002</v>
      </c>
      <c r="M67" s="563">
        <v>2.81</v>
      </c>
      <c r="N67" s="358">
        <v>2.6500000000000004</v>
      </c>
      <c r="O67" s="358">
        <v>2.6500000000000004</v>
      </c>
      <c r="P67" s="560"/>
      <c r="Q67" s="574" t="s">
        <v>601</v>
      </c>
    </row>
    <row r="68" spans="1:17">
      <c r="A68" s="538">
        <v>46064</v>
      </c>
      <c r="B68" s="571" t="s">
        <v>1018</v>
      </c>
      <c r="C68" s="551" t="s">
        <v>1019</v>
      </c>
      <c r="D68" s="358" t="s">
        <v>1016</v>
      </c>
      <c r="E68" s="359">
        <v>46129</v>
      </c>
      <c r="F68" s="358" t="s">
        <v>597</v>
      </c>
      <c r="G68" s="358" t="s">
        <v>137</v>
      </c>
      <c r="H68" s="358" t="s">
        <v>1020</v>
      </c>
      <c r="I68" s="358"/>
      <c r="J68" s="561">
        <v>61.56</v>
      </c>
      <c r="K68" s="358">
        <v>0</v>
      </c>
      <c r="L68" s="562">
        <v>0.81</v>
      </c>
      <c r="M68" s="563">
        <v>0.9</v>
      </c>
      <c r="N68" s="358">
        <v>0.85499999999999998</v>
      </c>
      <c r="O68" s="358">
        <v>0.85499999999999998</v>
      </c>
      <c r="P68" s="560"/>
      <c r="Q68" s="574" t="s">
        <v>601</v>
      </c>
    </row>
    <row r="69" spans="1:17">
      <c r="A69" s="538">
        <v>46064</v>
      </c>
      <c r="B69" t="s">
        <v>1021</v>
      </c>
      <c r="C69" s="551" t="s">
        <v>1022</v>
      </c>
      <c r="D69" s="358" t="s">
        <v>1016</v>
      </c>
      <c r="E69" s="359">
        <v>46073</v>
      </c>
      <c r="F69" s="358" t="s">
        <v>597</v>
      </c>
      <c r="G69" s="358" t="s">
        <v>137</v>
      </c>
      <c r="H69" s="358" t="s">
        <v>1017</v>
      </c>
      <c r="I69" s="358"/>
      <c r="J69" s="556">
        <v>61.56</v>
      </c>
      <c r="K69" s="358">
        <v>0.56000000000000227</v>
      </c>
      <c r="L69" s="556">
        <v>1.0568247007220222</v>
      </c>
      <c r="M69" s="556">
        <v>1.0568247007220222</v>
      </c>
      <c r="N69" s="556">
        <v>1.0568247007220222</v>
      </c>
      <c r="O69" s="556">
        <v>1.0644578565347822</v>
      </c>
      <c r="P69" s="358">
        <v>18.738268004749493</v>
      </c>
      <c r="Q69" s="574" t="s">
        <v>594</v>
      </c>
    </row>
    <row r="70" spans="1:17">
      <c r="A70" s="538">
        <v>46064</v>
      </c>
      <c r="B70" t="s">
        <v>1030</v>
      </c>
      <c r="C70" s="551" t="s">
        <v>1048</v>
      </c>
      <c r="D70" s="358" t="s">
        <v>1047</v>
      </c>
      <c r="E70" s="359">
        <v>46066</v>
      </c>
      <c r="F70" s="358" t="s">
        <v>597</v>
      </c>
      <c r="G70" s="358" t="s">
        <v>137</v>
      </c>
      <c r="H70" s="358" t="s">
        <v>1049</v>
      </c>
      <c r="I70" s="358"/>
      <c r="J70" s="561">
        <v>190.05</v>
      </c>
      <c r="K70" s="358">
        <v>0</v>
      </c>
      <c r="L70" s="562">
        <v>7.0000000000000007E-2</v>
      </c>
      <c r="M70" s="563">
        <v>0.08</v>
      </c>
      <c r="N70" s="358">
        <v>7.5000000000000011E-2</v>
      </c>
      <c r="O70" s="358">
        <v>7.5000000000000011E-2</v>
      </c>
      <c r="P70" s="560"/>
      <c r="Q70" s="574" t="s">
        <v>601</v>
      </c>
    </row>
    <row r="71" spans="1:17">
      <c r="A71" s="538">
        <v>46064</v>
      </c>
      <c r="B71" t="s">
        <v>1029</v>
      </c>
      <c r="C71" s="551" t="s">
        <v>1050</v>
      </c>
      <c r="D71" s="358" t="s">
        <v>1047</v>
      </c>
      <c r="E71" s="359">
        <v>46157</v>
      </c>
      <c r="F71" s="358" t="s">
        <v>597</v>
      </c>
      <c r="G71" s="358" t="s">
        <v>137</v>
      </c>
      <c r="H71" s="358" t="s">
        <v>827</v>
      </c>
      <c r="I71" s="358"/>
      <c r="J71" s="561">
        <v>190.05</v>
      </c>
      <c r="K71" s="358">
        <v>0</v>
      </c>
      <c r="L71" s="562">
        <v>13.45</v>
      </c>
      <c r="M71" s="563">
        <v>13.55</v>
      </c>
      <c r="N71" s="358">
        <v>13.5</v>
      </c>
      <c r="O71" s="358">
        <v>13.5</v>
      </c>
      <c r="P71" s="560"/>
      <c r="Q71" s="574" t="s">
        <v>601</v>
      </c>
    </row>
    <row r="72" spans="1:17">
      <c r="A72" s="538">
        <v>46064</v>
      </c>
      <c r="B72" t="s">
        <v>1041</v>
      </c>
      <c r="C72" s="551" t="s">
        <v>1051</v>
      </c>
      <c r="D72" s="358" t="s">
        <v>735</v>
      </c>
      <c r="E72" s="359">
        <v>46220</v>
      </c>
      <c r="F72" s="358" t="s">
        <v>597</v>
      </c>
      <c r="G72" s="358" t="s">
        <v>137</v>
      </c>
      <c r="H72" s="358" t="s">
        <v>1052</v>
      </c>
      <c r="I72" s="358"/>
      <c r="J72" s="561">
        <v>668.69</v>
      </c>
      <c r="K72" s="358">
        <v>0</v>
      </c>
      <c r="L72" s="562">
        <v>51.2</v>
      </c>
      <c r="M72" s="563">
        <v>51.45</v>
      </c>
      <c r="N72" s="358">
        <v>51.325000000000003</v>
      </c>
      <c r="O72" s="358">
        <v>51.325000000000003</v>
      </c>
      <c r="P72" s="560"/>
      <c r="Q72" s="574" t="s">
        <v>601</v>
      </c>
    </row>
    <row r="73" spans="1:17">
      <c r="A73" s="538">
        <v>46064</v>
      </c>
      <c r="B73" t="s">
        <v>1075</v>
      </c>
      <c r="C73" s="551" t="s">
        <v>1081</v>
      </c>
      <c r="D73" s="358" t="s">
        <v>1082</v>
      </c>
      <c r="E73" s="359">
        <v>46129</v>
      </c>
      <c r="F73" s="358" t="s">
        <v>597</v>
      </c>
      <c r="G73" s="358" t="s">
        <v>137</v>
      </c>
      <c r="H73" s="358" t="s">
        <v>826</v>
      </c>
      <c r="I73" s="358"/>
      <c r="J73" s="561">
        <v>275.5</v>
      </c>
      <c r="K73" s="358">
        <v>15.5</v>
      </c>
      <c r="L73" s="562">
        <v>22.2</v>
      </c>
      <c r="M73" s="563">
        <v>22.35</v>
      </c>
      <c r="N73" s="358">
        <v>22.274999999999999</v>
      </c>
      <c r="O73" s="358">
        <v>22.274999999999999</v>
      </c>
      <c r="P73" s="560"/>
      <c r="Q73" s="574" t="s">
        <v>601</v>
      </c>
    </row>
    <row r="74" spans="1:17">
      <c r="A74" s="538">
        <v>46064</v>
      </c>
      <c r="B74" t="s">
        <v>1076</v>
      </c>
      <c r="C74" s="551" t="s">
        <v>1083</v>
      </c>
      <c r="D74" s="358" t="s">
        <v>1082</v>
      </c>
      <c r="E74" s="359">
        <v>46129</v>
      </c>
      <c r="F74" s="358" t="s">
        <v>597</v>
      </c>
      <c r="G74" s="358" t="s">
        <v>137</v>
      </c>
      <c r="H74" s="358" t="s">
        <v>1084</v>
      </c>
      <c r="I74" s="358"/>
      <c r="J74" s="561">
        <v>275.5</v>
      </c>
      <c r="K74" s="358">
        <v>0</v>
      </c>
      <c r="L74" s="562">
        <v>9.4499999999999993</v>
      </c>
      <c r="M74" s="563">
        <v>9.5500000000000007</v>
      </c>
      <c r="N74" s="358">
        <v>9.5</v>
      </c>
      <c r="O74" s="358">
        <v>9.5</v>
      </c>
      <c r="P74" s="560"/>
      <c r="Q74" s="574" t="s">
        <v>601</v>
      </c>
    </row>
    <row r="75" spans="1:17">
      <c r="A75" s="538">
        <v>46064</v>
      </c>
      <c r="B75" t="s">
        <v>1074</v>
      </c>
      <c r="C75" s="551" t="s">
        <v>1085</v>
      </c>
      <c r="D75" s="358" t="s">
        <v>735</v>
      </c>
      <c r="E75" s="359">
        <v>46220</v>
      </c>
      <c r="F75" s="358" t="s">
        <v>597</v>
      </c>
      <c r="G75" s="358" t="s">
        <v>137</v>
      </c>
      <c r="H75" s="358" t="s">
        <v>835</v>
      </c>
      <c r="I75" s="358"/>
      <c r="J75" s="561">
        <v>668.69</v>
      </c>
      <c r="K75" s="358">
        <v>0</v>
      </c>
      <c r="L75" s="562">
        <v>33.200000000000003</v>
      </c>
      <c r="M75" s="563">
        <v>33.4</v>
      </c>
      <c r="N75" s="358">
        <v>33.299999999999997</v>
      </c>
      <c r="O75" s="358">
        <v>33.299999999999997</v>
      </c>
      <c r="P75" s="560"/>
      <c r="Q75" s="574" t="s">
        <v>601</v>
      </c>
    </row>
    <row r="76" spans="1:17">
      <c r="A76" s="538">
        <v>46064</v>
      </c>
      <c r="B76" t="s">
        <v>1101</v>
      </c>
      <c r="C76" s="551" t="s">
        <v>1110</v>
      </c>
      <c r="D76" s="358" t="s">
        <v>727</v>
      </c>
      <c r="E76" s="359">
        <v>46101</v>
      </c>
      <c r="F76" s="358" t="s">
        <v>592</v>
      </c>
      <c r="G76" s="358" t="s">
        <v>137</v>
      </c>
      <c r="H76" s="358" t="s">
        <v>981</v>
      </c>
      <c r="I76" s="358"/>
      <c r="J76" s="561">
        <v>81.34</v>
      </c>
      <c r="K76" s="358">
        <v>0</v>
      </c>
      <c r="L76" s="562">
        <v>0.71</v>
      </c>
      <c r="M76" s="563">
        <v>0.85</v>
      </c>
      <c r="N76" s="358">
        <v>0.78</v>
      </c>
      <c r="O76" s="358">
        <v>0.78</v>
      </c>
      <c r="P76" s="560"/>
      <c r="Q76" s="574" t="s">
        <v>601</v>
      </c>
    </row>
    <row r="77" spans="1:17">
      <c r="A77" s="538">
        <v>46064</v>
      </c>
      <c r="B77" t="s">
        <v>1102</v>
      </c>
      <c r="C77" s="551" t="s">
        <v>1111</v>
      </c>
      <c r="D77" s="358" t="s">
        <v>755</v>
      </c>
      <c r="E77" s="359">
        <v>46157</v>
      </c>
      <c r="F77" s="358" t="s">
        <v>597</v>
      </c>
      <c r="G77" s="358" t="s">
        <v>137</v>
      </c>
      <c r="H77" s="358" t="s">
        <v>833</v>
      </c>
      <c r="I77" s="358"/>
      <c r="J77" s="561">
        <v>79.62</v>
      </c>
      <c r="K77" s="358">
        <v>0</v>
      </c>
      <c r="L77" s="562">
        <v>3</v>
      </c>
      <c r="M77" s="563">
        <v>3.05</v>
      </c>
      <c r="N77" s="358">
        <v>3.0249999999999999</v>
      </c>
      <c r="O77" s="358">
        <v>3.0249999999999999</v>
      </c>
      <c r="P77" s="560"/>
      <c r="Q77" s="574" t="s">
        <v>601</v>
      </c>
    </row>
    <row r="78" spans="1:17">
      <c r="A78" s="538">
        <v>46064</v>
      </c>
      <c r="B78" t="s">
        <v>1103</v>
      </c>
      <c r="C78" s="551" t="s">
        <v>1112</v>
      </c>
      <c r="D78" s="358" t="s">
        <v>755</v>
      </c>
      <c r="E78" s="359">
        <v>46157</v>
      </c>
      <c r="F78" s="358" t="s">
        <v>592</v>
      </c>
      <c r="G78" s="358" t="s">
        <v>137</v>
      </c>
      <c r="H78" s="358" t="s">
        <v>934</v>
      </c>
      <c r="I78" s="358"/>
      <c r="J78" s="561">
        <v>79.62</v>
      </c>
      <c r="K78" s="358">
        <v>0</v>
      </c>
      <c r="L78" s="562">
        <v>2.08</v>
      </c>
      <c r="M78" s="563">
        <v>2.4</v>
      </c>
      <c r="N78" s="358">
        <v>2.2400000000000002</v>
      </c>
      <c r="O78" s="358">
        <v>2.2400000000000002</v>
      </c>
      <c r="P78" s="560"/>
      <c r="Q78" s="574" t="s">
        <v>601</v>
      </c>
    </row>
    <row r="79" spans="1:17">
      <c r="A79" s="538">
        <v>46064</v>
      </c>
      <c r="B79" t="s">
        <v>1123</v>
      </c>
      <c r="C79" s="551" t="s">
        <v>1125</v>
      </c>
      <c r="D79" s="358" t="s">
        <v>1126</v>
      </c>
      <c r="E79" s="359">
        <v>46073</v>
      </c>
      <c r="F79" s="358" t="s">
        <v>597</v>
      </c>
      <c r="G79" s="358" t="s">
        <v>137</v>
      </c>
      <c r="H79" s="358" t="s">
        <v>1127</v>
      </c>
      <c r="I79" s="358"/>
      <c r="J79" s="556">
        <v>2018.18</v>
      </c>
      <c r="K79" s="358">
        <v>0</v>
      </c>
      <c r="L79" s="556">
        <v>10.630053203208458</v>
      </c>
      <c r="M79" s="556">
        <v>10.630053203208458</v>
      </c>
      <c r="N79" s="556">
        <v>10.630053203208458</v>
      </c>
      <c r="O79" s="556">
        <v>10.959675519928723</v>
      </c>
      <c r="P79" s="358">
        <v>39.511600130148658</v>
      </c>
      <c r="Q79" s="574" t="s">
        <v>594</v>
      </c>
    </row>
    <row r="80" spans="1:17">
      <c r="A80" s="538">
        <v>46064</v>
      </c>
      <c r="B80" t="s">
        <v>1124</v>
      </c>
      <c r="C80" s="551" t="s">
        <v>1128</v>
      </c>
      <c r="D80" s="358" t="s">
        <v>773</v>
      </c>
      <c r="E80" s="359">
        <v>46066</v>
      </c>
      <c r="F80" s="358" t="s">
        <v>597</v>
      </c>
      <c r="G80" s="358" t="s">
        <v>137</v>
      </c>
      <c r="H80" s="358" t="s">
        <v>828</v>
      </c>
      <c r="I80" s="358"/>
      <c r="J80" s="561">
        <v>342.76</v>
      </c>
      <c r="K80" s="358">
        <v>12.759999999999991</v>
      </c>
      <c r="L80" s="562">
        <v>14.4</v>
      </c>
      <c r="M80" s="563">
        <v>15.55</v>
      </c>
      <c r="N80" s="358">
        <v>14.975000000000001</v>
      </c>
      <c r="O80" s="358">
        <v>14.975000000000001</v>
      </c>
      <c r="P80" s="560"/>
      <c r="Q80" s="574" t="s">
        <v>601</v>
      </c>
    </row>
    <row r="81" spans="1:17">
      <c r="A81" s="538">
        <v>46064</v>
      </c>
      <c r="B81" t="s">
        <v>1143</v>
      </c>
      <c r="C81" s="551" t="s">
        <v>1149</v>
      </c>
      <c r="D81" s="358" t="s">
        <v>699</v>
      </c>
      <c r="E81" s="359">
        <v>46129</v>
      </c>
      <c r="F81" s="358" t="s">
        <v>597</v>
      </c>
      <c r="G81" s="358" t="s">
        <v>137</v>
      </c>
      <c r="H81" s="358" t="s">
        <v>1150</v>
      </c>
      <c r="I81" s="358"/>
      <c r="J81" s="561">
        <v>204.08</v>
      </c>
      <c r="K81" s="358">
        <v>0</v>
      </c>
      <c r="L81" s="562">
        <v>2.37</v>
      </c>
      <c r="M81" s="563">
        <v>2.41</v>
      </c>
      <c r="N81" s="358">
        <v>2.39</v>
      </c>
      <c r="O81" s="358">
        <v>2.39</v>
      </c>
      <c r="P81" s="560"/>
      <c r="Q81" s="574" t="s">
        <v>601</v>
      </c>
    </row>
    <row r="82" spans="1:17">
      <c r="A82" s="538">
        <v>46064</v>
      </c>
      <c r="B82" t="s">
        <v>1144</v>
      </c>
      <c r="C82" s="551" t="s">
        <v>1151</v>
      </c>
      <c r="D82" s="358" t="s">
        <v>699</v>
      </c>
      <c r="E82" s="359">
        <v>46129</v>
      </c>
      <c r="F82" s="358" t="s">
        <v>597</v>
      </c>
      <c r="G82" s="358" t="s">
        <v>137</v>
      </c>
      <c r="H82" s="358" t="s">
        <v>818</v>
      </c>
      <c r="I82" s="358"/>
      <c r="J82" s="561">
        <v>204.08</v>
      </c>
      <c r="K82" s="358">
        <v>0</v>
      </c>
      <c r="L82" s="562">
        <v>1.1100000000000001</v>
      </c>
      <c r="M82" s="563">
        <v>1.1299999999999999</v>
      </c>
      <c r="N82" s="358">
        <v>1.1200000000000001</v>
      </c>
      <c r="O82" s="358">
        <v>1.1200000000000001</v>
      </c>
      <c r="P82" s="560"/>
      <c r="Q82" s="574" t="s">
        <v>601</v>
      </c>
    </row>
    <row r="83" spans="1:17">
      <c r="A83" s="538">
        <v>46064</v>
      </c>
      <c r="B83" t="s">
        <v>1192</v>
      </c>
      <c r="C83" s="551" t="s">
        <v>1201</v>
      </c>
      <c r="D83" s="358" t="s">
        <v>894</v>
      </c>
      <c r="E83" s="359">
        <v>46080</v>
      </c>
      <c r="F83" s="358" t="s">
        <v>597</v>
      </c>
      <c r="G83" s="358" t="s">
        <v>137</v>
      </c>
      <c r="H83" s="358" t="s">
        <v>895</v>
      </c>
      <c r="I83" s="358"/>
      <c r="J83" s="556">
        <v>34.01</v>
      </c>
      <c r="K83" s="358">
        <v>0</v>
      </c>
      <c r="L83" s="556">
        <v>0.18894740774920327</v>
      </c>
      <c r="M83" s="556">
        <v>0.18894740774920327</v>
      </c>
      <c r="N83" s="556">
        <v>0.18894740774920327</v>
      </c>
      <c r="O83" s="556">
        <v>0.19151581226952136</v>
      </c>
      <c r="P83" s="358">
        <v>18.639121967370158</v>
      </c>
      <c r="Q83" s="574" t="s">
        <v>594</v>
      </c>
    </row>
    <row r="84" spans="1:17">
      <c r="A84" s="538">
        <v>46064</v>
      </c>
      <c r="B84" t="s">
        <v>1188</v>
      </c>
      <c r="C84" s="551" t="s">
        <v>1202</v>
      </c>
      <c r="D84" s="358" t="s">
        <v>745</v>
      </c>
      <c r="E84" s="359">
        <v>46191</v>
      </c>
      <c r="F84" s="358" t="s">
        <v>597</v>
      </c>
      <c r="G84" s="358" t="s">
        <v>137</v>
      </c>
      <c r="H84" s="358" t="s">
        <v>846</v>
      </c>
      <c r="I84" s="358"/>
      <c r="J84" s="561">
        <v>574.11</v>
      </c>
      <c r="K84" s="358">
        <v>0</v>
      </c>
      <c r="L84" s="562">
        <v>128.80000000000001</v>
      </c>
      <c r="M84" s="563">
        <v>133</v>
      </c>
      <c r="N84" s="358">
        <v>130.9</v>
      </c>
      <c r="O84" s="358">
        <v>130.9</v>
      </c>
      <c r="P84" s="560"/>
      <c r="Q84" s="574" t="s">
        <v>601</v>
      </c>
    </row>
    <row r="85" spans="1:17">
      <c r="A85" s="538">
        <v>46064</v>
      </c>
      <c r="B85" t="s">
        <v>1189</v>
      </c>
      <c r="C85" s="551" t="s">
        <v>1203</v>
      </c>
      <c r="D85" s="358" t="s">
        <v>745</v>
      </c>
      <c r="E85" s="359">
        <v>46191</v>
      </c>
      <c r="F85" s="358" t="s">
        <v>597</v>
      </c>
      <c r="G85" s="358" t="s">
        <v>137</v>
      </c>
      <c r="H85" s="358" t="s">
        <v>1204</v>
      </c>
      <c r="I85" s="358"/>
      <c r="J85" s="561">
        <v>574.11</v>
      </c>
      <c r="K85" s="358">
        <v>0</v>
      </c>
      <c r="L85" s="562">
        <v>91.6</v>
      </c>
      <c r="M85" s="563">
        <v>96</v>
      </c>
      <c r="N85" s="358">
        <v>93.8</v>
      </c>
      <c r="O85" s="358">
        <v>93.8</v>
      </c>
      <c r="P85" s="560"/>
      <c r="Q85" s="574" t="s">
        <v>601</v>
      </c>
    </row>
    <row r="86" spans="1:17">
      <c r="A86" s="538">
        <v>46064</v>
      </c>
      <c r="B86" t="s">
        <v>1193</v>
      </c>
      <c r="C86" s="551" t="s">
        <v>1205</v>
      </c>
      <c r="D86" s="358" t="s">
        <v>1206</v>
      </c>
      <c r="E86" s="359">
        <v>46129</v>
      </c>
      <c r="F86" s="358" t="s">
        <v>597</v>
      </c>
      <c r="G86" s="358" t="s">
        <v>137</v>
      </c>
      <c r="H86" s="358" t="s">
        <v>1207</v>
      </c>
      <c r="I86" s="358"/>
      <c r="J86" s="561">
        <v>85.54</v>
      </c>
      <c r="K86" s="358">
        <v>0</v>
      </c>
      <c r="L86" s="562">
        <v>0.55000000000000004</v>
      </c>
      <c r="M86" s="563">
        <v>0.78</v>
      </c>
      <c r="N86" s="358">
        <v>0.66500000000000004</v>
      </c>
      <c r="O86" s="358">
        <v>0.66500000000000004</v>
      </c>
      <c r="P86" s="560"/>
      <c r="Q86" s="574" t="s">
        <v>601</v>
      </c>
    </row>
    <row r="87" spans="1:17">
      <c r="A87" s="538">
        <v>46064</v>
      </c>
      <c r="B87" t="s">
        <v>1194</v>
      </c>
      <c r="C87" s="551" t="s">
        <v>1208</v>
      </c>
      <c r="D87" s="358" t="s">
        <v>1206</v>
      </c>
      <c r="E87" s="359">
        <v>46129</v>
      </c>
      <c r="F87" s="358" t="s">
        <v>597</v>
      </c>
      <c r="G87" s="358" t="s">
        <v>137</v>
      </c>
      <c r="H87" s="358" t="s">
        <v>1209</v>
      </c>
      <c r="I87" s="358"/>
      <c r="J87" s="561">
        <v>85.54</v>
      </c>
      <c r="K87" s="358">
        <v>0</v>
      </c>
      <c r="L87" s="562">
        <v>1.27</v>
      </c>
      <c r="M87" s="563">
        <v>1.33</v>
      </c>
      <c r="N87" s="358">
        <v>1.3</v>
      </c>
      <c r="O87" s="358">
        <v>1.3</v>
      </c>
      <c r="P87" s="560"/>
      <c r="Q87" s="574" t="s">
        <v>601</v>
      </c>
    </row>
    <row r="88" spans="1:17">
      <c r="A88" s="538">
        <v>46064</v>
      </c>
      <c r="B88" t="s">
        <v>1214</v>
      </c>
      <c r="C88" s="551" t="s">
        <v>1229</v>
      </c>
      <c r="D88" s="358" t="s">
        <v>617</v>
      </c>
      <c r="E88" s="359">
        <v>46066</v>
      </c>
      <c r="F88" s="358" t="s">
        <v>592</v>
      </c>
      <c r="G88" s="358" t="s">
        <v>137</v>
      </c>
      <c r="H88" s="358" t="s">
        <v>1230</v>
      </c>
      <c r="I88" s="358"/>
      <c r="J88" s="561">
        <v>613.11</v>
      </c>
      <c r="K88" s="358">
        <v>0</v>
      </c>
      <c r="L88" s="562">
        <v>2.85</v>
      </c>
      <c r="M88" s="563">
        <v>2.88</v>
      </c>
      <c r="N88" s="358">
        <v>2.8650000000000002</v>
      </c>
      <c r="O88" s="358">
        <v>2.8650000000000002</v>
      </c>
      <c r="P88" s="560"/>
      <c r="Q88" s="574" t="s">
        <v>601</v>
      </c>
    </row>
    <row r="89" spans="1:17">
      <c r="A89" s="538">
        <v>46064</v>
      </c>
      <c r="B89" t="s">
        <v>1217</v>
      </c>
      <c r="C89" s="551" t="s">
        <v>1231</v>
      </c>
      <c r="D89" s="358" t="s">
        <v>617</v>
      </c>
      <c r="E89" s="359">
        <v>46073</v>
      </c>
      <c r="F89" s="358" t="s">
        <v>592</v>
      </c>
      <c r="G89" s="358" t="s">
        <v>137</v>
      </c>
      <c r="H89" s="358" t="s">
        <v>836</v>
      </c>
      <c r="I89" s="358"/>
      <c r="J89" s="561">
        <v>613.11</v>
      </c>
      <c r="K89" s="358">
        <v>0</v>
      </c>
      <c r="L89" s="562">
        <v>1.94</v>
      </c>
      <c r="M89" s="563">
        <v>1.97</v>
      </c>
      <c r="N89" s="358">
        <v>1.9550000000000001</v>
      </c>
      <c r="O89" s="358">
        <v>1.9550000000000001</v>
      </c>
      <c r="P89" s="560"/>
      <c r="Q89" s="574" t="s">
        <v>601</v>
      </c>
    </row>
    <row r="90" spans="1:17">
      <c r="A90" s="538">
        <v>46064</v>
      </c>
      <c r="B90" t="s">
        <v>1216</v>
      </c>
      <c r="C90" s="551" t="s">
        <v>1232</v>
      </c>
      <c r="D90" s="358" t="s">
        <v>617</v>
      </c>
      <c r="E90" s="359">
        <v>46073</v>
      </c>
      <c r="F90" s="358" t="s">
        <v>592</v>
      </c>
      <c r="G90" s="358" t="s">
        <v>137</v>
      </c>
      <c r="H90" s="358" t="s">
        <v>1233</v>
      </c>
      <c r="I90" s="358"/>
      <c r="J90" s="561">
        <v>613.11</v>
      </c>
      <c r="K90" s="358">
        <v>0</v>
      </c>
      <c r="L90" s="562">
        <v>4.55</v>
      </c>
      <c r="M90" s="563">
        <v>4.59</v>
      </c>
      <c r="N90" s="358">
        <v>4.57</v>
      </c>
      <c r="O90" s="358">
        <v>4.57</v>
      </c>
      <c r="P90" s="560"/>
      <c r="Q90" s="574" t="s">
        <v>601</v>
      </c>
    </row>
    <row r="91" spans="1:17">
      <c r="A91" s="538">
        <v>46064</v>
      </c>
      <c r="B91" t="s">
        <v>1218</v>
      </c>
      <c r="C91" s="551" t="s">
        <v>1234</v>
      </c>
      <c r="D91" s="358" t="s">
        <v>1047</v>
      </c>
      <c r="E91" s="359">
        <v>46101</v>
      </c>
      <c r="F91" s="358" t="s">
        <v>597</v>
      </c>
      <c r="G91" s="358" t="s">
        <v>137</v>
      </c>
      <c r="H91" s="358" t="s">
        <v>827</v>
      </c>
      <c r="I91" s="358"/>
      <c r="J91" s="561">
        <v>190.05</v>
      </c>
      <c r="K91" s="358">
        <v>0</v>
      </c>
      <c r="L91" s="562">
        <v>7.35</v>
      </c>
      <c r="M91" s="563">
        <v>7.45</v>
      </c>
      <c r="N91" s="358">
        <v>7.4</v>
      </c>
      <c r="O91" s="358">
        <v>7.4</v>
      </c>
      <c r="P91" s="560"/>
      <c r="Q91" s="574" t="s">
        <v>601</v>
      </c>
    </row>
    <row r="92" spans="1:17">
      <c r="A92" s="538">
        <v>46064</v>
      </c>
      <c r="B92" t="s">
        <v>1225</v>
      </c>
      <c r="C92" s="551" t="s">
        <v>1235</v>
      </c>
      <c r="D92" s="358" t="s">
        <v>699</v>
      </c>
      <c r="E92" s="359">
        <v>46220</v>
      </c>
      <c r="F92" s="358" t="s">
        <v>597</v>
      </c>
      <c r="G92" s="358" t="s">
        <v>137</v>
      </c>
      <c r="H92" s="358" t="s">
        <v>1236</v>
      </c>
      <c r="I92" s="358"/>
      <c r="J92" s="561">
        <v>204.08</v>
      </c>
      <c r="K92" s="358">
        <v>0</v>
      </c>
      <c r="L92" s="562">
        <v>7.65</v>
      </c>
      <c r="M92" s="563">
        <v>7.75</v>
      </c>
      <c r="N92" s="358">
        <v>7.7</v>
      </c>
      <c r="O92" s="358">
        <v>7.7</v>
      </c>
      <c r="P92" s="560"/>
      <c r="Q92" s="574" t="s">
        <v>601</v>
      </c>
    </row>
    <row r="93" spans="1:17">
      <c r="A93" s="538">
        <v>46064</v>
      </c>
      <c r="B93" t="s">
        <v>1223</v>
      </c>
      <c r="C93" s="551" t="s">
        <v>1237</v>
      </c>
      <c r="D93" s="358" t="s">
        <v>699</v>
      </c>
      <c r="E93" s="359">
        <v>46220</v>
      </c>
      <c r="F93" s="358" t="s">
        <v>592</v>
      </c>
      <c r="G93" s="358" t="s">
        <v>137</v>
      </c>
      <c r="H93" s="358" t="s">
        <v>1238</v>
      </c>
      <c r="I93" s="358"/>
      <c r="J93" s="561">
        <v>204.08</v>
      </c>
      <c r="K93" s="358">
        <v>0</v>
      </c>
      <c r="L93" s="562">
        <v>7.8</v>
      </c>
      <c r="M93" s="563">
        <v>7.95</v>
      </c>
      <c r="N93" s="358">
        <v>7.875</v>
      </c>
      <c r="O93" s="358">
        <v>7.875</v>
      </c>
      <c r="P93" s="560"/>
      <c r="Q93" s="574" t="s">
        <v>601</v>
      </c>
    </row>
    <row r="94" spans="1:17">
      <c r="A94" s="538">
        <v>46064</v>
      </c>
      <c r="B94" t="s">
        <v>1227</v>
      </c>
      <c r="C94" s="551" t="s">
        <v>1239</v>
      </c>
      <c r="D94" s="358" t="s">
        <v>1206</v>
      </c>
      <c r="E94" s="359">
        <v>46220</v>
      </c>
      <c r="F94" s="358" t="s">
        <v>597</v>
      </c>
      <c r="G94" s="358" t="s">
        <v>137</v>
      </c>
      <c r="H94" s="358" t="s">
        <v>1207</v>
      </c>
      <c r="I94" s="358"/>
      <c r="J94" s="561">
        <v>85.54</v>
      </c>
      <c r="K94" s="358">
        <v>0</v>
      </c>
      <c r="L94" s="562">
        <v>1.86</v>
      </c>
      <c r="M94" s="563">
        <v>2.1800000000000002</v>
      </c>
      <c r="N94" s="358">
        <v>2.02</v>
      </c>
      <c r="O94" s="358">
        <v>2.02</v>
      </c>
      <c r="P94" s="560"/>
      <c r="Q94" s="574" t="s">
        <v>601</v>
      </c>
    </row>
    <row r="95" spans="1:17">
      <c r="A95" s="538">
        <v>46064</v>
      </c>
      <c r="B95" t="s">
        <v>1226</v>
      </c>
      <c r="C95" s="551" t="s">
        <v>1240</v>
      </c>
      <c r="D95" s="358" t="s">
        <v>1206</v>
      </c>
      <c r="E95" s="359">
        <v>46220</v>
      </c>
      <c r="F95" s="358" t="s">
        <v>597</v>
      </c>
      <c r="G95" s="358" t="s">
        <v>137</v>
      </c>
      <c r="H95" s="358" t="s">
        <v>1209</v>
      </c>
      <c r="I95" s="358"/>
      <c r="J95" s="561">
        <v>85.54</v>
      </c>
      <c r="K95" s="358">
        <v>0</v>
      </c>
      <c r="L95" s="562">
        <v>2.93</v>
      </c>
      <c r="M95" s="563">
        <v>3.2</v>
      </c>
      <c r="N95" s="358">
        <v>3.0650000000000004</v>
      </c>
      <c r="O95" s="358">
        <v>3.0650000000000004</v>
      </c>
      <c r="P95" s="560"/>
      <c r="Q95" s="574" t="s">
        <v>601</v>
      </c>
    </row>
    <row r="96" spans="1:17">
      <c r="A96" s="538">
        <v>46064</v>
      </c>
      <c r="B96" t="s">
        <v>1219</v>
      </c>
      <c r="C96" s="551" t="s">
        <v>1241</v>
      </c>
      <c r="D96" s="358" t="s">
        <v>1047</v>
      </c>
      <c r="E96" s="359">
        <v>46101</v>
      </c>
      <c r="F96" s="358" t="s">
        <v>597</v>
      </c>
      <c r="G96" s="358" t="s">
        <v>137</v>
      </c>
      <c r="H96" s="358" t="s">
        <v>1242</v>
      </c>
      <c r="I96" s="358"/>
      <c r="J96" s="561">
        <v>190.05</v>
      </c>
      <c r="K96" s="358">
        <v>0</v>
      </c>
      <c r="L96" s="562">
        <v>2.35</v>
      </c>
      <c r="M96" s="563">
        <v>2.38</v>
      </c>
      <c r="N96" s="358">
        <v>2.3650000000000002</v>
      </c>
      <c r="O96" s="358">
        <v>2.3650000000000002</v>
      </c>
      <c r="P96" s="560"/>
      <c r="Q96" s="574" t="s">
        <v>601</v>
      </c>
    </row>
    <row r="97" spans="1:17">
      <c r="A97" s="538">
        <v>46064</v>
      </c>
      <c r="B97" t="s">
        <v>1215</v>
      </c>
      <c r="C97" s="551" t="s">
        <v>1243</v>
      </c>
      <c r="D97" s="358" t="s">
        <v>617</v>
      </c>
      <c r="E97" s="359">
        <v>46066</v>
      </c>
      <c r="F97" s="358" t="s">
        <v>592</v>
      </c>
      <c r="G97" s="358" t="s">
        <v>137</v>
      </c>
      <c r="H97" s="358" t="s">
        <v>1233</v>
      </c>
      <c r="I97" s="358"/>
      <c r="J97" s="561">
        <v>613.11</v>
      </c>
      <c r="K97" s="358">
        <v>0</v>
      </c>
      <c r="L97" s="562">
        <v>1.68</v>
      </c>
      <c r="M97" s="563">
        <v>1.69</v>
      </c>
      <c r="N97" s="358">
        <v>1.6850000000000001</v>
      </c>
      <c r="O97" s="358">
        <v>1.6850000000000001</v>
      </c>
      <c r="P97" s="560"/>
      <c r="Q97" s="574" t="s">
        <v>601</v>
      </c>
    </row>
    <row r="98" spans="1:17">
      <c r="A98" s="538">
        <v>46064</v>
      </c>
      <c r="B98" s="560" t="s">
        <v>707</v>
      </c>
      <c r="C98" s="551" t="s">
        <v>707</v>
      </c>
      <c r="D98" s="358" t="s">
        <v>618</v>
      </c>
      <c r="E98" s="359">
        <v>46073</v>
      </c>
      <c r="F98" s="358" t="s">
        <v>597</v>
      </c>
      <c r="G98" s="358" t="s">
        <v>137</v>
      </c>
      <c r="H98" s="358" t="s">
        <v>848</v>
      </c>
      <c r="I98" s="358" t="s">
        <v>593</v>
      </c>
      <c r="J98" s="561">
        <v>0.01</v>
      </c>
      <c r="K98" s="358">
        <v>0</v>
      </c>
      <c r="L98" s="562">
        <v>0</v>
      </c>
      <c r="M98" s="563">
        <v>0</v>
      </c>
      <c r="N98" s="358">
        <v>0</v>
      </c>
      <c r="O98" s="358">
        <v>1.3215918516946699E-13</v>
      </c>
      <c r="P98" s="560">
        <v>21.2143462947177</v>
      </c>
      <c r="Q98" s="574" t="s">
        <v>619</v>
      </c>
    </row>
    <row r="99" spans="1:17">
      <c r="A99" s="538">
        <v>46064</v>
      </c>
      <c r="B99" s="560" t="s">
        <v>708</v>
      </c>
      <c r="C99" s="551" t="s">
        <v>708</v>
      </c>
      <c r="D99" s="358" t="s">
        <v>618</v>
      </c>
      <c r="E99" s="359">
        <v>46073</v>
      </c>
      <c r="F99" s="358" t="s">
        <v>592</v>
      </c>
      <c r="G99" s="358" t="s">
        <v>137</v>
      </c>
      <c r="H99" s="358" t="s">
        <v>849</v>
      </c>
      <c r="I99" s="358" t="s">
        <v>593</v>
      </c>
      <c r="J99" s="561">
        <v>0.12</v>
      </c>
      <c r="K99" s="358">
        <v>21.45</v>
      </c>
      <c r="L99" s="562">
        <v>0</v>
      </c>
      <c r="M99" s="563">
        <v>0</v>
      </c>
      <c r="N99" s="358">
        <v>0</v>
      </c>
      <c r="O99" s="358">
        <v>1.4071088054452979E-2</v>
      </c>
      <c r="P99" s="560">
        <v>34.274434391929496</v>
      </c>
      <c r="Q99" s="574" t="s">
        <v>619</v>
      </c>
    </row>
    <row r="100" spans="1:17">
      <c r="A100" s="538">
        <v>46064</v>
      </c>
      <c r="B100" s="560" t="s">
        <v>709</v>
      </c>
      <c r="C100" s="551" t="s">
        <v>709</v>
      </c>
      <c r="D100" s="358" t="s">
        <v>618</v>
      </c>
      <c r="E100" s="359">
        <v>46073</v>
      </c>
      <c r="F100" s="358" t="s">
        <v>592</v>
      </c>
      <c r="G100" s="358" t="s">
        <v>137</v>
      </c>
      <c r="H100" s="358" t="s">
        <v>850</v>
      </c>
      <c r="I100" s="358" t="s">
        <v>593</v>
      </c>
      <c r="J100" s="561">
        <v>1.45</v>
      </c>
      <c r="K100" s="358">
        <v>22.62</v>
      </c>
      <c r="L100" s="562">
        <v>0</v>
      </c>
      <c r="M100" s="563">
        <v>0</v>
      </c>
      <c r="N100" s="358">
        <v>0</v>
      </c>
      <c r="O100" s="358">
        <v>0.270777466460487</v>
      </c>
      <c r="P100" s="560">
        <v>26.606320349975501</v>
      </c>
      <c r="Q100" s="574" t="s">
        <v>619</v>
      </c>
    </row>
    <row r="101" spans="1:17">
      <c r="A101" s="538">
        <v>46064</v>
      </c>
      <c r="B101" s="560" t="s">
        <v>710</v>
      </c>
      <c r="C101" s="551" t="s">
        <v>710</v>
      </c>
      <c r="D101" s="358" t="s">
        <v>618</v>
      </c>
      <c r="E101" s="359">
        <v>46073</v>
      </c>
      <c r="F101" s="358" t="s">
        <v>597</v>
      </c>
      <c r="G101" s="358" t="s">
        <v>137</v>
      </c>
      <c r="H101" s="358" t="s">
        <v>851</v>
      </c>
      <c r="I101" s="358" t="s">
        <v>593</v>
      </c>
      <c r="J101" s="561">
        <v>0.04</v>
      </c>
      <c r="K101" s="358">
        <v>0</v>
      </c>
      <c r="L101" s="562">
        <v>0</v>
      </c>
      <c r="M101" s="563">
        <v>0</v>
      </c>
      <c r="N101" s="358">
        <v>0</v>
      </c>
      <c r="O101" s="358">
        <v>1.9290495572831265E-8</v>
      </c>
      <c r="P101" s="560">
        <v>20.6372170815592</v>
      </c>
      <c r="Q101" s="574" t="s">
        <v>619</v>
      </c>
    </row>
    <row r="102" spans="1:17">
      <c r="A102" s="538">
        <v>46064</v>
      </c>
      <c r="B102" s="560" t="s">
        <v>711</v>
      </c>
      <c r="C102" s="551" t="s">
        <v>711</v>
      </c>
      <c r="D102" s="358" t="s">
        <v>618</v>
      </c>
      <c r="E102" s="359">
        <v>46073</v>
      </c>
      <c r="F102" s="358" t="s">
        <v>592</v>
      </c>
      <c r="G102" s="358" t="s">
        <v>137</v>
      </c>
      <c r="H102" s="358" t="s">
        <v>852</v>
      </c>
      <c r="I102" s="358" t="s">
        <v>593</v>
      </c>
      <c r="J102" s="561">
        <v>1.47</v>
      </c>
      <c r="K102" s="358">
        <v>22.35</v>
      </c>
      <c r="L102" s="562">
        <v>0</v>
      </c>
      <c r="M102" s="563">
        <v>0</v>
      </c>
      <c r="N102" s="358">
        <v>0</v>
      </c>
      <c r="O102" s="358">
        <v>0.22643867004792126</v>
      </c>
      <c r="P102" s="560">
        <v>27.259776202778202</v>
      </c>
      <c r="Q102" s="574" t="s">
        <v>619</v>
      </c>
    </row>
    <row r="103" spans="1:17">
      <c r="A103" s="538">
        <v>46064</v>
      </c>
      <c r="B103" s="560" t="s">
        <v>712</v>
      </c>
      <c r="C103" s="551" t="s">
        <v>712</v>
      </c>
      <c r="D103" s="358" t="s">
        <v>618</v>
      </c>
      <c r="E103" s="359">
        <v>46073</v>
      </c>
      <c r="F103" s="358" t="s">
        <v>592</v>
      </c>
      <c r="G103" s="358" t="s">
        <v>137</v>
      </c>
      <c r="H103" s="358" t="s">
        <v>853</v>
      </c>
      <c r="I103" s="358" t="s">
        <v>593</v>
      </c>
      <c r="J103" s="561">
        <v>2.61</v>
      </c>
      <c r="K103" s="358">
        <v>23.71</v>
      </c>
      <c r="L103" s="562">
        <v>0</v>
      </c>
      <c r="M103" s="563">
        <v>0</v>
      </c>
      <c r="N103" s="358">
        <v>0</v>
      </c>
      <c r="O103" s="358">
        <v>0.70024614768781868</v>
      </c>
      <c r="P103" s="560">
        <v>22.504938950454399</v>
      </c>
      <c r="Q103" s="574" t="s">
        <v>619</v>
      </c>
    </row>
    <row r="104" spans="1:17">
      <c r="A104" s="538">
        <v>46064</v>
      </c>
      <c r="B104" s="560" t="s">
        <v>721</v>
      </c>
      <c r="C104" s="551" t="s">
        <v>721</v>
      </c>
      <c r="D104" s="358" t="s">
        <v>722</v>
      </c>
      <c r="E104" s="359">
        <v>46073</v>
      </c>
      <c r="F104" s="358" t="s">
        <v>592</v>
      </c>
      <c r="G104" s="358" t="s">
        <v>137</v>
      </c>
      <c r="H104" s="358" t="s">
        <v>854</v>
      </c>
      <c r="I104" s="358" t="s">
        <v>593</v>
      </c>
      <c r="J104" s="561">
        <v>0.23</v>
      </c>
      <c r="K104" s="358">
        <v>18.77</v>
      </c>
      <c r="L104" s="562">
        <v>0</v>
      </c>
      <c r="M104" s="563">
        <v>0</v>
      </c>
      <c r="N104" s="358">
        <v>0</v>
      </c>
      <c r="O104" s="358">
        <v>3.3414681406384518E-2</v>
      </c>
      <c r="P104" s="560">
        <v>55.144752379827501</v>
      </c>
      <c r="Q104" s="574" t="s">
        <v>619</v>
      </c>
    </row>
    <row r="105" spans="1:17">
      <c r="A105" s="538">
        <v>46064</v>
      </c>
      <c r="B105" s="560" t="s">
        <v>723</v>
      </c>
      <c r="C105" s="551" t="s">
        <v>723</v>
      </c>
      <c r="D105" s="358" t="s">
        <v>722</v>
      </c>
      <c r="E105" s="359">
        <v>46073</v>
      </c>
      <c r="F105" s="358" t="s">
        <v>592</v>
      </c>
      <c r="G105" s="358" t="s">
        <v>137</v>
      </c>
      <c r="H105" s="358" t="s">
        <v>855</v>
      </c>
      <c r="I105" s="358" t="s">
        <v>593</v>
      </c>
      <c r="J105" s="561">
        <v>0.85</v>
      </c>
      <c r="K105" s="358">
        <v>19.649999999999999</v>
      </c>
      <c r="L105" s="562">
        <v>0</v>
      </c>
      <c r="M105" s="563">
        <v>0</v>
      </c>
      <c r="N105" s="358">
        <v>0</v>
      </c>
      <c r="O105" s="358">
        <v>0.13422958697186776</v>
      </c>
      <c r="P105" s="560">
        <v>50.005899565514703</v>
      </c>
      <c r="Q105" s="574" t="s">
        <v>619</v>
      </c>
    </row>
    <row r="106" spans="1:17">
      <c r="A106" s="538">
        <v>46064</v>
      </c>
      <c r="B106" s="560" t="s">
        <v>740</v>
      </c>
      <c r="C106" s="551" t="s">
        <v>740</v>
      </c>
      <c r="D106" s="358" t="s">
        <v>620</v>
      </c>
      <c r="E106" s="359">
        <v>46073</v>
      </c>
      <c r="F106" s="358" t="s">
        <v>592</v>
      </c>
      <c r="G106" s="358" t="s">
        <v>137</v>
      </c>
      <c r="H106" s="358" t="s">
        <v>856</v>
      </c>
      <c r="I106" s="358" t="s">
        <v>593</v>
      </c>
      <c r="J106" s="561">
        <v>0.01</v>
      </c>
      <c r="K106" s="358">
        <v>12.1</v>
      </c>
      <c r="L106" s="562">
        <v>0</v>
      </c>
      <c r="M106" s="563">
        <v>0</v>
      </c>
      <c r="N106" s="358">
        <v>0</v>
      </c>
      <c r="O106" s="358">
        <v>5.4915483178687859E-7</v>
      </c>
      <c r="P106" s="560">
        <v>54.812886756168901</v>
      </c>
      <c r="Q106" s="574" t="s">
        <v>619</v>
      </c>
    </row>
    <row r="107" spans="1:17">
      <c r="A107" s="538">
        <v>46064</v>
      </c>
      <c r="B107" s="560" t="s">
        <v>741</v>
      </c>
      <c r="C107" s="551" t="s">
        <v>741</v>
      </c>
      <c r="D107" s="358" t="s">
        <v>620</v>
      </c>
      <c r="E107" s="359">
        <v>46073</v>
      </c>
      <c r="F107" s="358" t="s">
        <v>592</v>
      </c>
      <c r="G107" s="358" t="s">
        <v>137</v>
      </c>
      <c r="H107" s="358" t="s">
        <v>857</v>
      </c>
      <c r="I107" s="358" t="s">
        <v>593</v>
      </c>
      <c r="J107" s="561">
        <v>0.01</v>
      </c>
      <c r="K107" s="358">
        <v>13.35</v>
      </c>
      <c r="L107" s="562">
        <v>0</v>
      </c>
      <c r="M107" s="563">
        <v>0</v>
      </c>
      <c r="N107" s="358">
        <v>0</v>
      </c>
      <c r="O107" s="358">
        <v>1.0219478608345067E-4</v>
      </c>
      <c r="P107" s="560">
        <v>53.6902686597113</v>
      </c>
      <c r="Q107" s="574" t="s">
        <v>619</v>
      </c>
    </row>
    <row r="108" spans="1:17">
      <c r="A108" s="538">
        <v>46064</v>
      </c>
      <c r="B108" s="560" t="s">
        <v>781</v>
      </c>
      <c r="C108" s="551" t="s">
        <v>781</v>
      </c>
      <c r="D108" s="358" t="s">
        <v>782</v>
      </c>
      <c r="E108" s="359">
        <v>46073</v>
      </c>
      <c r="F108" s="358" t="s">
        <v>597</v>
      </c>
      <c r="G108" s="358" t="s">
        <v>137</v>
      </c>
      <c r="H108" s="358" t="s">
        <v>858</v>
      </c>
      <c r="I108" s="358" t="s">
        <v>593</v>
      </c>
      <c r="J108" s="561">
        <v>2.38</v>
      </c>
      <c r="K108" s="358">
        <v>0</v>
      </c>
      <c r="L108" s="562">
        <v>0</v>
      </c>
      <c r="M108" s="563">
        <v>0</v>
      </c>
      <c r="N108" s="358">
        <v>0</v>
      </c>
      <c r="O108" s="358">
        <v>0.4727536736946189</v>
      </c>
      <c r="P108" s="560">
        <v>36.3668065066013</v>
      </c>
      <c r="Q108" s="574" t="s">
        <v>619</v>
      </c>
    </row>
    <row r="109" spans="1:17">
      <c r="A109" s="538">
        <v>46064</v>
      </c>
      <c r="B109" s="560" t="s">
        <v>783</v>
      </c>
      <c r="C109" s="551" t="s">
        <v>783</v>
      </c>
      <c r="D109" s="358" t="s">
        <v>782</v>
      </c>
      <c r="E109" s="359">
        <v>46073</v>
      </c>
      <c r="F109" s="358" t="s">
        <v>592</v>
      </c>
      <c r="G109" s="358" t="s">
        <v>137</v>
      </c>
      <c r="H109" s="358" t="s">
        <v>859</v>
      </c>
      <c r="I109" s="358" t="s">
        <v>593</v>
      </c>
      <c r="J109" s="561">
        <v>0.05</v>
      </c>
      <c r="K109" s="358">
        <v>47.77</v>
      </c>
      <c r="L109" s="562">
        <v>0</v>
      </c>
      <c r="M109" s="563">
        <v>0</v>
      </c>
      <c r="N109" s="358">
        <v>0</v>
      </c>
      <c r="O109" s="358">
        <v>1.3332771709756361E-3</v>
      </c>
      <c r="P109" s="560">
        <v>59.492248135149005</v>
      </c>
      <c r="Q109" s="574" t="s">
        <v>619</v>
      </c>
    </row>
    <row r="110" spans="1:17">
      <c r="A110" s="538">
        <v>46064</v>
      </c>
      <c r="B110" s="560" t="s">
        <v>784</v>
      </c>
      <c r="C110" s="551" t="s">
        <v>784</v>
      </c>
      <c r="D110" s="358" t="s">
        <v>782</v>
      </c>
      <c r="E110" s="359">
        <v>46073</v>
      </c>
      <c r="F110" s="358" t="s">
        <v>592</v>
      </c>
      <c r="G110" s="358" t="s">
        <v>137</v>
      </c>
      <c r="H110" s="358" t="s">
        <v>860</v>
      </c>
      <c r="I110" s="358" t="s">
        <v>593</v>
      </c>
      <c r="J110" s="561">
        <v>0.04</v>
      </c>
      <c r="K110" s="358">
        <v>51.78</v>
      </c>
      <c r="L110" s="562">
        <v>0</v>
      </c>
      <c r="M110" s="563">
        <v>0</v>
      </c>
      <c r="N110" s="358">
        <v>0</v>
      </c>
      <c r="O110" s="358">
        <v>7.803404270268292E-3</v>
      </c>
      <c r="P110" s="560">
        <v>50.085641266276603</v>
      </c>
      <c r="Q110" s="574" t="s">
        <v>619</v>
      </c>
    </row>
    <row r="111" spans="1:17">
      <c r="A111" s="538">
        <v>46064</v>
      </c>
      <c r="B111" s="560" t="s">
        <v>789</v>
      </c>
      <c r="C111" s="551" t="s">
        <v>789</v>
      </c>
      <c r="D111" s="358" t="s">
        <v>750</v>
      </c>
      <c r="E111" s="359">
        <v>46073</v>
      </c>
      <c r="F111" s="358" t="s">
        <v>592</v>
      </c>
      <c r="G111" s="358" t="s">
        <v>137</v>
      </c>
      <c r="H111" s="358" t="s">
        <v>861</v>
      </c>
      <c r="I111" s="358" t="s">
        <v>593</v>
      </c>
      <c r="J111" s="561">
        <v>0.1</v>
      </c>
      <c r="K111" s="358">
        <v>42.9</v>
      </c>
      <c r="L111" s="562">
        <v>0</v>
      </c>
      <c r="M111" s="563">
        <v>0</v>
      </c>
      <c r="N111" s="358">
        <v>0</v>
      </c>
      <c r="O111" s="358">
        <v>2.3054534230984393E-11</v>
      </c>
      <c r="P111" s="560">
        <v>37.6251257399921</v>
      </c>
      <c r="Q111" s="574" t="s">
        <v>619</v>
      </c>
    </row>
    <row r="112" spans="1:17">
      <c r="A112" s="538">
        <v>46064</v>
      </c>
      <c r="B112" s="560" t="s">
        <v>790</v>
      </c>
      <c r="C112" s="551" t="s">
        <v>790</v>
      </c>
      <c r="D112" s="358" t="s">
        <v>750</v>
      </c>
      <c r="E112" s="359">
        <v>46073</v>
      </c>
      <c r="F112" s="358" t="s">
        <v>592</v>
      </c>
      <c r="G112" s="358" t="s">
        <v>137</v>
      </c>
      <c r="H112" s="358" t="s">
        <v>862</v>
      </c>
      <c r="I112" s="358" t="s">
        <v>593</v>
      </c>
      <c r="J112" s="561">
        <v>0.02</v>
      </c>
      <c r="K112" s="358">
        <v>47.98</v>
      </c>
      <c r="L112" s="562">
        <v>0</v>
      </c>
      <c r="M112" s="563">
        <v>0</v>
      </c>
      <c r="N112" s="358">
        <v>0</v>
      </c>
      <c r="O112" s="358">
        <v>8.7757351993672712E-7</v>
      </c>
      <c r="P112" s="560">
        <v>35.921126204805297</v>
      </c>
      <c r="Q112" s="574" t="s">
        <v>619</v>
      </c>
    </row>
    <row r="113" spans="1:17">
      <c r="A113" s="538">
        <v>46064</v>
      </c>
      <c r="B113" s="550" t="s">
        <v>795</v>
      </c>
      <c r="C113" s="550" t="s">
        <v>795</v>
      </c>
      <c r="D113" s="358" t="s">
        <v>796</v>
      </c>
      <c r="E113" s="359">
        <v>46073</v>
      </c>
      <c r="F113" s="358" t="s">
        <v>592</v>
      </c>
      <c r="G113" s="358" t="s">
        <v>137</v>
      </c>
      <c r="H113" s="358" t="s">
        <v>863</v>
      </c>
      <c r="I113" s="358" t="s">
        <v>593</v>
      </c>
      <c r="J113" s="561">
        <v>0.02</v>
      </c>
      <c r="K113" s="358">
        <v>50.36</v>
      </c>
      <c r="L113" s="562">
        <v>0</v>
      </c>
      <c r="M113" s="563">
        <v>0</v>
      </c>
      <c r="N113" s="358">
        <v>0</v>
      </c>
      <c r="O113" s="358">
        <v>3.7128555523776112E-3</v>
      </c>
      <c r="P113" s="560">
        <v>46.729137260159199</v>
      </c>
      <c r="Q113" s="574" t="s">
        <v>619</v>
      </c>
    </row>
    <row r="114" spans="1:17">
      <c r="A114" s="538">
        <v>46064</v>
      </c>
      <c r="B114" s="550" t="s">
        <v>802</v>
      </c>
      <c r="C114" s="550" t="s">
        <v>802</v>
      </c>
      <c r="D114" s="358" t="s">
        <v>620</v>
      </c>
      <c r="E114" s="359">
        <v>46073</v>
      </c>
      <c r="F114" s="358" t="s">
        <v>592</v>
      </c>
      <c r="G114" s="358" t="s">
        <v>137</v>
      </c>
      <c r="H114" s="358" t="s">
        <v>864</v>
      </c>
      <c r="I114" s="358" t="s">
        <v>593</v>
      </c>
      <c r="J114" s="561">
        <v>0.01</v>
      </c>
      <c r="K114" s="358">
        <v>11.41</v>
      </c>
      <c r="L114" s="562">
        <v>0</v>
      </c>
      <c r="M114" s="563">
        <v>0</v>
      </c>
      <c r="N114" s="358">
        <v>0</v>
      </c>
      <c r="O114" s="358">
        <v>5.4915483178687859E-7</v>
      </c>
      <c r="P114" s="560">
        <v>54.812886756168901</v>
      </c>
      <c r="Q114" s="574" t="s">
        <v>619</v>
      </c>
    </row>
    <row r="115" spans="1:17">
      <c r="A115" s="538">
        <v>46064</v>
      </c>
      <c r="B115" s="550" t="s">
        <v>803</v>
      </c>
      <c r="C115" s="550" t="s">
        <v>803</v>
      </c>
      <c r="D115" s="358" t="s">
        <v>620</v>
      </c>
      <c r="E115" s="359">
        <v>46073</v>
      </c>
      <c r="F115" s="358" t="s">
        <v>592</v>
      </c>
      <c r="G115" s="358" t="s">
        <v>137</v>
      </c>
      <c r="H115" s="358" t="s">
        <v>865</v>
      </c>
      <c r="I115" s="358" t="s">
        <v>593</v>
      </c>
      <c r="J115" s="561">
        <v>0.01</v>
      </c>
      <c r="K115" s="358">
        <v>12.66</v>
      </c>
      <c r="L115" s="562">
        <v>0</v>
      </c>
      <c r="M115" s="563">
        <v>0</v>
      </c>
      <c r="N115" s="358">
        <v>0</v>
      </c>
      <c r="O115" s="358">
        <v>1.0219478608345067E-4</v>
      </c>
      <c r="P115" s="560">
        <v>53.6902686597113</v>
      </c>
      <c r="Q115" s="574" t="s">
        <v>619</v>
      </c>
    </row>
    <row r="116" spans="1:17">
      <c r="A116" s="538">
        <v>46064</v>
      </c>
      <c r="B116" s="550" t="s">
        <v>804</v>
      </c>
      <c r="C116" s="550" t="s">
        <v>804</v>
      </c>
      <c r="D116" s="358" t="s">
        <v>620</v>
      </c>
      <c r="E116" s="359">
        <v>46073</v>
      </c>
      <c r="F116" s="358" t="s">
        <v>592</v>
      </c>
      <c r="G116" s="358" t="s">
        <v>137</v>
      </c>
      <c r="H116" s="358" t="s">
        <v>866</v>
      </c>
      <c r="I116" s="358" t="s">
        <v>593</v>
      </c>
      <c r="J116" s="561">
        <v>0.02</v>
      </c>
      <c r="K116" s="358">
        <v>13.65</v>
      </c>
      <c r="L116" s="562">
        <v>0</v>
      </c>
      <c r="M116" s="563">
        <v>0</v>
      </c>
      <c r="N116" s="358">
        <v>0</v>
      </c>
      <c r="O116" s="358">
        <v>1.8620563098537587E-3</v>
      </c>
      <c r="P116" s="560">
        <v>52.102506392055503</v>
      </c>
      <c r="Q116" s="574" t="s">
        <v>619</v>
      </c>
    </row>
    <row r="117" spans="1:17">
      <c r="A117" s="538">
        <v>46064</v>
      </c>
      <c r="B117" s="550" t="s">
        <v>805</v>
      </c>
      <c r="C117" s="550" t="s">
        <v>805</v>
      </c>
      <c r="D117" s="358" t="s">
        <v>806</v>
      </c>
      <c r="E117" s="359">
        <v>46073</v>
      </c>
      <c r="F117" s="358" t="s">
        <v>592</v>
      </c>
      <c r="G117" s="358" t="s">
        <v>137</v>
      </c>
      <c r="H117" s="358" t="s">
        <v>867</v>
      </c>
      <c r="I117" s="358" t="s">
        <v>593</v>
      </c>
      <c r="J117" s="561">
        <v>0.01</v>
      </c>
      <c r="K117" s="358">
        <v>12.03</v>
      </c>
      <c r="L117" s="562">
        <v>0</v>
      </c>
      <c r="M117" s="563">
        <v>0</v>
      </c>
      <c r="N117" s="358">
        <v>0</v>
      </c>
      <c r="O117" s="358">
        <v>1.9733374110850904E-4</v>
      </c>
      <c r="P117" s="560">
        <v>61.825272239958295</v>
      </c>
      <c r="Q117" s="574" t="s">
        <v>619</v>
      </c>
    </row>
    <row r="118" spans="1:17">
      <c r="A118" s="538">
        <v>46064</v>
      </c>
      <c r="B118" s="550" t="s">
        <v>807</v>
      </c>
      <c r="C118" s="550" t="s">
        <v>807</v>
      </c>
      <c r="D118" s="358" t="s">
        <v>806</v>
      </c>
      <c r="E118" s="359">
        <v>46073</v>
      </c>
      <c r="F118" s="358" t="s">
        <v>592</v>
      </c>
      <c r="G118" s="358" t="s">
        <v>137</v>
      </c>
      <c r="H118" s="358" t="s">
        <v>868</v>
      </c>
      <c r="I118" s="358" t="s">
        <v>593</v>
      </c>
      <c r="J118" s="561">
        <v>0.01</v>
      </c>
      <c r="K118" s="358">
        <v>13.03</v>
      </c>
      <c r="L118" s="562">
        <v>0</v>
      </c>
      <c r="M118" s="563">
        <v>0</v>
      </c>
      <c r="N118" s="358">
        <v>0</v>
      </c>
      <c r="O118" s="358">
        <v>2.1735635012214358E-3</v>
      </c>
      <c r="P118" s="560">
        <v>58.492421259249497</v>
      </c>
      <c r="Q118" s="574" t="s">
        <v>619</v>
      </c>
    </row>
    <row r="119" spans="1:17">
      <c r="A119" s="538">
        <v>46064</v>
      </c>
      <c r="B119" s="551" t="s">
        <v>869</v>
      </c>
      <c r="C119" s="551" t="s">
        <v>869</v>
      </c>
      <c r="D119" s="358" t="s">
        <v>750</v>
      </c>
      <c r="E119" s="359">
        <v>46073</v>
      </c>
      <c r="F119" s="358" t="s">
        <v>597</v>
      </c>
      <c r="G119" s="358" t="s">
        <v>137</v>
      </c>
      <c r="H119" s="358" t="s">
        <v>870</v>
      </c>
      <c r="I119" s="358" t="s">
        <v>593</v>
      </c>
      <c r="J119" s="561">
        <v>5</v>
      </c>
      <c r="K119" s="358">
        <v>0</v>
      </c>
      <c r="L119" s="562">
        <v>0</v>
      </c>
      <c r="M119" s="563">
        <v>0</v>
      </c>
      <c r="N119" s="358">
        <v>0</v>
      </c>
      <c r="O119" s="358">
        <v>1.0066331068156127</v>
      </c>
      <c r="P119" s="560">
        <v>31.615481522168103</v>
      </c>
      <c r="Q119" s="574" t="s">
        <v>619</v>
      </c>
    </row>
    <row r="120" spans="1:17">
      <c r="A120" s="538">
        <v>46064</v>
      </c>
      <c r="B120" s="551" t="s">
        <v>871</v>
      </c>
      <c r="C120" s="551" t="s">
        <v>871</v>
      </c>
      <c r="D120" s="358" t="s">
        <v>750</v>
      </c>
      <c r="E120" s="359">
        <v>46073</v>
      </c>
      <c r="F120" s="358" t="s">
        <v>592</v>
      </c>
      <c r="G120" s="358" t="s">
        <v>137</v>
      </c>
      <c r="H120" s="358" t="s">
        <v>872</v>
      </c>
      <c r="I120" s="358" t="s">
        <v>593</v>
      </c>
      <c r="J120" s="561">
        <v>0.03</v>
      </c>
      <c r="K120" s="358">
        <v>46.97</v>
      </c>
      <c r="L120" s="562">
        <v>0</v>
      </c>
      <c r="M120" s="563">
        <v>0</v>
      </c>
      <c r="N120" s="358">
        <v>0</v>
      </c>
      <c r="O120" s="358">
        <v>1.4981296535426994E-7</v>
      </c>
      <c r="P120" s="560">
        <v>36.339329462568301</v>
      </c>
      <c r="Q120" s="574" t="s">
        <v>619</v>
      </c>
    </row>
    <row r="121" spans="1:17">
      <c r="A121" s="538">
        <v>46064</v>
      </c>
      <c r="B121" s="551" t="s">
        <v>873</v>
      </c>
      <c r="C121" s="551" t="s">
        <v>873</v>
      </c>
      <c r="D121" s="358" t="s">
        <v>750</v>
      </c>
      <c r="E121" s="359">
        <v>46073</v>
      </c>
      <c r="F121" s="358" t="s">
        <v>592</v>
      </c>
      <c r="G121" s="358" t="s">
        <v>137</v>
      </c>
      <c r="H121" s="358" t="s">
        <v>874</v>
      </c>
      <c r="I121" s="358" t="s">
        <v>593</v>
      </c>
      <c r="J121" s="561">
        <v>0.02</v>
      </c>
      <c r="K121" s="358">
        <v>50.48</v>
      </c>
      <c r="L121" s="562">
        <v>0</v>
      </c>
      <c r="M121" s="563">
        <v>0</v>
      </c>
      <c r="N121" s="358">
        <v>0</v>
      </c>
      <c r="O121" s="358">
        <v>3.8948092352051544E-5</v>
      </c>
      <c r="P121" s="560">
        <v>34.636930030736302</v>
      </c>
      <c r="Q121" s="574" t="s">
        <v>619</v>
      </c>
    </row>
    <row r="122" spans="1:17">
      <c r="A122" s="538">
        <v>46064</v>
      </c>
      <c r="B122" s="550" t="s">
        <v>875</v>
      </c>
      <c r="C122" s="550" t="s">
        <v>875</v>
      </c>
      <c r="D122" s="358" t="s">
        <v>618</v>
      </c>
      <c r="E122" s="359">
        <v>46101</v>
      </c>
      <c r="F122" s="358" t="s">
        <v>597</v>
      </c>
      <c r="G122" s="358" t="s">
        <v>137</v>
      </c>
      <c r="H122" s="358" t="s">
        <v>876</v>
      </c>
      <c r="I122" s="358" t="s">
        <v>593</v>
      </c>
      <c r="J122" s="561">
        <v>0.52</v>
      </c>
      <c r="K122" s="358">
        <v>0</v>
      </c>
      <c r="L122" s="562">
        <v>0</v>
      </c>
      <c r="M122" s="563">
        <v>0</v>
      </c>
      <c r="N122" s="358">
        <v>0</v>
      </c>
      <c r="O122" s="358">
        <v>7.7717646643086476E-3</v>
      </c>
      <c r="P122" s="560">
        <v>26.4374934804509</v>
      </c>
      <c r="Q122" s="574" t="s">
        <v>619</v>
      </c>
    </row>
    <row r="123" spans="1:17">
      <c r="A123" s="538">
        <v>46064</v>
      </c>
      <c r="B123" s="550" t="s">
        <v>877</v>
      </c>
      <c r="C123" s="550" t="s">
        <v>877</v>
      </c>
      <c r="D123" s="358" t="s">
        <v>618</v>
      </c>
      <c r="E123" s="359">
        <v>46101</v>
      </c>
      <c r="F123" s="358" t="s">
        <v>592</v>
      </c>
      <c r="G123" s="358" t="s">
        <v>137</v>
      </c>
      <c r="H123" s="358" t="s">
        <v>878</v>
      </c>
      <c r="I123" s="358" t="s">
        <v>593</v>
      </c>
      <c r="J123" s="561">
        <v>0.73</v>
      </c>
      <c r="K123" s="358">
        <v>20.58</v>
      </c>
      <c r="L123" s="562">
        <v>0</v>
      </c>
      <c r="M123" s="563">
        <v>0</v>
      </c>
      <c r="N123" s="358">
        <v>0</v>
      </c>
      <c r="O123" s="358">
        <v>0.10141456585586638</v>
      </c>
      <c r="P123" s="560">
        <v>31.576299488471097</v>
      </c>
      <c r="Q123" s="574" t="s">
        <v>619</v>
      </c>
    </row>
    <row r="124" spans="1:17">
      <c r="A124" s="538">
        <v>46064</v>
      </c>
      <c r="B124" s="550" t="s">
        <v>879</v>
      </c>
      <c r="C124" s="550" t="s">
        <v>879</v>
      </c>
      <c r="D124" s="358" t="s">
        <v>618</v>
      </c>
      <c r="E124" s="359">
        <v>46101</v>
      </c>
      <c r="F124" s="358" t="s">
        <v>592</v>
      </c>
      <c r="G124" s="358" t="s">
        <v>137</v>
      </c>
      <c r="H124" s="358" t="s">
        <v>880</v>
      </c>
      <c r="I124" s="358" t="s">
        <v>593</v>
      </c>
      <c r="J124" s="561">
        <v>1.78</v>
      </c>
      <c r="K124" s="358">
        <v>21.529999999999998</v>
      </c>
      <c r="L124" s="562">
        <v>0</v>
      </c>
      <c r="M124" s="563">
        <v>0</v>
      </c>
      <c r="N124" s="358">
        <v>0</v>
      </c>
      <c r="O124" s="358">
        <v>0.30146633960716224</v>
      </c>
      <c r="P124" s="560">
        <v>28.762389662311001</v>
      </c>
      <c r="Q124" s="574" t="s">
        <v>619</v>
      </c>
    </row>
    <row r="125" spans="1:17">
      <c r="A125" s="538">
        <v>46064</v>
      </c>
      <c r="B125" s="550" t="s">
        <v>881</v>
      </c>
      <c r="C125" s="550" t="s">
        <v>881</v>
      </c>
      <c r="D125" s="358" t="s">
        <v>882</v>
      </c>
      <c r="E125" s="359">
        <v>46073</v>
      </c>
      <c r="F125" s="358" t="s">
        <v>597</v>
      </c>
      <c r="G125" s="358" t="s">
        <v>137</v>
      </c>
      <c r="H125" s="358" t="s">
        <v>883</v>
      </c>
      <c r="I125" s="358" t="s">
        <v>593</v>
      </c>
      <c r="J125" s="561">
        <v>14.1</v>
      </c>
      <c r="K125" s="358">
        <v>0</v>
      </c>
      <c r="L125" s="562">
        <v>0</v>
      </c>
      <c r="M125" s="563">
        <v>0</v>
      </c>
      <c r="N125" s="358">
        <v>0</v>
      </c>
      <c r="O125" s="358">
        <v>2.7863750059864758</v>
      </c>
      <c r="P125" s="560">
        <v>59.206952611105898</v>
      </c>
      <c r="Q125" s="574" t="s">
        <v>619</v>
      </c>
    </row>
    <row r="126" spans="1:17">
      <c r="A126" s="538">
        <v>46064</v>
      </c>
      <c r="B126" s="550" t="s">
        <v>884</v>
      </c>
      <c r="C126" s="550" t="s">
        <v>884</v>
      </c>
      <c r="D126" s="358" t="s">
        <v>882</v>
      </c>
      <c r="E126" s="359">
        <v>46073</v>
      </c>
      <c r="F126" s="358" t="s">
        <v>597</v>
      </c>
      <c r="G126" s="358" t="s">
        <v>137</v>
      </c>
      <c r="H126" s="358" t="s">
        <v>885</v>
      </c>
      <c r="I126" s="358" t="s">
        <v>593</v>
      </c>
      <c r="J126" s="561">
        <v>9.02</v>
      </c>
      <c r="K126" s="358">
        <v>0</v>
      </c>
      <c r="L126" s="562">
        <v>0</v>
      </c>
      <c r="M126" s="563">
        <v>0</v>
      </c>
      <c r="N126" s="358">
        <v>0</v>
      </c>
      <c r="O126" s="358">
        <v>1.8393533879793433</v>
      </c>
      <c r="P126" s="560">
        <v>47.914040995416201</v>
      </c>
      <c r="Q126" s="574" t="s">
        <v>619</v>
      </c>
    </row>
    <row r="127" spans="1:17">
      <c r="A127" s="538">
        <v>46064</v>
      </c>
      <c r="B127" s="572" t="s">
        <v>896</v>
      </c>
      <c r="C127" s="572" t="s">
        <v>896</v>
      </c>
      <c r="D127" s="358" t="s">
        <v>620</v>
      </c>
      <c r="E127" s="359">
        <v>46073</v>
      </c>
      <c r="F127" s="358" t="s">
        <v>597</v>
      </c>
      <c r="G127" s="358" t="s">
        <v>137</v>
      </c>
      <c r="H127" s="358" t="s">
        <v>897</v>
      </c>
      <c r="I127" s="358" t="s">
        <v>593</v>
      </c>
      <c r="J127" s="561">
        <v>1.1299999999999999</v>
      </c>
      <c r="K127" s="358">
        <v>0</v>
      </c>
      <c r="L127" s="562">
        <v>0</v>
      </c>
      <c r="M127" s="563">
        <v>0</v>
      </c>
      <c r="N127" s="358">
        <v>0</v>
      </c>
      <c r="O127" s="358">
        <v>0.19251088229727362</v>
      </c>
      <c r="P127" s="560">
        <v>48.052381529521902</v>
      </c>
      <c r="Q127" s="574" t="s">
        <v>619</v>
      </c>
    </row>
    <row r="128" spans="1:17">
      <c r="A128" s="538">
        <v>46064</v>
      </c>
      <c r="B128" s="572" t="s">
        <v>898</v>
      </c>
      <c r="C128" s="572" t="s">
        <v>898</v>
      </c>
      <c r="D128" s="358" t="s">
        <v>681</v>
      </c>
      <c r="E128" s="359">
        <v>46071</v>
      </c>
      <c r="F128" s="358" t="s">
        <v>592</v>
      </c>
      <c r="G128" s="358" t="s">
        <v>137</v>
      </c>
      <c r="H128" s="358" t="s">
        <v>899</v>
      </c>
      <c r="I128" s="358" t="s">
        <v>593</v>
      </c>
      <c r="J128" s="561">
        <v>55</v>
      </c>
      <c r="K128" s="358">
        <v>160945</v>
      </c>
      <c r="L128" s="562">
        <v>0</v>
      </c>
      <c r="M128" s="563">
        <v>0</v>
      </c>
      <c r="N128" s="358">
        <v>0</v>
      </c>
      <c r="O128" s="358">
        <v>3.6358339952448538E-3</v>
      </c>
      <c r="P128" s="560">
        <v>36.178467490836802</v>
      </c>
      <c r="Q128" s="574" t="s">
        <v>619</v>
      </c>
    </row>
    <row r="129" spans="1:17">
      <c r="A129" s="538">
        <v>46064</v>
      </c>
      <c r="B129" s="572" t="s">
        <v>900</v>
      </c>
      <c r="C129" s="572" t="s">
        <v>900</v>
      </c>
      <c r="D129" s="358" t="s">
        <v>764</v>
      </c>
      <c r="E129" s="359">
        <v>46073</v>
      </c>
      <c r="F129" s="358" t="s">
        <v>592</v>
      </c>
      <c r="G129" s="358" t="s">
        <v>137</v>
      </c>
      <c r="H129" s="358" t="s">
        <v>901</v>
      </c>
      <c r="I129" s="358" t="s">
        <v>593</v>
      </c>
      <c r="J129" s="561">
        <v>0.06</v>
      </c>
      <c r="K129" s="358">
        <v>107.94</v>
      </c>
      <c r="L129" s="562">
        <v>0</v>
      </c>
      <c r="M129" s="563">
        <v>0</v>
      </c>
      <c r="N129" s="358">
        <v>0</v>
      </c>
      <c r="O129" s="358">
        <v>1.0679222971193328E-2</v>
      </c>
      <c r="P129" s="560">
        <v>55.514379328460905</v>
      </c>
      <c r="Q129" s="574" t="s">
        <v>619</v>
      </c>
    </row>
    <row r="130" spans="1:17">
      <c r="A130" s="538">
        <v>46064</v>
      </c>
      <c r="B130" s="572" t="s">
        <v>902</v>
      </c>
      <c r="C130" s="572" t="s">
        <v>902</v>
      </c>
      <c r="D130" s="358" t="s">
        <v>764</v>
      </c>
      <c r="E130" s="359">
        <v>46073</v>
      </c>
      <c r="F130" s="358" t="s">
        <v>592</v>
      </c>
      <c r="G130" s="358" t="s">
        <v>137</v>
      </c>
      <c r="H130" s="358" t="s">
        <v>903</v>
      </c>
      <c r="I130" s="358" t="s">
        <v>593</v>
      </c>
      <c r="J130" s="561">
        <v>0.08</v>
      </c>
      <c r="K130" s="358">
        <v>112.92</v>
      </c>
      <c r="L130" s="562">
        <v>0</v>
      </c>
      <c r="M130" s="563">
        <v>0</v>
      </c>
      <c r="N130" s="358">
        <v>0</v>
      </c>
      <c r="O130" s="358">
        <v>2.0236162504390361E-2</v>
      </c>
      <c r="P130" s="560">
        <v>46.902640782782399</v>
      </c>
      <c r="Q130" s="574" t="s">
        <v>619</v>
      </c>
    </row>
    <row r="131" spans="1:17">
      <c r="A131" s="538">
        <v>46064</v>
      </c>
      <c r="B131" s="550" t="s">
        <v>906</v>
      </c>
      <c r="C131" s="550" t="s">
        <v>906</v>
      </c>
      <c r="D131" s="358" t="s">
        <v>764</v>
      </c>
      <c r="E131" s="359">
        <v>46073</v>
      </c>
      <c r="F131" s="358" t="s">
        <v>592</v>
      </c>
      <c r="G131" s="358" t="s">
        <v>137</v>
      </c>
      <c r="H131" s="358" t="s">
        <v>907</v>
      </c>
      <c r="I131" s="358" t="s">
        <v>593</v>
      </c>
      <c r="J131" s="561">
        <v>0.09</v>
      </c>
      <c r="K131" s="358">
        <v>113.91</v>
      </c>
      <c r="L131" s="562">
        <v>0</v>
      </c>
      <c r="M131" s="563">
        <v>0</v>
      </c>
      <c r="N131" s="358">
        <v>0</v>
      </c>
      <c r="O131" s="358">
        <v>2.3046935077669552E-2</v>
      </c>
      <c r="P131" s="560">
        <v>45.099450379240899</v>
      </c>
      <c r="Q131" s="574" t="s">
        <v>619</v>
      </c>
    </row>
    <row r="132" spans="1:17">
      <c r="A132" s="538">
        <v>46064</v>
      </c>
      <c r="B132" s="550" t="s">
        <v>908</v>
      </c>
      <c r="C132" s="550" t="s">
        <v>908</v>
      </c>
      <c r="D132" s="358" t="s">
        <v>909</v>
      </c>
      <c r="E132" s="359">
        <v>46073</v>
      </c>
      <c r="F132" s="358" t="s">
        <v>597</v>
      </c>
      <c r="G132" s="358" t="s">
        <v>137</v>
      </c>
      <c r="H132" s="358" t="s">
        <v>910</v>
      </c>
      <c r="I132" s="358" t="s">
        <v>593</v>
      </c>
      <c r="J132" s="561">
        <v>0.56999999999999995</v>
      </c>
      <c r="K132" s="358">
        <v>0</v>
      </c>
      <c r="L132" s="562">
        <v>0</v>
      </c>
      <c r="M132" s="563">
        <v>0</v>
      </c>
      <c r="N132" s="358">
        <v>0</v>
      </c>
      <c r="O132" s="358">
        <v>6.8788777102753371E-2</v>
      </c>
      <c r="P132" s="560">
        <v>29.545365756125197</v>
      </c>
      <c r="Q132" s="574" t="s">
        <v>619</v>
      </c>
    </row>
    <row r="133" spans="1:17">
      <c r="A133" s="538">
        <v>46064</v>
      </c>
      <c r="B133" s="550" t="s">
        <v>911</v>
      </c>
      <c r="C133" s="550" t="s">
        <v>911</v>
      </c>
      <c r="D133" s="358" t="s">
        <v>909</v>
      </c>
      <c r="E133" s="359">
        <v>46073</v>
      </c>
      <c r="F133" s="358" t="s">
        <v>592</v>
      </c>
      <c r="G133" s="358" t="s">
        <v>137</v>
      </c>
      <c r="H133" s="358" t="s">
        <v>912</v>
      </c>
      <c r="I133" s="358" t="s">
        <v>593</v>
      </c>
      <c r="J133" s="561">
        <v>0.04</v>
      </c>
      <c r="K133" s="358">
        <v>25.85</v>
      </c>
      <c r="L133" s="562">
        <v>0</v>
      </c>
      <c r="M133" s="563">
        <v>0</v>
      </c>
      <c r="N133" s="358">
        <v>0</v>
      </c>
      <c r="O133" s="358">
        <v>3.855807227929937E-4</v>
      </c>
      <c r="P133" s="560">
        <v>38.253920672973599</v>
      </c>
      <c r="Q133" s="574" t="s">
        <v>619</v>
      </c>
    </row>
    <row r="134" spans="1:17">
      <c r="A134" s="538">
        <v>46064</v>
      </c>
      <c r="B134" s="550" t="s">
        <v>913</v>
      </c>
      <c r="C134" s="550" t="s">
        <v>913</v>
      </c>
      <c r="D134" s="358" t="s">
        <v>909</v>
      </c>
      <c r="E134" s="359">
        <v>46073</v>
      </c>
      <c r="F134" s="358" t="s">
        <v>592</v>
      </c>
      <c r="G134" s="358" t="s">
        <v>137</v>
      </c>
      <c r="H134" s="358" t="s">
        <v>914</v>
      </c>
      <c r="I134" s="358" t="s">
        <v>593</v>
      </c>
      <c r="J134" s="561">
        <v>0.13</v>
      </c>
      <c r="K134" s="358">
        <v>28.01</v>
      </c>
      <c r="L134" s="562">
        <v>0</v>
      </c>
      <c r="M134" s="563">
        <v>0</v>
      </c>
      <c r="N134" s="358">
        <v>0</v>
      </c>
      <c r="O134" s="358">
        <v>1.4812156574732246E-2</v>
      </c>
      <c r="P134" s="560">
        <v>34.229109408678596</v>
      </c>
      <c r="Q134" s="574" t="s">
        <v>619</v>
      </c>
    </row>
    <row r="135" spans="1:17">
      <c r="A135" s="538">
        <v>46064</v>
      </c>
      <c r="B135" s="572" t="s">
        <v>923</v>
      </c>
      <c r="C135" s="572" t="s">
        <v>923</v>
      </c>
      <c r="D135" s="358" t="s">
        <v>681</v>
      </c>
      <c r="E135" s="359">
        <v>46071</v>
      </c>
      <c r="F135" s="358" t="s">
        <v>592</v>
      </c>
      <c r="G135" s="358" t="s">
        <v>137</v>
      </c>
      <c r="H135" s="358" t="s">
        <v>935</v>
      </c>
      <c r="I135" s="358" t="s">
        <v>593</v>
      </c>
      <c r="J135" s="561">
        <v>200</v>
      </c>
      <c r="K135" s="358">
        <v>162800</v>
      </c>
      <c r="L135" s="562">
        <v>0</v>
      </c>
      <c r="M135" s="563">
        <v>0</v>
      </c>
      <c r="N135" s="358">
        <v>0</v>
      </c>
      <c r="O135" s="358">
        <v>1.3723590217862439E-2</v>
      </c>
      <c r="P135" s="560">
        <v>36.017532789190795</v>
      </c>
      <c r="Q135" s="574" t="s">
        <v>619</v>
      </c>
    </row>
    <row r="136" spans="1:17">
      <c r="A136" s="538">
        <v>46064</v>
      </c>
      <c r="B136" s="550" t="s">
        <v>954</v>
      </c>
      <c r="C136" s="550" t="s">
        <v>954</v>
      </c>
      <c r="D136" s="358" t="s">
        <v>800</v>
      </c>
      <c r="E136" s="359">
        <v>46073</v>
      </c>
      <c r="F136" s="358" t="s">
        <v>592</v>
      </c>
      <c r="G136" s="358" t="s">
        <v>137</v>
      </c>
      <c r="H136" s="358" t="s">
        <v>955</v>
      </c>
      <c r="I136" s="358" t="s">
        <v>593</v>
      </c>
      <c r="J136" s="561">
        <v>0.02</v>
      </c>
      <c r="K136" s="358">
        <v>34.129999999999995</v>
      </c>
      <c r="L136" s="562">
        <v>0</v>
      </c>
      <c r="M136" s="563">
        <v>0</v>
      </c>
      <c r="N136" s="358">
        <v>0</v>
      </c>
      <c r="O136" s="358">
        <v>7.0400384041327179E-3</v>
      </c>
      <c r="P136" s="560">
        <v>45.153045719473099</v>
      </c>
      <c r="Q136" s="574" t="s">
        <v>619</v>
      </c>
    </row>
    <row r="137" spans="1:17">
      <c r="A137" s="538">
        <v>46064</v>
      </c>
      <c r="B137" s="550" t="s">
        <v>956</v>
      </c>
      <c r="C137" s="550" t="s">
        <v>956</v>
      </c>
      <c r="D137" s="358" t="s">
        <v>957</v>
      </c>
      <c r="E137" s="359">
        <v>46073</v>
      </c>
      <c r="F137" s="358" t="s">
        <v>592</v>
      </c>
      <c r="G137" s="358" t="s">
        <v>137</v>
      </c>
      <c r="H137" s="358" t="s">
        <v>958</v>
      </c>
      <c r="I137" s="358" t="s">
        <v>593</v>
      </c>
      <c r="J137" s="561">
        <v>0.01</v>
      </c>
      <c r="K137" s="358">
        <v>43.24</v>
      </c>
      <c r="L137" s="562">
        <v>0</v>
      </c>
      <c r="M137" s="563">
        <v>0</v>
      </c>
      <c r="N137" s="358">
        <v>0</v>
      </c>
      <c r="O137" s="358">
        <v>1.4452596882945271E-5</v>
      </c>
      <c r="P137" s="560">
        <v>41.754486263087998</v>
      </c>
      <c r="Q137" s="574" t="s">
        <v>619</v>
      </c>
    </row>
    <row r="138" spans="1:17">
      <c r="A138" s="538">
        <v>46064</v>
      </c>
      <c r="B138" s="550" t="s">
        <v>959</v>
      </c>
      <c r="C138" s="550" t="s">
        <v>959</v>
      </c>
      <c r="D138" s="358" t="s">
        <v>957</v>
      </c>
      <c r="E138" s="359">
        <v>46073</v>
      </c>
      <c r="F138" s="358" t="s">
        <v>592</v>
      </c>
      <c r="G138" s="358" t="s">
        <v>137</v>
      </c>
      <c r="H138" s="358" t="s">
        <v>960</v>
      </c>
      <c r="I138" s="358" t="s">
        <v>593</v>
      </c>
      <c r="J138" s="561">
        <v>0.03</v>
      </c>
      <c r="K138" s="358">
        <v>46.22</v>
      </c>
      <c r="L138" s="562">
        <v>0</v>
      </c>
      <c r="M138" s="563">
        <v>0</v>
      </c>
      <c r="N138" s="358">
        <v>0</v>
      </c>
      <c r="O138" s="358">
        <v>7.1714553135922754E-4</v>
      </c>
      <c r="P138" s="560">
        <v>40.487078218497899</v>
      </c>
      <c r="Q138" s="574" t="s">
        <v>619</v>
      </c>
    </row>
    <row r="139" spans="1:17">
      <c r="A139" s="538">
        <v>46064</v>
      </c>
      <c r="B139" s="550" t="s">
        <v>961</v>
      </c>
      <c r="C139" s="550" t="s">
        <v>961</v>
      </c>
      <c r="D139" s="358" t="s">
        <v>957</v>
      </c>
      <c r="E139" s="359">
        <v>46101</v>
      </c>
      <c r="F139" s="358" t="s">
        <v>597</v>
      </c>
      <c r="G139" s="358" t="s">
        <v>137</v>
      </c>
      <c r="H139" s="358" t="s">
        <v>874</v>
      </c>
      <c r="I139" s="358" t="s">
        <v>593</v>
      </c>
      <c r="J139" s="561">
        <v>4.6900000000000004</v>
      </c>
      <c r="K139" s="358">
        <v>0</v>
      </c>
      <c r="L139" s="562">
        <v>0</v>
      </c>
      <c r="M139" s="563">
        <v>0</v>
      </c>
      <c r="N139" s="358">
        <v>0</v>
      </c>
      <c r="O139" s="358">
        <v>0.90856185834044623</v>
      </c>
      <c r="P139" s="560">
        <v>36.1574542290941</v>
      </c>
      <c r="Q139" s="574" t="s">
        <v>619</v>
      </c>
    </row>
    <row r="140" spans="1:17">
      <c r="A140" s="538">
        <v>46064</v>
      </c>
      <c r="B140" s="550" t="s">
        <v>962</v>
      </c>
      <c r="C140" s="550" t="s">
        <v>962</v>
      </c>
      <c r="D140" s="358" t="s">
        <v>957</v>
      </c>
      <c r="E140" s="359">
        <v>46101</v>
      </c>
      <c r="F140" s="358" t="s">
        <v>592</v>
      </c>
      <c r="G140" s="358" t="s">
        <v>137</v>
      </c>
      <c r="H140" s="358" t="s">
        <v>963</v>
      </c>
      <c r="I140" s="358" t="s">
        <v>593</v>
      </c>
      <c r="J140" s="561">
        <v>0.1</v>
      </c>
      <c r="K140" s="358">
        <v>42.4</v>
      </c>
      <c r="L140" s="562">
        <v>0</v>
      </c>
      <c r="M140" s="563">
        <v>0</v>
      </c>
      <c r="N140" s="358">
        <v>0</v>
      </c>
      <c r="O140" s="358">
        <v>1.3258154627768937E-2</v>
      </c>
      <c r="P140" s="560">
        <v>41.170364621460401</v>
      </c>
      <c r="Q140" s="574" t="s">
        <v>619</v>
      </c>
    </row>
    <row r="141" spans="1:17">
      <c r="A141" s="538">
        <v>46064</v>
      </c>
      <c r="B141" s="550" t="s">
        <v>964</v>
      </c>
      <c r="C141" s="550" t="s">
        <v>964</v>
      </c>
      <c r="D141" s="358" t="s">
        <v>957</v>
      </c>
      <c r="E141" s="359">
        <v>46101</v>
      </c>
      <c r="F141" s="358" t="s">
        <v>592</v>
      </c>
      <c r="G141" s="358" t="s">
        <v>137</v>
      </c>
      <c r="H141" s="358" t="s">
        <v>965</v>
      </c>
      <c r="I141" s="358" t="s">
        <v>593</v>
      </c>
      <c r="J141" s="561">
        <v>0.33</v>
      </c>
      <c r="K141" s="358">
        <v>46.17</v>
      </c>
      <c r="L141" s="562">
        <v>0</v>
      </c>
      <c r="M141" s="563">
        <v>0</v>
      </c>
      <c r="N141" s="358">
        <v>0</v>
      </c>
      <c r="O141" s="358">
        <v>5.2176058626206175E-2</v>
      </c>
      <c r="P141" s="560">
        <v>38.056899691346402</v>
      </c>
      <c r="Q141" s="574" t="s">
        <v>619</v>
      </c>
    </row>
    <row r="142" spans="1:17">
      <c r="A142" s="538">
        <v>46064</v>
      </c>
      <c r="B142" s="550" t="s">
        <v>986</v>
      </c>
      <c r="C142" s="550" t="s">
        <v>986</v>
      </c>
      <c r="D142" s="358" t="s">
        <v>987</v>
      </c>
      <c r="E142" s="359">
        <v>46073</v>
      </c>
      <c r="F142" s="358" t="s">
        <v>592</v>
      </c>
      <c r="G142" s="358" t="s">
        <v>137</v>
      </c>
      <c r="H142" s="358" t="s">
        <v>988</v>
      </c>
      <c r="I142" s="358" t="s">
        <v>593</v>
      </c>
      <c r="J142" s="561">
        <v>0.01</v>
      </c>
      <c r="K142" s="358">
        <v>40.93</v>
      </c>
      <c r="L142" s="562">
        <v>0</v>
      </c>
      <c r="M142" s="563">
        <v>0</v>
      </c>
      <c r="N142" s="358">
        <v>0</v>
      </c>
      <c r="O142" s="358">
        <v>4.4344217268695377E-3</v>
      </c>
      <c r="P142" s="560">
        <v>63.139350702840503</v>
      </c>
      <c r="Q142" s="574" t="s">
        <v>619</v>
      </c>
    </row>
    <row r="143" spans="1:17">
      <c r="A143" s="538">
        <v>46064</v>
      </c>
      <c r="B143" s="550" t="s">
        <v>989</v>
      </c>
      <c r="C143" s="550" t="s">
        <v>989</v>
      </c>
      <c r="D143" s="358" t="s">
        <v>987</v>
      </c>
      <c r="E143" s="359">
        <v>46073</v>
      </c>
      <c r="F143" s="358" t="s">
        <v>592</v>
      </c>
      <c r="G143" s="358" t="s">
        <v>137</v>
      </c>
      <c r="H143" s="358" t="s">
        <v>990</v>
      </c>
      <c r="I143" s="358" t="s">
        <v>593</v>
      </c>
      <c r="J143" s="561">
        <v>0.02</v>
      </c>
      <c r="K143" s="358">
        <v>42.86</v>
      </c>
      <c r="L143" s="562">
        <v>0</v>
      </c>
      <c r="M143" s="563">
        <v>0</v>
      </c>
      <c r="N143" s="358">
        <v>0</v>
      </c>
      <c r="O143" s="358">
        <v>7.655173656478732E-3</v>
      </c>
      <c r="P143" s="560">
        <v>54.134557752296502</v>
      </c>
      <c r="Q143" s="574" t="s">
        <v>619</v>
      </c>
    </row>
    <row r="144" spans="1:17">
      <c r="A144" s="538">
        <v>46064</v>
      </c>
      <c r="B144" s="572" t="s">
        <v>994</v>
      </c>
      <c r="C144" s="572" t="s">
        <v>994</v>
      </c>
      <c r="D144" s="358" t="s">
        <v>764</v>
      </c>
      <c r="E144" s="359">
        <v>46073</v>
      </c>
      <c r="F144" s="358" t="s">
        <v>592</v>
      </c>
      <c r="G144" s="358" t="s">
        <v>137</v>
      </c>
      <c r="H144" s="358" t="s">
        <v>995</v>
      </c>
      <c r="I144" s="358" t="s">
        <v>593</v>
      </c>
      <c r="J144" s="561">
        <v>0.26</v>
      </c>
      <c r="K144" s="358">
        <v>119.74</v>
      </c>
      <c r="L144" s="562">
        <v>0</v>
      </c>
      <c r="M144" s="563">
        <v>0</v>
      </c>
      <c r="N144" s="358">
        <v>0</v>
      </c>
      <c r="O144" s="358">
        <v>5.96674162379374E-2</v>
      </c>
      <c r="P144" s="560">
        <v>34.683347094369999</v>
      </c>
      <c r="Q144" s="574" t="s">
        <v>619</v>
      </c>
    </row>
    <row r="145" spans="1:17">
      <c r="A145" s="538">
        <v>46064</v>
      </c>
      <c r="B145" s="572" t="s">
        <v>996</v>
      </c>
      <c r="C145" s="572" t="s">
        <v>996</v>
      </c>
      <c r="D145" s="358" t="s">
        <v>882</v>
      </c>
      <c r="E145" s="359">
        <v>46073</v>
      </c>
      <c r="F145" s="358" t="s">
        <v>592</v>
      </c>
      <c r="G145" s="358" t="s">
        <v>137</v>
      </c>
      <c r="H145" s="358" t="s">
        <v>997</v>
      </c>
      <c r="I145" s="358" t="s">
        <v>593</v>
      </c>
      <c r="J145" s="561">
        <v>7.0000000000000007E-2</v>
      </c>
      <c r="K145" s="358">
        <v>77.830000000000013</v>
      </c>
      <c r="L145" s="562">
        <v>0</v>
      </c>
      <c r="M145" s="563">
        <v>0</v>
      </c>
      <c r="N145" s="358">
        <v>0</v>
      </c>
      <c r="O145" s="358">
        <v>1.2954405409512124E-2</v>
      </c>
      <c r="P145" s="560">
        <v>54.701504532213796</v>
      </c>
      <c r="Q145" s="574" t="s">
        <v>619</v>
      </c>
    </row>
    <row r="146" spans="1:17">
      <c r="A146" s="538">
        <v>46064</v>
      </c>
      <c r="B146" s="572" t="s">
        <v>998</v>
      </c>
      <c r="C146" s="572" t="s">
        <v>998</v>
      </c>
      <c r="D146" s="358" t="s">
        <v>882</v>
      </c>
      <c r="E146" s="359">
        <v>46073</v>
      </c>
      <c r="F146" s="358" t="s">
        <v>592</v>
      </c>
      <c r="G146" s="358" t="s">
        <v>137</v>
      </c>
      <c r="H146" s="358" t="s">
        <v>999</v>
      </c>
      <c r="I146" s="358" t="s">
        <v>593</v>
      </c>
      <c r="J146" s="561">
        <v>0.2</v>
      </c>
      <c r="K146" s="358">
        <v>82.7</v>
      </c>
      <c r="L146" s="562">
        <v>0</v>
      </c>
      <c r="M146" s="563">
        <v>0</v>
      </c>
      <c r="N146" s="358">
        <v>0</v>
      </c>
      <c r="O146" s="358">
        <v>3.7917507567150094E-2</v>
      </c>
      <c r="P146" s="560">
        <v>43.7037519129874</v>
      </c>
      <c r="Q146" s="574" t="s">
        <v>619</v>
      </c>
    </row>
    <row r="147" spans="1:17">
      <c r="A147" s="538">
        <v>46064</v>
      </c>
      <c r="B147" s="550" t="s">
        <v>1023</v>
      </c>
      <c r="C147" s="550" t="s">
        <v>1023</v>
      </c>
      <c r="D147" s="358" t="s">
        <v>620</v>
      </c>
      <c r="E147" s="359">
        <v>46073</v>
      </c>
      <c r="F147" s="358" t="s">
        <v>592</v>
      </c>
      <c r="G147" s="358" t="s">
        <v>137</v>
      </c>
      <c r="H147" s="358" t="s">
        <v>1024</v>
      </c>
      <c r="I147" s="358" t="s">
        <v>593</v>
      </c>
      <c r="J147" s="561">
        <v>0.05</v>
      </c>
      <c r="K147" s="358">
        <v>14.62</v>
      </c>
      <c r="L147" s="562">
        <v>0</v>
      </c>
      <c r="M147" s="563">
        <v>0</v>
      </c>
      <c r="N147" s="358">
        <v>0</v>
      </c>
      <c r="O147" s="358">
        <v>1.4499808156803486E-2</v>
      </c>
      <c r="P147" s="560">
        <v>49.128590919248104</v>
      </c>
      <c r="Q147" s="574" t="s">
        <v>619</v>
      </c>
    </row>
    <row r="148" spans="1:17">
      <c r="A148" s="538">
        <v>46064</v>
      </c>
      <c r="B148" s="550" t="s">
        <v>1025</v>
      </c>
      <c r="C148" s="550" t="s">
        <v>1025</v>
      </c>
      <c r="D148" s="358" t="s">
        <v>1026</v>
      </c>
      <c r="E148" s="359">
        <v>46101</v>
      </c>
      <c r="F148" s="358" t="s">
        <v>592</v>
      </c>
      <c r="G148" s="358" t="s">
        <v>137</v>
      </c>
      <c r="H148" s="358" t="s">
        <v>878</v>
      </c>
      <c r="I148" s="358" t="s">
        <v>593</v>
      </c>
      <c r="J148" s="561">
        <v>0.36</v>
      </c>
      <c r="K148" s="358">
        <v>20.95</v>
      </c>
      <c r="L148" s="562">
        <v>0</v>
      </c>
      <c r="M148" s="563">
        <v>0</v>
      </c>
      <c r="N148" s="358">
        <v>0</v>
      </c>
      <c r="O148" s="358">
        <v>6.7015596871128721E-2</v>
      </c>
      <c r="P148" s="560">
        <v>34.554382024262296</v>
      </c>
      <c r="Q148" s="574" t="s">
        <v>619</v>
      </c>
    </row>
    <row r="149" spans="1:17">
      <c r="A149" s="538">
        <v>46064</v>
      </c>
      <c r="B149" s="550" t="s">
        <v>1027</v>
      </c>
      <c r="C149" s="550" t="s">
        <v>1027</v>
      </c>
      <c r="D149" s="358" t="s">
        <v>1026</v>
      </c>
      <c r="E149" s="359">
        <v>46101</v>
      </c>
      <c r="F149" s="358" t="s">
        <v>592</v>
      </c>
      <c r="G149" s="358" t="s">
        <v>137</v>
      </c>
      <c r="H149" s="358" t="s">
        <v>1028</v>
      </c>
      <c r="I149" s="358" t="s">
        <v>593</v>
      </c>
      <c r="J149" s="561">
        <v>0.87</v>
      </c>
      <c r="K149" s="358">
        <v>21.939999999999998</v>
      </c>
      <c r="L149" s="562">
        <v>0</v>
      </c>
      <c r="M149" s="563">
        <v>0</v>
      </c>
      <c r="N149" s="358">
        <v>0</v>
      </c>
      <c r="O149" s="358">
        <v>0.17002794836508497</v>
      </c>
      <c r="P149" s="560">
        <v>33.645513761204903</v>
      </c>
      <c r="Q149" s="574" t="s">
        <v>619</v>
      </c>
    </row>
    <row r="150" spans="1:17">
      <c r="A150" s="538">
        <v>46064</v>
      </c>
      <c r="B150" s="550" t="s">
        <v>1053</v>
      </c>
      <c r="C150" s="550" t="s">
        <v>1053</v>
      </c>
      <c r="D150" s="358" t="s">
        <v>1054</v>
      </c>
      <c r="E150" s="359">
        <v>46073</v>
      </c>
      <c r="F150" s="358" t="s">
        <v>592</v>
      </c>
      <c r="G150" s="358" t="s">
        <v>137</v>
      </c>
      <c r="H150" s="358" t="s">
        <v>1055</v>
      </c>
      <c r="I150" s="358" t="s">
        <v>593</v>
      </c>
      <c r="J150" s="561">
        <v>0.02</v>
      </c>
      <c r="K150" s="358">
        <v>12.46</v>
      </c>
      <c r="L150" s="562">
        <v>0</v>
      </c>
      <c r="M150" s="563">
        <v>0</v>
      </c>
      <c r="N150" s="358">
        <v>0</v>
      </c>
      <c r="O150" s="358">
        <v>1.0937135325777889E-5</v>
      </c>
      <c r="P150" s="560">
        <v>27.452633890025499</v>
      </c>
      <c r="Q150" s="574" t="s">
        <v>619</v>
      </c>
    </row>
    <row r="151" spans="1:17">
      <c r="A151" s="538">
        <v>46064</v>
      </c>
      <c r="B151" s="550" t="s">
        <v>1056</v>
      </c>
      <c r="C151" s="550" t="s">
        <v>1056</v>
      </c>
      <c r="D151" s="358" t="s">
        <v>1054</v>
      </c>
      <c r="E151" s="359">
        <v>46073</v>
      </c>
      <c r="F151" s="358" t="s">
        <v>592</v>
      </c>
      <c r="G151" s="358" t="s">
        <v>137</v>
      </c>
      <c r="H151" s="358" t="s">
        <v>1057</v>
      </c>
      <c r="I151" s="358" t="s">
        <v>593</v>
      </c>
      <c r="J151" s="561">
        <v>0.02</v>
      </c>
      <c r="K151" s="358">
        <v>13.21</v>
      </c>
      <c r="L151" s="562">
        <v>0</v>
      </c>
      <c r="M151" s="563">
        <v>0</v>
      </c>
      <c r="N151" s="358">
        <v>0</v>
      </c>
      <c r="O151" s="358">
        <v>7.034342387375142E-4</v>
      </c>
      <c r="P151" s="560">
        <v>24.637067581359901</v>
      </c>
      <c r="Q151" s="574" t="s">
        <v>619</v>
      </c>
    </row>
    <row r="152" spans="1:17">
      <c r="A152" s="538">
        <v>46064</v>
      </c>
      <c r="B152" s="550" t="s">
        <v>1058</v>
      </c>
      <c r="C152" s="550" t="s">
        <v>1058</v>
      </c>
      <c r="D152" s="358" t="s">
        <v>1059</v>
      </c>
      <c r="E152" s="359">
        <v>46101</v>
      </c>
      <c r="F152" s="358" t="s">
        <v>597</v>
      </c>
      <c r="G152" s="358" t="s">
        <v>137</v>
      </c>
      <c r="H152" s="358" t="s">
        <v>1060</v>
      </c>
      <c r="I152" s="358" t="s">
        <v>593</v>
      </c>
      <c r="J152" s="561">
        <v>1.1000000000000001</v>
      </c>
      <c r="K152" s="358">
        <v>0</v>
      </c>
      <c r="L152" s="562">
        <v>0</v>
      </c>
      <c r="M152" s="563">
        <v>0</v>
      </c>
      <c r="N152" s="358">
        <v>0</v>
      </c>
      <c r="O152" s="358">
        <v>0.20039089862480433</v>
      </c>
      <c r="P152" s="560">
        <v>28.779510898220899</v>
      </c>
      <c r="Q152" s="574" t="s">
        <v>619</v>
      </c>
    </row>
    <row r="153" spans="1:17">
      <c r="A153" s="538">
        <v>46064</v>
      </c>
      <c r="B153" s="550" t="s">
        <v>1061</v>
      </c>
      <c r="C153" s="550" t="s">
        <v>1061</v>
      </c>
      <c r="D153" s="358" t="s">
        <v>1062</v>
      </c>
      <c r="E153" s="359">
        <v>46101</v>
      </c>
      <c r="F153" s="358" t="s">
        <v>597</v>
      </c>
      <c r="G153" s="358" t="s">
        <v>137</v>
      </c>
      <c r="H153" s="358" t="s">
        <v>1063</v>
      </c>
      <c r="I153" s="358" t="s">
        <v>593</v>
      </c>
      <c r="J153" s="561">
        <v>1.69</v>
      </c>
      <c r="K153" s="358">
        <v>0</v>
      </c>
      <c r="L153" s="562">
        <v>0</v>
      </c>
      <c r="M153" s="563">
        <v>0</v>
      </c>
      <c r="N153" s="358">
        <v>0</v>
      </c>
      <c r="O153" s="358">
        <v>0.25667965179411212</v>
      </c>
      <c r="P153" s="560">
        <v>34.718336000150899</v>
      </c>
      <c r="Q153" s="574" t="s">
        <v>619</v>
      </c>
    </row>
    <row r="154" spans="1:17">
      <c r="A154" s="538">
        <v>46064</v>
      </c>
      <c r="B154" s="550" t="s">
        <v>1064</v>
      </c>
      <c r="C154" s="550" t="s">
        <v>1064</v>
      </c>
      <c r="D154" s="358" t="s">
        <v>1062</v>
      </c>
      <c r="E154" s="359">
        <v>46101</v>
      </c>
      <c r="F154" s="358" t="s">
        <v>592</v>
      </c>
      <c r="G154" s="358" t="s">
        <v>137</v>
      </c>
      <c r="H154" s="358" t="s">
        <v>1065</v>
      </c>
      <c r="I154" s="358" t="s">
        <v>593</v>
      </c>
      <c r="J154" s="561">
        <v>0.22</v>
      </c>
      <c r="K154" s="358">
        <v>22.17</v>
      </c>
      <c r="L154" s="562">
        <v>0</v>
      </c>
      <c r="M154" s="563">
        <v>0</v>
      </c>
      <c r="N154" s="358">
        <v>0</v>
      </c>
      <c r="O154" s="358">
        <v>1.4267510612934006E-2</v>
      </c>
      <c r="P154" s="560">
        <v>40.140086827345399</v>
      </c>
      <c r="Q154" s="574" t="s">
        <v>619</v>
      </c>
    </row>
    <row r="155" spans="1:17">
      <c r="A155" s="538">
        <v>46064</v>
      </c>
      <c r="B155" s="550" t="s">
        <v>1066</v>
      </c>
      <c r="C155" s="550" t="s">
        <v>1066</v>
      </c>
      <c r="D155" s="358" t="s">
        <v>1062</v>
      </c>
      <c r="E155" s="359">
        <v>46101</v>
      </c>
      <c r="F155" s="358" t="s">
        <v>592</v>
      </c>
      <c r="G155" s="358" t="s">
        <v>137</v>
      </c>
      <c r="H155" s="358" t="s">
        <v>1067</v>
      </c>
      <c r="I155" s="358" t="s">
        <v>593</v>
      </c>
      <c r="J155" s="561">
        <v>0.61</v>
      </c>
      <c r="K155" s="358">
        <v>24.23</v>
      </c>
      <c r="L155" s="562">
        <v>0</v>
      </c>
      <c r="M155" s="563">
        <v>0</v>
      </c>
      <c r="N155" s="358">
        <v>0</v>
      </c>
      <c r="O155" s="358">
        <v>6.7439830819052443E-2</v>
      </c>
      <c r="P155" s="560">
        <v>37.364994789208694</v>
      </c>
      <c r="Q155" s="574" t="s">
        <v>619</v>
      </c>
    </row>
    <row r="156" spans="1:17">
      <c r="A156" s="538">
        <v>46064</v>
      </c>
      <c r="B156" s="550" t="s">
        <v>1068</v>
      </c>
      <c r="C156" s="550" t="s">
        <v>1068</v>
      </c>
      <c r="D156" s="358" t="s">
        <v>1069</v>
      </c>
      <c r="E156" s="359">
        <v>46073</v>
      </c>
      <c r="F156" s="358" t="s">
        <v>597</v>
      </c>
      <c r="G156" s="358" t="s">
        <v>137</v>
      </c>
      <c r="H156" s="358" t="s">
        <v>1070</v>
      </c>
      <c r="I156" s="358" t="s">
        <v>593</v>
      </c>
      <c r="J156" s="561">
        <v>0.06</v>
      </c>
      <c r="K156" s="358">
        <v>0</v>
      </c>
      <c r="L156" s="562">
        <v>0</v>
      </c>
      <c r="M156" s="563">
        <v>0</v>
      </c>
      <c r="N156" s="358">
        <v>0</v>
      </c>
      <c r="O156" s="358">
        <v>8.3987940343558509E-3</v>
      </c>
      <c r="P156" s="560">
        <v>68.007982723741804</v>
      </c>
      <c r="Q156" s="574" t="s">
        <v>619</v>
      </c>
    </row>
    <row r="157" spans="1:17">
      <c r="A157" s="538">
        <v>46064</v>
      </c>
      <c r="B157" s="550" t="s">
        <v>1071</v>
      </c>
      <c r="C157" s="550" t="s">
        <v>1071</v>
      </c>
      <c r="D157" s="358" t="s">
        <v>1069</v>
      </c>
      <c r="E157" s="359">
        <v>46073</v>
      </c>
      <c r="F157" s="358" t="s">
        <v>597</v>
      </c>
      <c r="G157" s="358" t="s">
        <v>137</v>
      </c>
      <c r="H157" s="358" t="s">
        <v>1072</v>
      </c>
      <c r="I157" s="358" t="s">
        <v>593</v>
      </c>
      <c r="J157" s="561">
        <v>0.01</v>
      </c>
      <c r="K157" s="358">
        <v>0</v>
      </c>
      <c r="L157" s="562">
        <v>0</v>
      </c>
      <c r="M157" s="563">
        <v>0</v>
      </c>
      <c r="N157" s="358">
        <v>0</v>
      </c>
      <c r="O157" s="358">
        <v>1.2510544286674704E-3</v>
      </c>
      <c r="P157" s="560">
        <v>75.989412043700696</v>
      </c>
      <c r="Q157" s="574" t="s">
        <v>619</v>
      </c>
    </row>
    <row r="158" spans="1:17">
      <c r="A158" s="538">
        <v>46064</v>
      </c>
      <c r="B158" s="572" t="s">
        <v>1086</v>
      </c>
      <c r="C158" s="572" t="s">
        <v>1086</v>
      </c>
      <c r="D158" s="358" t="s">
        <v>1087</v>
      </c>
      <c r="E158" s="359">
        <v>46073</v>
      </c>
      <c r="F158" s="358" t="s">
        <v>597</v>
      </c>
      <c r="G158" s="358" t="s">
        <v>137</v>
      </c>
      <c r="H158" s="358" t="s">
        <v>1088</v>
      </c>
      <c r="I158" s="358" t="s">
        <v>593</v>
      </c>
      <c r="J158" s="561">
        <v>0.25</v>
      </c>
      <c r="K158" s="358">
        <v>0</v>
      </c>
      <c r="L158" s="562">
        <v>0</v>
      </c>
      <c r="M158" s="563">
        <v>0</v>
      </c>
      <c r="N158" s="358">
        <v>0</v>
      </c>
      <c r="O158" s="358">
        <v>4.4700163323002022E-2</v>
      </c>
      <c r="P158" s="560">
        <v>38.174521145913999</v>
      </c>
      <c r="Q158" s="574" t="s">
        <v>619</v>
      </c>
    </row>
    <row r="159" spans="1:17">
      <c r="A159" s="538">
        <v>46064</v>
      </c>
      <c r="B159" s="572" t="s">
        <v>1089</v>
      </c>
      <c r="C159" s="572" t="s">
        <v>1089</v>
      </c>
      <c r="D159" s="358" t="s">
        <v>1090</v>
      </c>
      <c r="E159" s="359">
        <v>46073</v>
      </c>
      <c r="F159" s="358" t="s">
        <v>597</v>
      </c>
      <c r="G159" s="358" t="s">
        <v>137</v>
      </c>
      <c r="H159" s="358" t="s">
        <v>1091</v>
      </c>
      <c r="I159" s="358" t="s">
        <v>593</v>
      </c>
      <c r="J159" s="561">
        <v>0.11</v>
      </c>
      <c r="K159" s="358">
        <v>0</v>
      </c>
      <c r="L159" s="562">
        <v>0</v>
      </c>
      <c r="M159" s="563">
        <v>0</v>
      </c>
      <c r="N159" s="358">
        <v>0</v>
      </c>
      <c r="O159" s="358">
        <v>8.7266772481783979E-4</v>
      </c>
      <c r="P159" s="560">
        <v>17.152667841622002</v>
      </c>
      <c r="Q159" s="574" t="s">
        <v>619</v>
      </c>
    </row>
    <row r="160" spans="1:17">
      <c r="A160" s="538">
        <v>46064</v>
      </c>
      <c r="B160" s="550" t="s">
        <v>1092</v>
      </c>
      <c r="C160" s="550" t="s">
        <v>1092</v>
      </c>
      <c r="D160" s="358" t="s">
        <v>957</v>
      </c>
      <c r="E160" s="359">
        <v>46129</v>
      </c>
      <c r="F160" s="358" t="s">
        <v>592</v>
      </c>
      <c r="G160" s="358" t="s">
        <v>137</v>
      </c>
      <c r="H160" s="358" t="s">
        <v>1093</v>
      </c>
      <c r="I160" s="358" t="s">
        <v>593</v>
      </c>
      <c r="J160" s="561">
        <v>0.8</v>
      </c>
      <c r="K160" s="358">
        <v>44.7</v>
      </c>
      <c r="L160" s="562">
        <v>0</v>
      </c>
      <c r="M160" s="563">
        <v>0</v>
      </c>
      <c r="N160" s="358">
        <v>0</v>
      </c>
      <c r="O160" s="358">
        <v>9.7112797173755538E-2</v>
      </c>
      <c r="P160" s="560">
        <v>39.305114420735997</v>
      </c>
      <c r="Q160" s="574" t="s">
        <v>619</v>
      </c>
    </row>
    <row r="161" spans="1:17">
      <c r="A161" s="538">
        <v>46064</v>
      </c>
      <c r="B161" s="550" t="s">
        <v>1094</v>
      </c>
      <c r="C161" s="550" t="s">
        <v>1094</v>
      </c>
      <c r="D161" s="358" t="s">
        <v>957</v>
      </c>
      <c r="E161" s="359">
        <v>46129</v>
      </c>
      <c r="F161" s="358" t="s">
        <v>592</v>
      </c>
      <c r="G161" s="358" t="s">
        <v>137</v>
      </c>
      <c r="H161" s="358" t="s">
        <v>1095</v>
      </c>
      <c r="I161" s="358" t="s">
        <v>593</v>
      </c>
      <c r="J161" s="561">
        <v>0.99</v>
      </c>
      <c r="K161" s="358">
        <v>48.51</v>
      </c>
      <c r="L161" s="562">
        <v>0</v>
      </c>
      <c r="M161" s="563">
        <v>0</v>
      </c>
      <c r="N161" s="358">
        <v>0</v>
      </c>
      <c r="O161" s="358">
        <v>0.23487460509991065</v>
      </c>
      <c r="P161" s="560">
        <v>37.529433613320599</v>
      </c>
      <c r="Q161" s="574" t="s">
        <v>619</v>
      </c>
    </row>
    <row r="162" spans="1:17">
      <c r="A162" s="538">
        <v>46064</v>
      </c>
      <c r="B162" s="550" t="s">
        <v>1113</v>
      </c>
      <c r="C162" s="550" t="s">
        <v>1113</v>
      </c>
      <c r="D162" s="358" t="s">
        <v>1114</v>
      </c>
      <c r="E162" s="359">
        <v>46101</v>
      </c>
      <c r="F162" s="358" t="s">
        <v>592</v>
      </c>
      <c r="G162" s="358" t="s">
        <v>137</v>
      </c>
      <c r="H162" s="358" t="s">
        <v>1115</v>
      </c>
      <c r="I162" s="358" t="s">
        <v>593</v>
      </c>
      <c r="J162" s="561">
        <v>0.08</v>
      </c>
      <c r="K162" s="358">
        <v>18.790000000000003</v>
      </c>
      <c r="L162" s="562">
        <v>0</v>
      </c>
      <c r="M162" s="563">
        <v>0</v>
      </c>
      <c r="N162" s="358">
        <v>0</v>
      </c>
      <c r="O162" s="358">
        <v>1.5433721716168018E-2</v>
      </c>
      <c r="P162" s="560">
        <v>29.301864101467096</v>
      </c>
      <c r="Q162" s="574" t="s">
        <v>619</v>
      </c>
    </row>
    <row r="163" spans="1:17">
      <c r="A163" s="538">
        <v>46064</v>
      </c>
      <c r="B163" s="550" t="s">
        <v>1116</v>
      </c>
      <c r="C163" s="550" t="s">
        <v>1116</v>
      </c>
      <c r="D163" s="358" t="s">
        <v>909</v>
      </c>
      <c r="E163" s="359">
        <v>46073</v>
      </c>
      <c r="F163" s="358" t="s">
        <v>597</v>
      </c>
      <c r="G163" s="358" t="s">
        <v>137</v>
      </c>
      <c r="H163" s="358" t="s">
        <v>1117</v>
      </c>
      <c r="I163" s="358" t="s">
        <v>593</v>
      </c>
      <c r="J163" s="561">
        <v>0.34</v>
      </c>
      <c r="K163" s="358">
        <v>0</v>
      </c>
      <c r="L163" s="562">
        <v>0</v>
      </c>
      <c r="M163" s="563">
        <v>0</v>
      </c>
      <c r="N163" s="358">
        <v>0</v>
      </c>
      <c r="O163" s="358">
        <v>3.4913938719937629E-2</v>
      </c>
      <c r="P163" s="560">
        <v>28.404456077537301</v>
      </c>
      <c r="Q163" s="574" t="s">
        <v>619</v>
      </c>
    </row>
    <row r="164" spans="1:17">
      <c r="A164" s="538">
        <v>46064</v>
      </c>
      <c r="B164" s="550" t="s">
        <v>1118</v>
      </c>
      <c r="C164" s="550" t="s">
        <v>1118</v>
      </c>
      <c r="D164" s="358" t="s">
        <v>909</v>
      </c>
      <c r="E164" s="359">
        <v>46073</v>
      </c>
      <c r="F164" s="358" t="s">
        <v>592</v>
      </c>
      <c r="G164" s="358" t="s">
        <v>137</v>
      </c>
      <c r="H164" s="358" t="s">
        <v>1119</v>
      </c>
      <c r="I164" s="358" t="s">
        <v>593</v>
      </c>
      <c r="J164" s="561">
        <v>0.04</v>
      </c>
      <c r="K164" s="358">
        <v>26.6</v>
      </c>
      <c r="L164" s="562">
        <v>0</v>
      </c>
      <c r="M164" s="563">
        <v>0</v>
      </c>
      <c r="N164" s="358">
        <v>0</v>
      </c>
      <c r="O164" s="358">
        <v>1.5411293991924996E-3</v>
      </c>
      <c r="P164" s="560">
        <v>37.115644692634902</v>
      </c>
      <c r="Q164" s="574" t="s">
        <v>619</v>
      </c>
    </row>
    <row r="165" spans="1:17">
      <c r="A165" s="538">
        <v>46064</v>
      </c>
      <c r="B165" s="550" t="s">
        <v>1120</v>
      </c>
      <c r="C165" s="550" t="s">
        <v>1120</v>
      </c>
      <c r="D165" s="358" t="s">
        <v>909</v>
      </c>
      <c r="E165" s="359">
        <v>46073</v>
      </c>
      <c r="F165" s="358" t="s">
        <v>592</v>
      </c>
      <c r="G165" s="358" t="s">
        <v>137</v>
      </c>
      <c r="H165" s="358" t="s">
        <v>1121</v>
      </c>
      <c r="I165" s="358" t="s">
        <v>593</v>
      </c>
      <c r="J165" s="561">
        <v>0.24</v>
      </c>
      <c r="K165" s="358">
        <v>28.400000000000002</v>
      </c>
      <c r="L165" s="562">
        <v>0</v>
      </c>
      <c r="M165" s="563">
        <v>0</v>
      </c>
      <c r="N165" s="358">
        <v>0</v>
      </c>
      <c r="O165" s="358">
        <v>2.7712690824882386E-2</v>
      </c>
      <c r="P165" s="560">
        <v>33.104006039236403</v>
      </c>
      <c r="Q165" s="574" t="s">
        <v>619</v>
      </c>
    </row>
    <row r="166" spans="1:17">
      <c r="A166" s="538">
        <v>46064</v>
      </c>
      <c r="B166" s="550" t="s">
        <v>1129</v>
      </c>
      <c r="C166" s="550" t="s">
        <v>1129</v>
      </c>
      <c r="D166" s="358" t="s">
        <v>1130</v>
      </c>
      <c r="E166" s="359">
        <v>46073</v>
      </c>
      <c r="F166" s="358" t="s">
        <v>597</v>
      </c>
      <c r="G166" s="358" t="s">
        <v>137</v>
      </c>
      <c r="H166" s="358" t="s">
        <v>1131</v>
      </c>
      <c r="I166" s="358" t="s">
        <v>593</v>
      </c>
      <c r="J166" s="561">
        <v>0.8</v>
      </c>
      <c r="K166" s="358">
        <v>0</v>
      </c>
      <c r="L166" s="562">
        <v>0</v>
      </c>
      <c r="M166" s="563">
        <v>0</v>
      </c>
      <c r="N166" s="358">
        <v>0</v>
      </c>
      <c r="O166" s="358">
        <v>5.7961861183336871E-5</v>
      </c>
      <c r="P166" s="560">
        <v>27.459956041249804</v>
      </c>
      <c r="Q166" s="574" t="s">
        <v>619</v>
      </c>
    </row>
    <row r="167" spans="1:17">
      <c r="A167" s="538">
        <v>46064</v>
      </c>
      <c r="B167" s="550" t="s">
        <v>1132</v>
      </c>
      <c r="C167" s="550" t="s">
        <v>1132</v>
      </c>
      <c r="D167" s="358" t="s">
        <v>1130</v>
      </c>
      <c r="E167" s="359">
        <v>46073</v>
      </c>
      <c r="F167" s="358" t="s">
        <v>592</v>
      </c>
      <c r="G167" s="358" t="s">
        <v>137</v>
      </c>
      <c r="H167" s="358" t="s">
        <v>1133</v>
      </c>
      <c r="I167" s="358" t="s">
        <v>593</v>
      </c>
      <c r="J167" s="561">
        <v>0.52</v>
      </c>
      <c r="K167" s="358">
        <v>45.019999999999996</v>
      </c>
      <c r="L167" s="562">
        <v>0</v>
      </c>
      <c r="M167" s="563">
        <v>0</v>
      </c>
      <c r="N167" s="358">
        <v>0</v>
      </c>
      <c r="O167" s="358">
        <v>6.7726766742415317E-2</v>
      </c>
      <c r="P167" s="560">
        <v>37.1831702829029</v>
      </c>
      <c r="Q167" s="574" t="s">
        <v>619</v>
      </c>
    </row>
    <row r="168" spans="1:17">
      <c r="A168" s="538">
        <v>46064</v>
      </c>
      <c r="B168" s="550" t="s">
        <v>1134</v>
      </c>
      <c r="C168" s="550" t="s">
        <v>1134</v>
      </c>
      <c r="D168" s="358" t="s">
        <v>1130</v>
      </c>
      <c r="E168" s="359">
        <v>46073</v>
      </c>
      <c r="F168" s="358" t="s">
        <v>592</v>
      </c>
      <c r="G168" s="358" t="s">
        <v>137</v>
      </c>
      <c r="H168" s="358" t="s">
        <v>1135</v>
      </c>
      <c r="I168" s="358" t="s">
        <v>593</v>
      </c>
      <c r="J168" s="561">
        <v>1.82</v>
      </c>
      <c r="K168" s="358">
        <v>47.47</v>
      </c>
      <c r="L168" s="562">
        <v>0</v>
      </c>
      <c r="M168" s="563">
        <v>0</v>
      </c>
      <c r="N168" s="358">
        <v>0</v>
      </c>
      <c r="O168" s="358">
        <v>0.43555722213948905</v>
      </c>
      <c r="P168" s="560">
        <v>31.7156255801147</v>
      </c>
      <c r="Q168" s="574" t="s">
        <v>619</v>
      </c>
    </row>
    <row r="169" spans="1:17">
      <c r="A169" s="538">
        <v>46064</v>
      </c>
      <c r="B169" s="572" t="s">
        <v>1136</v>
      </c>
      <c r="C169" s="572" t="s">
        <v>1136</v>
      </c>
      <c r="D169" s="358" t="s">
        <v>1137</v>
      </c>
      <c r="E169" s="359">
        <v>46101</v>
      </c>
      <c r="F169" s="358" t="s">
        <v>597</v>
      </c>
      <c r="G169" s="358" t="s">
        <v>137</v>
      </c>
      <c r="H169" s="358" t="s">
        <v>1138</v>
      </c>
      <c r="I169" s="358" t="s">
        <v>593</v>
      </c>
      <c r="J169" s="561">
        <v>0.19</v>
      </c>
      <c r="K169" s="358">
        <v>0</v>
      </c>
      <c r="L169" s="562">
        <v>0</v>
      </c>
      <c r="M169" s="563">
        <v>0</v>
      </c>
      <c r="N169" s="358">
        <v>0</v>
      </c>
      <c r="O169" s="358">
        <v>2.3088572786776191E-2</v>
      </c>
      <c r="P169" s="560">
        <v>35.685189427255303</v>
      </c>
      <c r="Q169" s="574" t="s">
        <v>619</v>
      </c>
    </row>
    <row r="170" spans="1:17">
      <c r="A170" s="538">
        <v>46064</v>
      </c>
      <c r="B170" s="572" t="s">
        <v>1139</v>
      </c>
      <c r="C170" s="572" t="s">
        <v>1139</v>
      </c>
      <c r="D170" s="358" t="s">
        <v>1137</v>
      </c>
      <c r="E170" s="359">
        <v>46101</v>
      </c>
      <c r="F170" s="358" t="s">
        <v>592</v>
      </c>
      <c r="G170" s="358" t="s">
        <v>137</v>
      </c>
      <c r="H170" s="358" t="s">
        <v>1140</v>
      </c>
      <c r="I170" s="358" t="s">
        <v>593</v>
      </c>
      <c r="J170" s="561">
        <v>0.14000000000000001</v>
      </c>
      <c r="K170" s="358">
        <v>6.03</v>
      </c>
      <c r="L170" s="562">
        <v>0</v>
      </c>
      <c r="M170" s="563">
        <v>0</v>
      </c>
      <c r="N170" s="358">
        <v>0</v>
      </c>
      <c r="O170" s="358">
        <v>1.9420218811110668E-2</v>
      </c>
      <c r="P170" s="560">
        <v>41.1846112524901</v>
      </c>
      <c r="Q170" s="574" t="s">
        <v>619</v>
      </c>
    </row>
    <row r="171" spans="1:17">
      <c r="A171" s="538">
        <v>46064</v>
      </c>
      <c r="B171" s="572" t="s">
        <v>1141</v>
      </c>
      <c r="C171" s="572" t="s">
        <v>1141</v>
      </c>
      <c r="D171" s="358" t="s">
        <v>1137</v>
      </c>
      <c r="E171" s="359">
        <v>46101</v>
      </c>
      <c r="F171" s="358" t="s">
        <v>592</v>
      </c>
      <c r="G171" s="358" t="s">
        <v>137</v>
      </c>
      <c r="H171" s="358" t="s">
        <v>1142</v>
      </c>
      <c r="I171" s="358" t="s">
        <v>593</v>
      </c>
      <c r="J171" s="561">
        <v>0.41</v>
      </c>
      <c r="K171" s="358">
        <v>6.3599999999999994</v>
      </c>
      <c r="L171" s="562">
        <v>0</v>
      </c>
      <c r="M171" s="563">
        <v>0</v>
      </c>
      <c r="N171" s="358">
        <v>0</v>
      </c>
      <c r="O171" s="358">
        <v>5.5837900146017624E-2</v>
      </c>
      <c r="P171" s="560">
        <v>38.312026427239601</v>
      </c>
      <c r="Q171" s="574" t="s">
        <v>619</v>
      </c>
    </row>
    <row r="172" spans="1:17">
      <c r="A172" s="538">
        <v>46064</v>
      </c>
      <c r="B172" s="572" t="s">
        <v>1152</v>
      </c>
      <c r="C172" s="572" t="s">
        <v>1152</v>
      </c>
      <c r="D172" s="358" t="s">
        <v>1153</v>
      </c>
      <c r="E172" s="359">
        <v>46101</v>
      </c>
      <c r="F172" s="358" t="s">
        <v>597</v>
      </c>
      <c r="G172" s="358" t="s">
        <v>137</v>
      </c>
      <c r="H172" s="358" t="s">
        <v>1154</v>
      </c>
      <c r="I172" s="358" t="s">
        <v>593</v>
      </c>
      <c r="J172" s="561">
        <v>0.35</v>
      </c>
      <c r="K172" s="358">
        <v>0</v>
      </c>
      <c r="L172" s="562">
        <v>0</v>
      </c>
      <c r="M172" s="563">
        <v>0</v>
      </c>
      <c r="N172" s="358">
        <v>0</v>
      </c>
      <c r="O172" s="358">
        <v>1.1572157679481105E-2</v>
      </c>
      <c r="P172" s="560">
        <v>36.966817603862296</v>
      </c>
      <c r="Q172" s="574" t="s">
        <v>619</v>
      </c>
    </row>
    <row r="173" spans="1:17">
      <c r="A173" s="538">
        <v>46064</v>
      </c>
      <c r="B173" s="572" t="s">
        <v>1155</v>
      </c>
      <c r="C173" s="572" t="s">
        <v>1155</v>
      </c>
      <c r="D173" s="358" t="s">
        <v>1153</v>
      </c>
      <c r="E173" s="359">
        <v>46101</v>
      </c>
      <c r="F173" s="358" t="s">
        <v>592</v>
      </c>
      <c r="G173" s="358" t="s">
        <v>137</v>
      </c>
      <c r="H173" s="358" t="s">
        <v>1156</v>
      </c>
      <c r="I173" s="358" t="s">
        <v>593</v>
      </c>
      <c r="J173" s="561">
        <v>0.44</v>
      </c>
      <c r="K173" s="358">
        <v>12.26</v>
      </c>
      <c r="L173" s="562">
        <v>0</v>
      </c>
      <c r="M173" s="563">
        <v>0</v>
      </c>
      <c r="N173" s="358">
        <v>0</v>
      </c>
      <c r="O173" s="358">
        <v>0.10879675352275098</v>
      </c>
      <c r="P173" s="560">
        <v>42.1814652266577</v>
      </c>
      <c r="Q173" s="574" t="s">
        <v>619</v>
      </c>
    </row>
    <row r="174" spans="1:17">
      <c r="A174" s="538">
        <v>46064</v>
      </c>
      <c r="B174" s="572" t="s">
        <v>1157</v>
      </c>
      <c r="C174" s="572" t="s">
        <v>1157</v>
      </c>
      <c r="D174" s="358" t="s">
        <v>1153</v>
      </c>
      <c r="E174" s="359">
        <v>46101</v>
      </c>
      <c r="F174" s="358" t="s">
        <v>592</v>
      </c>
      <c r="G174" s="358" t="s">
        <v>137</v>
      </c>
      <c r="H174" s="358" t="s">
        <v>1158</v>
      </c>
      <c r="I174" s="358" t="s">
        <v>593</v>
      </c>
      <c r="J174" s="561">
        <v>0.67</v>
      </c>
      <c r="K174" s="358">
        <v>13.03</v>
      </c>
      <c r="L174" s="562">
        <v>0</v>
      </c>
      <c r="M174" s="563">
        <v>0</v>
      </c>
      <c r="N174" s="358">
        <v>0</v>
      </c>
      <c r="O174" s="358">
        <v>0.21369498626518887</v>
      </c>
      <c r="P174" s="560">
        <v>39.813492011075098</v>
      </c>
      <c r="Q174" s="574" t="s">
        <v>619</v>
      </c>
    </row>
    <row r="175" spans="1:17">
      <c r="A175" s="538">
        <v>46064</v>
      </c>
      <c r="B175" s="572" t="s">
        <v>1159</v>
      </c>
      <c r="C175" s="572" t="s">
        <v>1159</v>
      </c>
      <c r="D175" s="358" t="s">
        <v>882</v>
      </c>
      <c r="E175" s="359">
        <v>46101</v>
      </c>
      <c r="F175" s="358" t="s">
        <v>592</v>
      </c>
      <c r="G175" s="358" t="s">
        <v>137</v>
      </c>
      <c r="H175" s="358" t="s">
        <v>1160</v>
      </c>
      <c r="I175" s="358" t="s">
        <v>593</v>
      </c>
      <c r="J175" s="561">
        <v>0.7</v>
      </c>
      <c r="K175" s="358">
        <v>80.48</v>
      </c>
      <c r="L175" s="562">
        <v>0</v>
      </c>
      <c r="M175" s="563">
        <v>0</v>
      </c>
      <c r="N175" s="358">
        <v>0</v>
      </c>
      <c r="O175" s="358">
        <v>0.12469358781617937</v>
      </c>
      <c r="P175" s="560">
        <v>34.397153813603502</v>
      </c>
      <c r="Q175" s="574" t="s">
        <v>619</v>
      </c>
    </row>
    <row r="176" spans="1:17">
      <c r="A176" s="538">
        <v>46064</v>
      </c>
      <c r="B176" s="572" t="s">
        <v>1161</v>
      </c>
      <c r="C176" s="572" t="s">
        <v>1161</v>
      </c>
      <c r="D176" s="358" t="s">
        <v>882</v>
      </c>
      <c r="E176" s="359">
        <v>46101</v>
      </c>
      <c r="F176" s="358" t="s">
        <v>592</v>
      </c>
      <c r="G176" s="358" t="s">
        <v>137</v>
      </c>
      <c r="H176" s="358" t="s">
        <v>1162</v>
      </c>
      <c r="I176" s="358" t="s">
        <v>593</v>
      </c>
      <c r="J176" s="561">
        <v>1.69</v>
      </c>
      <c r="K176" s="358">
        <v>84.490000000000009</v>
      </c>
      <c r="L176" s="562">
        <v>0</v>
      </c>
      <c r="M176" s="563">
        <v>0</v>
      </c>
      <c r="N176" s="358">
        <v>0</v>
      </c>
      <c r="O176" s="358">
        <v>0.30206472328209172</v>
      </c>
      <c r="P176" s="560">
        <v>32.220530750695396</v>
      </c>
      <c r="Q176" s="574" t="s">
        <v>619</v>
      </c>
    </row>
    <row r="177" spans="1:17">
      <c r="A177" s="538">
        <v>46064</v>
      </c>
      <c r="B177" s="550" t="s">
        <v>1164</v>
      </c>
      <c r="C177" s="550" t="s">
        <v>1164</v>
      </c>
      <c r="D177" s="358" t="s">
        <v>1054</v>
      </c>
      <c r="E177" s="359">
        <v>46101</v>
      </c>
      <c r="F177" s="358" t="s">
        <v>597</v>
      </c>
      <c r="G177" s="358" t="s">
        <v>137</v>
      </c>
      <c r="H177" s="358" t="s">
        <v>1165</v>
      </c>
      <c r="I177" s="358" t="s">
        <v>593</v>
      </c>
      <c r="J177" s="561">
        <v>0.45</v>
      </c>
      <c r="K177" s="358">
        <v>0</v>
      </c>
      <c r="L177" s="562">
        <v>0</v>
      </c>
      <c r="M177" s="563">
        <v>0</v>
      </c>
      <c r="N177" s="358">
        <v>0</v>
      </c>
      <c r="O177" s="358">
        <v>5.5783049693434859E-2</v>
      </c>
      <c r="P177" s="560">
        <v>19.435000780863099</v>
      </c>
      <c r="Q177" s="574" t="s">
        <v>619</v>
      </c>
    </row>
    <row r="178" spans="1:17">
      <c r="A178" s="538">
        <v>46064</v>
      </c>
      <c r="B178" s="550" t="s">
        <v>1166</v>
      </c>
      <c r="C178" s="550" t="s">
        <v>1166</v>
      </c>
      <c r="D178" s="358" t="s">
        <v>1054</v>
      </c>
      <c r="E178" s="359">
        <v>46101</v>
      </c>
      <c r="F178" s="358" t="s">
        <v>592</v>
      </c>
      <c r="G178" s="358" t="s">
        <v>137</v>
      </c>
      <c r="H178" s="358" t="s">
        <v>1167</v>
      </c>
      <c r="I178" s="358" t="s">
        <v>593</v>
      </c>
      <c r="J178" s="561">
        <v>0.06</v>
      </c>
      <c r="K178" s="358">
        <v>12.17</v>
      </c>
      <c r="L178" s="562">
        <v>0</v>
      </c>
      <c r="M178" s="563">
        <v>0</v>
      </c>
      <c r="N178" s="358">
        <v>0</v>
      </c>
      <c r="O178" s="358">
        <v>1.3416031184974053E-3</v>
      </c>
      <c r="P178" s="560">
        <v>24.497667779484299</v>
      </c>
      <c r="Q178" s="574" t="s">
        <v>619</v>
      </c>
    </row>
    <row r="179" spans="1:17">
      <c r="A179" s="538">
        <v>46064</v>
      </c>
      <c r="B179" s="550" t="s">
        <v>1168</v>
      </c>
      <c r="C179" s="550" t="s">
        <v>1168</v>
      </c>
      <c r="D179" s="358" t="s">
        <v>1054</v>
      </c>
      <c r="E179" s="359">
        <v>46101</v>
      </c>
      <c r="F179" s="358" t="s">
        <v>592</v>
      </c>
      <c r="G179" s="358" t="s">
        <v>137</v>
      </c>
      <c r="H179" s="358" t="s">
        <v>1057</v>
      </c>
      <c r="I179" s="358" t="s">
        <v>593</v>
      </c>
      <c r="J179" s="561">
        <v>0.13</v>
      </c>
      <c r="K179" s="358">
        <v>13.1</v>
      </c>
      <c r="L179" s="562">
        <v>0</v>
      </c>
      <c r="M179" s="563">
        <v>0</v>
      </c>
      <c r="N179" s="358">
        <v>0</v>
      </c>
      <c r="O179" s="358">
        <v>1.1102136675683327E-2</v>
      </c>
      <c r="P179" s="560">
        <v>22.267618112184099</v>
      </c>
      <c r="Q179" s="574" t="s">
        <v>619</v>
      </c>
    </row>
    <row r="180" spans="1:17">
      <c r="A180" s="538">
        <v>46064</v>
      </c>
      <c r="B180" s="551" t="s">
        <v>1183</v>
      </c>
      <c r="C180" s="551" t="s">
        <v>1183</v>
      </c>
      <c r="D180" s="358" t="s">
        <v>1184</v>
      </c>
      <c r="E180" s="359">
        <v>46192</v>
      </c>
      <c r="F180" s="358" t="s">
        <v>592</v>
      </c>
      <c r="G180" s="358" t="s">
        <v>137</v>
      </c>
      <c r="H180" s="358" t="s">
        <v>1185</v>
      </c>
      <c r="I180" s="358" t="s">
        <v>593</v>
      </c>
      <c r="J180" s="561">
        <v>0.27</v>
      </c>
      <c r="K180" s="358">
        <v>14.64</v>
      </c>
      <c r="L180" s="562">
        <v>0</v>
      </c>
      <c r="M180" s="563">
        <v>0</v>
      </c>
      <c r="N180" s="358">
        <v>0</v>
      </c>
      <c r="O180" s="358">
        <v>2.5680471831641849E-2</v>
      </c>
      <c r="P180" s="560">
        <v>26.345737298632997</v>
      </c>
      <c r="Q180" s="574" t="s">
        <v>619</v>
      </c>
    </row>
    <row r="181" spans="1:17">
      <c r="A181" s="538">
        <v>46064</v>
      </c>
      <c r="B181" s="551" t="s">
        <v>1186</v>
      </c>
      <c r="C181" s="551" t="s">
        <v>1186</v>
      </c>
      <c r="D181" s="358" t="s">
        <v>1184</v>
      </c>
      <c r="E181" s="359">
        <v>46192</v>
      </c>
      <c r="F181" s="358" t="s">
        <v>592</v>
      </c>
      <c r="G181" s="358" t="s">
        <v>137</v>
      </c>
      <c r="H181" s="358" t="s">
        <v>1187</v>
      </c>
      <c r="I181" s="358" t="s">
        <v>593</v>
      </c>
      <c r="J181" s="561">
        <v>0.85</v>
      </c>
      <c r="K181" s="358">
        <v>16.059999999999999</v>
      </c>
      <c r="L181" s="562">
        <v>0</v>
      </c>
      <c r="M181" s="563">
        <v>0</v>
      </c>
      <c r="N181" s="358">
        <v>0</v>
      </c>
      <c r="O181" s="358">
        <v>0.10128624347882637</v>
      </c>
      <c r="P181" s="560">
        <v>24.235334493947398</v>
      </c>
      <c r="Q181" s="574" t="s">
        <v>619</v>
      </c>
    </row>
    <row r="182" spans="1:17">
      <c r="A182" s="538">
        <v>46064</v>
      </c>
      <c r="B182" s="550" t="s">
        <v>1210</v>
      </c>
      <c r="C182" s="550" t="s">
        <v>1210</v>
      </c>
      <c r="D182" s="358" t="s">
        <v>681</v>
      </c>
      <c r="E182" s="359">
        <v>46099</v>
      </c>
      <c r="F182" s="358" t="s">
        <v>592</v>
      </c>
      <c r="G182" s="358" t="s">
        <v>137</v>
      </c>
      <c r="H182" s="358" t="s">
        <v>1211</v>
      </c>
      <c r="I182" s="358" t="s">
        <v>593</v>
      </c>
      <c r="J182" s="561">
        <v>625</v>
      </c>
      <c r="K182" s="358">
        <v>175375</v>
      </c>
      <c r="L182" s="562">
        <v>0</v>
      </c>
      <c r="M182" s="563">
        <v>0</v>
      </c>
      <c r="N182" s="358">
        <v>0</v>
      </c>
      <c r="O182" s="358">
        <v>130.41855619146534</v>
      </c>
      <c r="P182" s="560">
        <v>23.5131585861348</v>
      </c>
      <c r="Q182" s="574" t="s">
        <v>619</v>
      </c>
    </row>
    <row r="183" spans="1:17">
      <c r="A183" s="538">
        <v>46064</v>
      </c>
      <c r="B183" s="550" t="s">
        <v>1212</v>
      </c>
      <c r="C183" s="550" t="s">
        <v>1212</v>
      </c>
      <c r="D183" s="358" t="s">
        <v>681</v>
      </c>
      <c r="E183" s="359">
        <v>46099</v>
      </c>
      <c r="F183" s="358" t="s">
        <v>592</v>
      </c>
      <c r="G183" s="358" t="s">
        <v>137</v>
      </c>
      <c r="H183" s="358" t="s">
        <v>1213</v>
      </c>
      <c r="I183" s="358" t="s">
        <v>593</v>
      </c>
      <c r="J183" s="561">
        <v>1800</v>
      </c>
      <c r="K183" s="358">
        <v>183200</v>
      </c>
      <c r="L183" s="562">
        <v>0</v>
      </c>
      <c r="M183" s="563">
        <v>0</v>
      </c>
      <c r="N183" s="358">
        <v>0</v>
      </c>
      <c r="O183" s="358">
        <v>377.84841330786793</v>
      </c>
      <c r="P183" s="560">
        <v>20.723835165577999</v>
      </c>
      <c r="Q183" s="574" t="s">
        <v>619</v>
      </c>
    </row>
    <row r="184" spans="1:17">
      <c r="A184" s="538">
        <v>46064</v>
      </c>
      <c r="B184" s="550" t="s">
        <v>1244</v>
      </c>
      <c r="C184" s="551" t="s">
        <v>1244</v>
      </c>
      <c r="D184" s="358" t="s">
        <v>1087</v>
      </c>
      <c r="E184" s="359">
        <v>46073</v>
      </c>
      <c r="F184" s="358" t="s">
        <v>592</v>
      </c>
      <c r="G184" s="358" t="s">
        <v>137</v>
      </c>
      <c r="H184" s="358" t="s">
        <v>1245</v>
      </c>
      <c r="I184" s="358" t="s">
        <v>593</v>
      </c>
      <c r="J184" s="561">
        <v>0.11</v>
      </c>
      <c r="K184" s="358">
        <v>16.310000000000002</v>
      </c>
      <c r="L184" s="562">
        <v>0</v>
      </c>
      <c r="M184" s="563">
        <v>0</v>
      </c>
      <c r="N184" s="358">
        <v>0</v>
      </c>
      <c r="O184" s="358">
        <v>2.3390887369662935E-2</v>
      </c>
      <c r="P184" s="560">
        <v>45.856872640675199</v>
      </c>
      <c r="Q184" s="574" t="s">
        <v>619</v>
      </c>
    </row>
    <row r="185" spans="1:17">
      <c r="A185" s="538">
        <v>46064</v>
      </c>
      <c r="B185" s="550" t="s">
        <v>1246</v>
      </c>
      <c r="C185" s="551" t="s">
        <v>1246</v>
      </c>
      <c r="D185" s="358" t="s">
        <v>1087</v>
      </c>
      <c r="E185" s="359">
        <v>46073</v>
      </c>
      <c r="F185" s="358" t="s">
        <v>592</v>
      </c>
      <c r="G185" s="358" t="s">
        <v>137</v>
      </c>
      <c r="H185" s="358" t="s">
        <v>1247</v>
      </c>
      <c r="I185" s="358" t="s">
        <v>593</v>
      </c>
      <c r="J185" s="561">
        <v>0.33</v>
      </c>
      <c r="K185" s="358">
        <v>16.840000000000003</v>
      </c>
      <c r="L185" s="562">
        <v>0</v>
      </c>
      <c r="M185" s="563">
        <v>0</v>
      </c>
      <c r="N185" s="358">
        <v>0</v>
      </c>
      <c r="O185" s="358">
        <v>5.8807300592544555E-2</v>
      </c>
      <c r="P185" s="560">
        <v>39.576070760888996</v>
      </c>
      <c r="Q185" s="574" t="s">
        <v>619</v>
      </c>
    </row>
    <row r="186" spans="1:17">
      <c r="A186" s="538">
        <v>46064</v>
      </c>
      <c r="B186" s="550" t="s">
        <v>1248</v>
      </c>
      <c r="C186" s="551" t="s">
        <v>1248</v>
      </c>
      <c r="D186" s="358" t="s">
        <v>1249</v>
      </c>
      <c r="E186" s="359">
        <v>46073</v>
      </c>
      <c r="F186" s="358" t="s">
        <v>592</v>
      </c>
      <c r="G186" s="358" t="s">
        <v>137</v>
      </c>
      <c r="H186" s="358" t="s">
        <v>1250</v>
      </c>
      <c r="I186" s="358" t="s">
        <v>593</v>
      </c>
      <c r="J186" s="561">
        <v>0.27</v>
      </c>
      <c r="K186" s="358">
        <v>23.22</v>
      </c>
      <c r="L186" s="562">
        <v>0</v>
      </c>
      <c r="M186" s="563">
        <v>0</v>
      </c>
      <c r="N186" s="358">
        <v>0</v>
      </c>
      <c r="O186" s="358">
        <v>5.3014751437792794E-2</v>
      </c>
      <c r="P186" s="560">
        <v>59.6538039042671</v>
      </c>
      <c r="Q186" s="574" t="s">
        <v>619</v>
      </c>
    </row>
    <row r="187" spans="1:17">
      <c r="A187" s="538">
        <v>46064</v>
      </c>
      <c r="B187" s="550" t="s">
        <v>1251</v>
      </c>
      <c r="C187" s="551" t="s">
        <v>1251</v>
      </c>
      <c r="D187" s="358" t="s">
        <v>1249</v>
      </c>
      <c r="E187" s="359">
        <v>46073</v>
      </c>
      <c r="F187" s="358" t="s">
        <v>592</v>
      </c>
      <c r="G187" s="358" t="s">
        <v>137</v>
      </c>
      <c r="H187" s="358" t="s">
        <v>1252</v>
      </c>
      <c r="I187" s="358" t="s">
        <v>593</v>
      </c>
      <c r="J187" s="561">
        <v>0.7</v>
      </c>
      <c r="K187" s="358">
        <v>24.16</v>
      </c>
      <c r="L187" s="562">
        <v>0</v>
      </c>
      <c r="M187" s="563">
        <v>0</v>
      </c>
      <c r="N187" s="358">
        <v>0</v>
      </c>
      <c r="O187" s="358">
        <v>0.13579555141257851</v>
      </c>
      <c r="P187" s="560">
        <v>54.555071829200102</v>
      </c>
      <c r="Q187" s="574" t="s">
        <v>619</v>
      </c>
    </row>
  </sheetData>
  <conditionalFormatting sqref="T2:T3">
    <cfRule type="cellIs" dxfId="40" priority="41" operator="equal">
      <formula>0</formula>
    </cfRule>
  </conditionalFormatting>
  <conditionalFormatting sqref="W2:W3">
    <cfRule type="cellIs" dxfId="39" priority="40" operator="equal">
      <formula>0</formula>
    </cfRule>
  </conditionalFormatting>
  <conditionalFormatting sqref="B71:B85">
    <cfRule type="duplicateValues" dxfId="38" priority="38" stopIfTrue="1"/>
    <cfRule type="duplicateValues" dxfId="37" priority="38"/>
  </conditionalFormatting>
  <conditionalFormatting sqref="B92:B94">
    <cfRule type="duplicateValues" dxfId="36" priority="37"/>
  </conditionalFormatting>
  <conditionalFormatting sqref="B95:B99 B1 B104:B107 B109:B116 B48:B65 B71:B91">
    <cfRule type="duplicateValues" dxfId="35" priority="35" stopIfTrue="1"/>
    <cfRule type="duplicateValues" dxfId="34" priority="35"/>
  </conditionalFormatting>
  <conditionalFormatting sqref="B95:B99 B1:B17 B104:B107 B109:B116 B48:B65 B71:B91">
    <cfRule type="duplicateValues" dxfId="33" priority="34"/>
  </conditionalFormatting>
  <conditionalFormatting sqref="B95:B99 B104:B107 B109:B116 B1:B65 B71:B91">
    <cfRule type="duplicateValues" dxfId="32" priority="33"/>
  </conditionalFormatting>
  <conditionalFormatting sqref="C2:C85">
    <cfRule type="duplicateValues" dxfId="31" priority="39"/>
  </conditionalFormatting>
  <conditionalFormatting sqref="C6:C70">
    <cfRule type="duplicateValues" dxfId="30" priority="42"/>
  </conditionalFormatting>
  <conditionalFormatting sqref="C71:C85">
    <cfRule type="duplicateValues" dxfId="29" priority="36" stopIfTrue="1"/>
    <cfRule type="duplicateValues" dxfId="28" priority="43"/>
  </conditionalFormatting>
  <conditionalFormatting sqref="C74:C76">
    <cfRule type="duplicateValues" dxfId="27" priority="32" stopIfTrue="1"/>
    <cfRule type="duplicateValues" dxfId="26" priority="44"/>
  </conditionalFormatting>
  <conditionalFormatting sqref="C77:C80">
    <cfRule type="duplicateValues" dxfId="25" priority="30"/>
    <cfRule type="duplicateValues" dxfId="24" priority="31" stopIfTrue="1"/>
  </conditionalFormatting>
  <conditionalFormatting sqref="C86">
    <cfRule type="duplicateValues" dxfId="23" priority="28"/>
    <cfRule type="duplicateValues" dxfId="22" priority="29" stopIfTrue="1"/>
  </conditionalFormatting>
  <conditionalFormatting sqref="C87:C91">
    <cfRule type="duplicateValues" dxfId="21" priority="19"/>
    <cfRule type="duplicateValues" dxfId="20" priority="20" stopIfTrue="1"/>
    <cfRule type="duplicateValues" dxfId="19" priority="21"/>
    <cfRule type="duplicateValues" dxfId="18" priority="22"/>
  </conditionalFormatting>
  <conditionalFormatting sqref="C92:C94 C1:C85">
    <cfRule type="duplicateValues" dxfId="17" priority="24"/>
  </conditionalFormatting>
  <conditionalFormatting sqref="C95:C99">
    <cfRule type="duplicateValues" dxfId="16" priority="14"/>
    <cfRule type="duplicateValues" dxfId="15" priority="15" stopIfTrue="1"/>
    <cfRule type="duplicateValues" dxfId="14" priority="16"/>
    <cfRule type="duplicateValues" dxfId="13" priority="17"/>
  </conditionalFormatting>
  <conditionalFormatting sqref="C104:C107">
    <cfRule type="duplicateValues" dxfId="12" priority="10"/>
    <cfRule type="duplicateValues" dxfId="11" priority="11" stopIfTrue="1"/>
    <cfRule type="duplicateValues" dxfId="10" priority="12"/>
    <cfRule type="duplicateValues" dxfId="9" priority="13"/>
  </conditionalFormatting>
  <conditionalFormatting sqref="C109:C114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15:C116">
    <cfRule type="duplicateValues" dxfId="4" priority="2"/>
    <cfRule type="duplicateValues" dxfId="3" priority="2" stopIfTrue="1"/>
    <cfRule type="duplicateValues" dxfId="2" priority="3"/>
    <cfRule type="duplicateValues" dxfId="1" priority="4"/>
  </conditionalFormatting>
  <conditionalFormatting sqref="L1:M116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2026-02-12T22:43:31Z</dcterms:modified>
  <cp:category/>
  <cp:contentStatus/>
</cp:coreProperties>
</file>